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Natalia Pineda\2022\IGAC\Indicadores\SINERGIA\Reportes avance\2022\"/>
    </mc:Choice>
  </mc:AlternateContent>
  <xr:revisionPtr revIDLastSave="0" documentId="13_ncr:1_{F42CB9E4-EA12-4DB8-B733-131A2E3EBEE3}" xr6:coauthVersionLast="47" xr6:coauthVersionMax="47" xr10:uidLastSave="{00000000-0000-0000-0000-000000000000}"/>
  <bookViews>
    <workbookView xWindow="-120" yWindow="-120" windowWidth="20730" windowHeight="11040" firstSheet="1" activeTab="1" xr2:uid="{00000000-000D-0000-FFFF-FFFF00000000}"/>
  </bookViews>
  <sheets>
    <sheet name="Seguimiento III Trim PND_2021" sheetId="1" state="hidden" r:id="rId1"/>
    <sheet name="Seguimiento III Trim 2022" sheetId="17" r:id="rId2"/>
  </sheets>
  <definedNames>
    <definedName name="_xlnm._FilterDatabase" localSheetId="1" hidden="1">'Seguimiento III Trim 2022'!$B$4:$X$12</definedName>
    <definedName name="_xlnm._FilterDatabase" localSheetId="0" hidden="1">'Seguimiento III Trim PND_2021'!$B$4:$CR$12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2" i="17" l="1"/>
  <c r="S9" i="17"/>
  <c r="S5" i="17"/>
  <c r="S7" i="17"/>
  <c r="S6" i="17"/>
  <c r="DC5" i="1"/>
  <c r="X11" i="17"/>
  <c r="S11" i="17"/>
  <c r="X10" i="17"/>
  <c r="S10" i="17"/>
  <c r="X8" i="17"/>
  <c r="V8" i="17"/>
  <c r="S8" i="17"/>
  <c r="Y7" i="17"/>
  <c r="X7" i="17"/>
  <c r="Y6" i="17"/>
  <c r="X6" i="17"/>
  <c r="DC12" i="1"/>
  <c r="DA12" i="1"/>
  <c r="DC11" i="1"/>
  <c r="DA11" i="1"/>
  <c r="DC10" i="1"/>
  <c r="DA10" i="1"/>
  <c r="DC9" i="1"/>
  <c r="DA9" i="1"/>
  <c r="DE8" i="1"/>
  <c r="DD8" i="1"/>
  <c r="DC8" i="1"/>
  <c r="DA8" i="1"/>
  <c r="DF7" i="1"/>
  <c r="DE7" i="1"/>
  <c r="DD7" i="1"/>
  <c r="DC7" i="1"/>
  <c r="DA7" i="1"/>
  <c r="DF6" i="1"/>
  <c r="DE6" i="1"/>
  <c r="DC6" i="1"/>
  <c r="DA6" i="1"/>
  <c r="DF5" i="1"/>
  <c r="DE5" i="1"/>
  <c r="DD5" i="1"/>
  <c r="CV11" i="1"/>
  <c r="DA5" i="1"/>
  <c r="CY5" i="1"/>
  <c r="CX5" i="1"/>
  <c r="CY11" i="1"/>
  <c r="CY10" i="1"/>
  <c r="CV10" i="1"/>
  <c r="CV9" i="1"/>
  <c r="CT9" i="1"/>
  <c r="CT10" i="1"/>
  <c r="CT11" i="1"/>
  <c r="CT12" i="1"/>
  <c r="CY8" i="1"/>
  <c r="CX8" i="1"/>
  <c r="CW8" i="1"/>
  <c r="CV8" i="1"/>
  <c r="CT8" i="1"/>
  <c r="CX7" i="1"/>
  <c r="CW7" i="1"/>
  <c r="CY7" i="1" s="1"/>
  <c r="CV7" i="1"/>
  <c r="CY6" i="1"/>
  <c r="CV6" i="1"/>
  <c r="CX6" i="1"/>
  <c r="CV5" i="1"/>
  <c r="Y5" i="17" l="1"/>
  <c r="X5" i="17"/>
  <c r="CM12" i="1"/>
  <c r="CR11" i="1"/>
  <c r="CO11" i="1"/>
  <c r="CM11" i="1"/>
  <c r="CO10" i="1"/>
  <c r="CM10" i="1"/>
  <c r="CM8" i="1"/>
  <c r="CM9" i="1"/>
  <c r="BM7" i="1" l="1"/>
  <c r="CP5" i="1"/>
  <c r="CW5" i="1" s="1"/>
  <c r="CH11" i="1"/>
  <c r="BY11" i="1"/>
  <c r="BT11" i="1"/>
  <c r="CO7" i="1"/>
  <c r="CR7" i="1"/>
  <c r="CQ7" i="1"/>
  <c r="CT7" i="1" l="1"/>
  <c r="CM7" i="1"/>
  <c r="CR5" i="1"/>
  <c r="CQ5" i="1"/>
  <c r="CO5" i="1"/>
  <c r="CR10" i="1"/>
  <c r="CR8" i="1"/>
  <c r="CQ8" i="1"/>
  <c r="CC8" i="1"/>
  <c r="CJ8" i="1"/>
  <c r="CP8" i="1"/>
  <c r="CI8" i="1"/>
  <c r="CO8" i="1"/>
  <c r="CR6" i="1"/>
  <c r="CQ6" i="1"/>
  <c r="CO6" i="1"/>
  <c r="CD12" i="1"/>
  <c r="CA12" i="1"/>
  <c r="CV12" i="1" s="1"/>
  <c r="BT12" i="1"/>
  <c r="CF12" i="1"/>
  <c r="CK11" i="1"/>
  <c r="CF11" i="1"/>
  <c r="BR11" i="1"/>
  <c r="CK10" i="1"/>
  <c r="CH10" i="1"/>
  <c r="CF10" i="1"/>
  <c r="CF9" i="1"/>
  <c r="BU8" i="1"/>
  <c r="CB8" i="1"/>
  <c r="CK8" i="1"/>
  <c r="CH8" i="1"/>
  <c r="CD8" i="1"/>
  <c r="CA8" i="1"/>
  <c r="CK6" i="1"/>
  <c r="CJ6" i="1"/>
  <c r="CH7" i="1"/>
  <c r="CH6" i="1"/>
  <c r="CH5" i="1"/>
  <c r="BY10" i="1"/>
  <c r="BR10" i="1"/>
  <c r="CH12" i="1" l="1"/>
  <c r="CO12" i="1"/>
  <c r="CA10" i="1"/>
  <c r="BW10" i="1"/>
  <c r="CD11" i="1"/>
  <c r="BW12" i="1"/>
  <c r="CD10" i="1"/>
  <c r="CD6" i="1"/>
  <c r="BY12" i="1"/>
  <c r="CA11" i="1"/>
  <c r="BW11" i="1"/>
  <c r="BY9" i="1"/>
  <c r="BM5" i="1"/>
  <c r="CT5" i="1" l="1"/>
  <c r="CM5" i="1"/>
  <c r="CF5" i="1"/>
  <c r="BF8" i="1"/>
  <c r="BW8" i="1"/>
  <c r="CA6" i="1"/>
  <c r="BW6" i="1" l="1"/>
  <c r="CC6" i="1"/>
  <c r="BD6" i="1"/>
  <c r="BV8" i="1"/>
  <c r="BM6" i="1"/>
  <c r="BV6" i="1"/>
  <c r="BV5" i="1"/>
  <c r="CA7" i="1"/>
  <c r="CA5" i="1"/>
  <c r="BY5" i="1"/>
  <c r="CT6" i="1" l="1"/>
  <c r="CM6" i="1"/>
  <c r="CF7" i="1"/>
  <c r="BY6" i="1"/>
  <c r="CF6" i="1"/>
  <c r="BV7" i="1"/>
  <c r="CB7" i="1"/>
  <c r="BW7" i="1"/>
  <c r="BW5" i="1"/>
  <c r="CB5" i="1"/>
  <c r="CI5" i="1" s="1"/>
  <c r="BR12" i="1"/>
  <c r="BJ11" i="1"/>
  <c r="BT10" i="1"/>
  <c r="BT9" i="1"/>
  <c r="BT7" i="1"/>
  <c r="BT5" i="1"/>
  <c r="BR5" i="1"/>
  <c r="BT8" i="1"/>
  <c r="BT6" i="1"/>
  <c r="BD8" i="1"/>
  <c r="BJ9" i="1"/>
  <c r="BF9" i="1"/>
  <c r="V9" i="1"/>
  <c r="BJ12" i="1"/>
  <c r="BF12" i="1"/>
  <c r="V12" i="1"/>
  <c r="V14" i="1"/>
  <c r="V15" i="1"/>
  <c r="BF11" i="1"/>
  <c r="V11" i="1"/>
  <c r="BJ7" i="1"/>
  <c r="BF7" i="1"/>
  <c r="BK5" i="1"/>
  <c r="BJ5" i="1"/>
  <c r="BF5" i="1"/>
  <c r="V7" i="1"/>
  <c r="V5" i="1"/>
  <c r="CK12" i="1" l="1"/>
  <c r="CD7" i="1"/>
  <c r="CI7" i="1"/>
  <c r="CJ5" i="1"/>
  <c r="CK5" i="1"/>
  <c r="CC7" i="1"/>
  <c r="CD9" i="1"/>
  <c r="BW9" i="1"/>
  <c r="CA9" i="1" s="1"/>
  <c r="CC5" i="1"/>
  <c r="CD5" i="1"/>
  <c r="BR7" i="1"/>
  <c r="BY7" i="1"/>
  <c r="BG8" i="1"/>
  <c r="BG6" i="1"/>
  <c r="BH6" i="1"/>
  <c r="BJ10" i="1"/>
  <c r="BF10" i="1"/>
  <c r="V10" i="1"/>
  <c r="BJ8" i="1"/>
  <c r="V8" i="1"/>
  <c r="BJ6" i="1"/>
  <c r="BF6" i="1"/>
  <c r="V6" i="1"/>
  <c r="CJ7" i="1" l="1"/>
  <c r="CK7" i="1"/>
  <c r="CK9" i="1"/>
  <c r="CH9" i="1"/>
  <c r="AT10" i="1"/>
  <c r="AQ10" i="1"/>
  <c r="AN10" i="1"/>
  <c r="AK10" i="1"/>
  <c r="AH10" i="1"/>
  <c r="AE10" i="1"/>
  <c r="AB10" i="1"/>
  <c r="AB9" i="1"/>
  <c r="AE7" i="1"/>
  <c r="AB7" i="1"/>
  <c r="AE5" i="1"/>
  <c r="AB5" i="1"/>
  <c r="T5" i="1"/>
  <c r="AE12" i="1"/>
  <c r="AN11" i="1" l="1"/>
  <c r="AZ11" i="1"/>
  <c r="AW11" i="1"/>
  <c r="AT11" i="1"/>
  <c r="AQ11" i="1"/>
  <c r="AK11" i="1"/>
  <c r="AH11" i="1"/>
  <c r="AE11" i="1"/>
  <c r="AB11" i="1"/>
  <c r="AZ8" i="1" l="1"/>
  <c r="AW10" i="1"/>
  <c r="AW8" i="1"/>
  <c r="AQ8" i="1"/>
  <c r="AN8" i="1"/>
  <c r="AK8" i="1"/>
  <c r="AZ12" i="1"/>
  <c r="AW12" i="1"/>
  <c r="AT12" i="1"/>
  <c r="AQ12" i="1"/>
  <c r="AB12" i="1"/>
  <c r="AZ7" i="1"/>
  <c r="AW7" i="1"/>
  <c r="AT7" i="1"/>
  <c r="AZ5" i="1"/>
  <c r="AW5" i="1"/>
  <c r="AT5" i="1"/>
  <c r="AQ5" i="1"/>
  <c r="AH5" i="1"/>
  <c r="AZ10" i="1" l="1"/>
  <c r="AQ9" i="1" l="1"/>
  <c r="AQ7" i="1"/>
  <c r="AQ6" i="1"/>
  <c r="AN12" i="1" l="1"/>
  <c r="AN9" i="1"/>
  <c r="AN7" i="1"/>
  <c r="AN5" i="1"/>
  <c r="AN6" i="1" l="1"/>
  <c r="AK6" i="1" l="1"/>
  <c r="AK7" i="1"/>
  <c r="AK9" i="1"/>
  <c r="AK12" i="1"/>
  <c r="AK5" i="1"/>
  <c r="AH12" i="1" l="1"/>
  <c r="AE9" i="1" l="1"/>
  <c r="AH9" i="1"/>
  <c r="AH8" i="1"/>
  <c r="AE8" i="1"/>
  <c r="AB8" i="1"/>
  <c r="AE6" i="1"/>
  <c r="AB6" i="1"/>
  <c r="AH7" i="1"/>
  <c r="AH6" i="1" l="1"/>
  <c r="T12" i="1" l="1"/>
  <c r="P11" i="1" l="1"/>
  <c r="T11" i="1" s="1"/>
  <c r="P10" i="1"/>
  <c r="T10" i="1" s="1"/>
  <c r="P9" i="1"/>
  <c r="T9" i="1" s="1"/>
  <c r="P8" i="1"/>
  <c r="T8" i="1" s="1"/>
  <c r="P7" i="1"/>
  <c r="T7" i="1" s="1"/>
  <c r="P6" i="1"/>
  <c r="T6" i="1" s="1"/>
  <c r="C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49C09B62-9E1C-470C-ADFE-C39D486433BC}">
      <text>
        <r>
          <rPr>
            <sz val="9"/>
            <color indexed="81"/>
            <rFont val="Tahoma"/>
            <family val="2"/>
          </rPr>
          <t xml:space="preserve">
20%</t>
        </r>
      </text>
    </comment>
    <comment ref="M11" authorId="1" shapeId="0" xr:uid="{9018FFCB-D1FF-4F6C-A81B-940EC172BC3C}">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D07C5DB3-B45C-4B70-926B-EBCBF48906B2}">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Pineda</author>
  </authors>
  <commentList>
    <comment ref="M11" authorId="0" shapeId="0" xr:uid="{7F9D56BF-5E7D-467C-936B-BAE1F84715AD}">
      <text>
        <r>
          <rPr>
            <b/>
            <sz val="12"/>
            <color indexed="81"/>
            <rFont val="Tahoma"/>
            <family val="2"/>
          </rPr>
          <t>Natalia Pineda:</t>
        </r>
        <r>
          <rPr>
            <sz val="12"/>
            <color indexed="81"/>
            <rFont val="Tahoma"/>
            <family val="2"/>
          </rPr>
          <t xml:space="preserve">
Se ajusta la meta a 500 geoservicios, a partir del mes de junio 2021</t>
        </r>
      </text>
    </comment>
    <comment ref="N11" authorId="0" shapeId="0" xr:uid="{8C13352C-8C55-4FB5-B0CA-43BF5CFD783A}">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sharedStrings.xml><?xml version="1.0" encoding="utf-8"?>
<sst xmlns="http://schemas.openxmlformats.org/spreadsheetml/2006/main" count="463" uniqueCount="272">
  <si>
    <t>PACTOS DEL PND</t>
  </si>
  <si>
    <t>UNIDAD DE MEDIDA</t>
  </si>
  <si>
    <t>Meta anualizada</t>
  </si>
  <si>
    <t>Porcentaje</t>
  </si>
  <si>
    <t>Número</t>
  </si>
  <si>
    <t>Gestores catastrales habilitados</t>
  </si>
  <si>
    <t>Gestores habilitados</t>
  </si>
  <si>
    <t>Geoservicios publicados y disponibles</t>
  </si>
  <si>
    <t>INDICADORES</t>
  </si>
  <si>
    <t xml:space="preserve">Porcentaje de implementación del Sistema Nacional de Información de Catastro Multipropósito </t>
  </si>
  <si>
    <t>% de avance de meta a marzo de 2020</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</si>
  <si>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</si>
  <si>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</si>
  <si>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</si>
  <si>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</si>
  <si>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</si>
  <si>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</si>
  <si>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</si>
  <si>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</si>
  <si>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</si>
  <si>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</si>
  <si>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</si>
  <si>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</si>
  <si>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</si>
  <si>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</si>
  <si>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</si>
  <si>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</si>
  <si>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</si>
  <si>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</si>
  <si>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</si>
  <si>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</si>
  <si>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</si>
  <si>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</si>
  <si>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</si>
  <si>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</si>
  <si>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</si>
  <si>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</si>
  <si>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</si>
  <si>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</si>
  <si>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</si>
  <si>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</si>
  <si>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</si>
  <si>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</si>
  <si>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</si>
  <si>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</si>
  <si>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</si>
  <si>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</si>
  <si>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</si>
  <si>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</si>
  <si>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</si>
  <si>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100%
*NUPRE
*Interrelación catastro-registro
* Ajustes CICA</t>
  </si>
  <si>
    <t>Avance cuantitativo a mayo de 2020</t>
  </si>
  <si>
    <t>% de avance de meta a mayo de 2020</t>
  </si>
  <si>
    <t>Avance cualitativo a mayo</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</si>
  <si>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</si>
  <si>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</si>
  <si>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</si>
  <si>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</si>
  <si>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</si>
  <si>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</si>
  <si>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</si>
  <si>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</si>
  <si>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</si>
  <si>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</si>
  <si>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</si>
  <si>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</si>
  <si>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física 2020</t>
  </si>
  <si>
    <t>Avance cuantitativo a junio de 2020</t>
  </si>
  <si>
    <t>% de avance de meta a junio de 2020</t>
  </si>
  <si>
    <t>Avance cualitativo a junio</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</si>
  <si>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</si>
  <si>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</si>
  <si>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</si>
  <si>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</si>
  <si>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</si>
  <si>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</si>
  <si>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</si>
  <si>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</si>
  <si>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</si>
  <si>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</si>
  <si>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</si>
  <si>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</si>
  <si>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</si>
  <si>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</si>
  <si>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</si>
  <si>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</si>
  <si>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</si>
  <si>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</si>
  <si>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</si>
  <si>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</si>
  <si>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</si>
  <si>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</si>
  <si>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</si>
  <si>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</si>
  <si>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</si>
  <si>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</si>
  <si>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</si>
  <si>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</si>
  <si>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</si>
  <si>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</si>
  <si>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</si>
  <si>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</si>
  <si>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</si>
  <si>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</si>
  <si>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</si>
  <si>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</si>
  <si>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</si>
  <si>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</si>
  <si>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</si>
  <si>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</si>
  <si>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</si>
  <si>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</si>
  <si>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</si>
  <si>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</si>
  <si>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</si>
  <si>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</si>
  <si>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</si>
  <si>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</si>
  <si>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</si>
  <si>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</si>
  <si>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</si>
  <si>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</si>
  <si>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</si>
  <si>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</si>
  <si>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</si>
  <si>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</si>
  <si>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</si>
  <si>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</si>
  <si>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</si>
  <si>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</si>
  <si>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</si>
  <si>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N/A</t>
  </si>
  <si>
    <t>Meta física</t>
  </si>
  <si>
    <t>Rezago 2019</t>
  </si>
  <si>
    <t>Rezago Ha</t>
  </si>
  <si>
    <t>Avance físico 2020</t>
  </si>
  <si>
    <t>SEGUIMIENTO AÑO 2019</t>
  </si>
  <si>
    <t>2019 PDET</t>
  </si>
  <si>
    <t>2020PDET</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</si>
  <si>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</si>
  <si>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</si>
  <si>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</si>
  <si>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</si>
  <si>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</si>
  <si>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</si>
  <si>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</si>
  <si>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</si>
  <si>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</si>
  <si>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</si>
  <si>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</si>
  <si>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</si>
  <si>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</si>
  <si>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</si>
  <si>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</si>
  <si>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</si>
  <si>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</si>
  <si>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</si>
  <si>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</si>
  <si>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</si>
  <si>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</si>
  <si>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</si>
  <si>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</si>
  <si>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</si>
  <si>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</si>
  <si>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</si>
  <si>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</si>
  <si>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</si>
  <si>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</si>
  <si>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</si>
  <si>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</si>
  <si>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</si>
  <si>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</si>
  <si>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</si>
  <si>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</si>
  <si>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</si>
  <si>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</si>
  <si>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</si>
  <si>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</si>
  <si>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</si>
  <si>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</si>
  <si>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</si>
  <si>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</si>
  <si>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</si>
  <si>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</si>
  <si>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</si>
  <si>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</si>
  <si>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</si>
  <si>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</si>
  <si>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</si>
  <si>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</si>
  <si>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</si>
  <si>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</si>
  <si>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</si>
  <si>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</si>
  <si>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</si>
  <si>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</si>
  <si>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</si>
  <si>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</si>
  <si>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</si>
  <si>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</si>
  <si>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</si>
  <si>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</si>
  <si>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</si>
  <si>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</si>
  <si>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</si>
  <si>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</si>
  <si>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</si>
  <si>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</si>
  <si>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</si>
  <si>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</si>
  <si>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</si>
  <si>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</si>
  <si>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</si>
  <si>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</si>
  <si>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</si>
  <si>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</si>
  <si>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</si>
  <si>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</si>
  <si>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</si>
  <si>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</si>
  <si>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Avance julio</t>
  </si>
  <si>
    <t>Durante el mes de julio, se generaron 301.352 hectáreas de productos cartográficos del área rural del municipio Arauquita (Arauca); y 292 hectáreas de productos cartográficos del área urbana de los municipios: Santa Rosalía (Vichada) y Sardinata (Norte de Santander). Así mismo, se generaron 75.675,55 hectáreas de ortoimágenes de los municipios: Moniquirá (Boyacá), Tenerife (Magdalena) y Santa Rosa de Lima (Bolívar), y se reportan 2.381.675,16 hectáreas de modelos digitales de elevación de los municipios de los departamentos: Amazonas y Guainía. Además, se validaron 223.247,42 hectáreas de ortoimágenes producidas por terceros, del Departamento de Cundinamarca. Por lo tanto, el cubrimiento total en cartografía para el mes de julio es de 2.982.242,13 hectáreas.</t>
  </si>
  <si>
    <t>Avance Cualitativo julio</t>
  </si>
  <si>
    <t>SEGUIMIENTO 2021 III TRIMESTRE</t>
  </si>
  <si>
    <t>Dirección de Gestión de Información Geográfica</t>
  </si>
  <si>
    <t>Dirección de Gestión Catastral</t>
  </si>
  <si>
    <t xml:space="preserve">Durante el mes de julio se adelantaron las siguientes actividades en los municipios que se describen a continuación,  en los cuales se viene implementando el proceso de gestión catastral durante la vigencia 2021:
Villavicencio:
*Identificación predial de 71.329 predios
Popayán: 
*Identificación predial de 51.051 predios 
Arauquita: 
*Identificación predial de 240 predios . Suspendido temporalmente por orden público.
8 municipios de Boyacá:
*Inicio operación en campo: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t>
  </si>
  <si>
    <t xml:space="preserve">Durante el mes de julio, se realizaron 4 caracterizaciones territoriales de los municipios de Puerto Leguizamo (Putumayo), Cartagena del Chaira, Puerto Rico y Solano (Caquetá) correspondiente a 6.980.030 hectáreas. </t>
  </si>
  <si>
    <t>Se realizaron mesas técnicas, se elaboraron y revisaron tanto los documentos como los insumos de 30 municipios de los departamentos de Caquetá, Cauca, Chocó, Córdoba, Nariño, Norte de Santander, Putumayo, Sucre, y Valle del Cauca, interesados en adelantar el proceso de gestión catastral a través de la formulación de proyectos tipo con cargo al presupuesto de regalías.
A finales del mes de julio se aprobaron 6.496 millones de pesos del presupuesto general de regalías OCAD PAZ para la realización de catastro de los municipios de San Pablo de Bolívar y Balboa - Cauca, a quienes se les prestó asesoría técnica desde el IGAC, la Consejería Presidencial para la Gestión y Cumplimiento y el DNP en el proceso de formulación de proyectos tipo con cargo al presupuesto de regalías.</t>
  </si>
  <si>
    <t xml:space="preserve">Se continua con el proceso de  levantamiento de información  para  completar las especificaciones funcionales del SINIC/RDM. Así mismo,  el IGAC se encuentra a la espera  de la entrega a satisfacción de los productos técnicos que componen la arquitectura detallada para el "El Repositorio de Datos Maestros" - RDM, los cuales deben ser entregados por parte del Departamento Nacional de Planeación (DNP), documentos que servirán junto con las especificaciones funcionales como insumo para la etapa de desarrollo del  SINIC/RDM.
</t>
  </si>
  <si>
    <t>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t>
  </si>
  <si>
    <t xml:space="preserve">En el mes de julio se realizó el monitoreo automático de 465 geoservicios los cuales se encuentran operando plenamente, este monitoreo se llevó a cabo a partir de este mes mediante un nuevo aplicativo desarrollado por el IGAC para la administración de geoservicios el cual remplaza la herramienta libre GeoHealthCheck debido a que esta cuenta con una capacidad limitada para dicho monitoreo. 
Así mismo, se realizó la gestión e incorporación de 37 nuevos geoservicios suministrados por diferentes entidades como el Departamento Administrativo Nacional de Estadística (DANE), el Instituto de Hidrología, Meteorología y Estudios Ambientales (IDEAM), la Autoridad Nacional de Licencias Ambientales (ANLA) y la Corporación Autónoma Regional del Valle del Cauca (CVC). 
También, se restableció la conexión de 10 geoservicios, esto para un total de 512 geoservicios, los cuales se encuentran plenamente operando. 
Para la vigencia 2021 se programó una meta de 472 geoservicios publicados y disponibles, se ha logrado generar 512 geoservicios publicados y disponibles teniendo un cumplimiento del 108,47% de lo inicialmente programado. 
Por otra parte, 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 esta modificación aplica a partir de mes de junio de 2021.
</t>
  </si>
  <si>
    <t>Dirección de Tecnologías de la Información y Comunicaciones</t>
  </si>
  <si>
    <t>Dirección de Regulación y Habilitación</t>
  </si>
  <si>
    <t>Dirección de Investigación y Prospectiva</t>
  </si>
  <si>
    <t>Avance agosto</t>
  </si>
  <si>
    <t>Avance Cualitativo agosto</t>
  </si>
  <si>
    <t xml:space="preserve">Durante el mes de agosto, se generaron 234.987,96 hectáreas de productos cartográficos del área rural de los municipios de: Popayán (Cauca) y Chaparral (Tolima); y 1.472 hectáreas de productos cartográficos del área urbana del municipio de: Ricaurte (Cundinamarca). Así mismo, se generaron 145.877,17 hectáreas de ortoimágenes de los municipios: Sabanalarga, Santa Lucía, Usiacurí (Atlántico), Arjona, Santa Catalina (Bolívar), Gachantivá, Villa de Leyva y Santa Sofía (Boyacá); y se validaron 42.272 hectáreas del municipio: Fonseca (La Guajira). Por lo tanto, el cubrimiento total en cartografía para el mes de agosto es de 424.609,13 hectáreas. </t>
  </si>
  <si>
    <t>Durante el mes de agosto se adelantaron las siguientes actividades en los municipios que se describen a continuación,  en los cuales se viene implementando el proceso de gestión catastral durante la vigencia 2021: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t>
  </si>
  <si>
    <t xml:space="preserve">Durante el mes de agosto, se realizaron 2 caracterizaciones territoriales de los municipios de San José del Guaviare (Guaviare) y Mapiripán (Meta), correspondiente a 2.864.103 hectáreas. </t>
  </si>
  <si>
    <t>Se realizaron mesas técnicas, se elaboraron y revisaron tanto los documentos como los insumos entregados por los 20 municipios de los departamentos de Arauca, Cauca, Cesar, Chocó, Nariño, Norte de Santander, Valle del Cauca en los que se ajusta la estructuración de los proyectos tipo presentados. Se lograron 4 proyectos verificados y aprobados por DNP los cuáles están en espera de la aprobación de recursos del Sistema General de Regalías - OCAD PAZ (Orito-  Putumayo, Cantagallo, Morales y Simití - Bolívar)</t>
  </si>
  <si>
    <t xml:space="preserve">En el mes de agosto se realizó el monitoreo automático de 512 geoservicios los cuales se encuentran operando plenamente, este monitoreo se realizó mediante el aplicativo desarrollado para la administración de geoservicios.
Así mismo, se realizó la gestión e incorporación de 14 nuevos geoservicios suministrados por diferentes entidades como el Departamento Administrativo Nacional de Estadística (DANE) y  la Corporación Autónoma Regional del Valle del Cauca (CVC), esto para un total de 526 geoservicios, los cuales se encuentran plenamente operando.
Para la vigencia 2021 se programó una meta de 472 geoservicios publicados y disponibles, se ha logrado generar 526 geoservicios publicados y disponibles teniendo un cumplimiento del 111,44% de lo inicialmente programado.
</t>
  </si>
  <si>
    <t>En el mes de agosto se finalizó el desarrollo de la funcionalidad de registro de solicitudes de terrenos pretendidos por la Comisión Nacional de Territorios Indígenas - CNTI ante la Agencia Nacional de Tierras – ANT en el visor geográfico de la aplicación. 
Así mismo, se realizó la capacitación en administración (cargue de capas de información geográfica al sistema) y publicación de servicios web a funcionarios de la Comisión Nacional de Territorios Indígenas, de igual forma, se realizó la inscripción para el curso de Fundamentos IDE.
Por otra parte, se realizó soporte al Sistema de Información Geográfica -SIG Indígena validando los servicios de la Agencia Nacional de Tierras – ANT y del Ministerio del Interior para las herramientas de mapas temáticos e indicadores.
Para la vigencia 2021 se programó una meta del 30% de la implementación del Programa Marco de Operación del Sistema de Información Geográfica -SIG Indígena, por lo que a la fecha se lleva un avance acumulado del 22,00% de la meta programada.</t>
  </si>
  <si>
    <t>Se continua con el proceso de estructuración, selección y contratación de la fábrica  de software encargada de apoyar la etapa de desarrollo del  SINIC/RDM. De acuerdo con lo anterior,  se presentaron los Términos de Referencia (TDR) al  Banco Mundial,  con el objeto de realizar la revisión  y aprobación final de dichos documentos y de esta manera continuar con el proceso de contratación.
Se desarrolló la entrega oficial por parte del Departamento Nacional de Planeación - DNP al IGAC , de los productos técnicos (5 documentos), los cuales  componen la arquitectura de alto nivel para “El Repositorio de Datos Maestros” – RDM y el SINIC.
Se continua con el proceso de estructuración, selección y contratación de los consultores individuales tanto del BID como del Banco Mundial, los cuales desarrollarán actividades previas y/o complementarias a la llegada de la Fábrica de Software.
Se alcanzó la meta de 9 Épicas finalizadas y 8 Épicas en proceso de levantamiento de información para incluir nuevas funcionalidades y/o mejoras al Sistema Nacional Catastral y la definición de  las Épicas a alto nivel definidas por DNP para el RDM.</t>
  </si>
  <si>
    <t>Durante el mes de agosto se habilitó como gestor catastral a la Asociación de Municipios del Catatumbo, Provincia de Ocaña y Sur del Cesar-Asomunicipios.
Al mes de agosto de 2021 se logró la habilitación de 28 gestores catastrales, obteniendo un avance de 140% de la meta del cuatrenio, establecida en 20 gestores catastrales habilitados.</t>
  </si>
  <si>
    <t>Avance septiembre</t>
  </si>
  <si>
    <t>Avance Cualitativo septiembre</t>
  </si>
  <si>
    <t xml:space="preserve">Durante el mes de septiembre se avanzó en el cubrimiento de cartografía urbana y rural de los municipios de Paz de Río (Boyacá), Cubarral (Meta), Trinidad (Casanare), Colombia (Huila). Lo anterior, está en proceso de validación de control de calidad y alistamiento de los productos para su versión oficial. </t>
  </si>
  <si>
    <t>Durante el mes de septiembre se adelantaron las siguientes actividades en los municipios que se describen a continuación, en los cuales se viene implementando el proceso de gestión catastral durante la vigencia 2021: *Villavicencio: Identificación predial de 80.335 predios
*Popayán: Identificación predial de 81.923 predios 
*Arauquita: Se continúa con el proceso de identificación predial de 240 predios. Este proceso se reanudó el 27 de septiembre
*8 municipios de Boyacá: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</si>
  <si>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Durante el mes de septiembre, se realizaron 3 caracterizaciones territoriales de los municipios de Montecristo (Bolívar), Trinidad (Casanare) y San Juan de Arama (Meta), correspondientes a 621.808,9 hectáreas.</t>
  </si>
  <si>
    <t>Al mes de septiembre fueron aprobados por OCAD - Paz, cuatro (4) proyectos de inversión para la implementación del catastro con enfoque multipropósito en los municipios de Orito, Simití, Morales y Cantagallo; con una asignación presupuestal de aproximadamente 11.700 millones de pesos. Por su parte, el IGAC continua brindando asistencia técnica a dichos municipios en la culminación del proceso de formulación de los proyectos. Adicionalmente, se brindó asistencia técnica desde el IGAC, a 16 municipios adicionales, interesados en adelantar el proceso de gestión catastral a través de la formulación de proyectos tipo con cargo al presupuesto de regalías.</t>
  </si>
  <si>
    <t>Se finalizó la elaboración de los documentos del proceso de estructuración, selección y contratación de la fábrica de software encargada de apoyar la etapa de desarrollo del SINIC/RDM. De acuerdo con lo anterior, se presentaron los Términos de Referencia (TDR) al Banco Mundial, obteniendo la aprobación por parte del banco. De esta manera, se continua con al etapa precontractual. Se dio por terminado el proceso de estructuración de los términos de Referencia (TDR) para la selección y contratación de los consultores individuales, los cuales desarrollarán actividades previas y/o complementarias a la llegada de la Fábrica de Software. De acuerdo con lo anterior, se presentaron dichos términos al Banco Mundial, obteniendo de igual manera, la aprobación por parte del Banco en mención. Se continua con el proceso de levantamiento de información para incluir nuevas funcionalidades y/o mejoras al Sistema Nacional Catastral, como actividad preparatoria al inicio de la ejecución de los contratos de fabrica de software.</t>
  </si>
  <si>
    <t>Durante el mes de septiembre se habilitaron como Gestores Catastrales a los municipios de Sabanalarga-Atlántico, Girardot-Cundinamarca y Sahagún-Córdoba.
Al mes de septiembre de 2021 se logró la habilitación de 31 gestores catastrales, obteniendo un avance de 155% de la meta del cuatrenio, establecida en 20 gestores catastrales habilitados.</t>
  </si>
  <si>
    <t>En el mes de Septiembre  se realizó el monitoreo automático de 526 geoservicios los cuales se encuentran operando plenamente, este monitoreo se realizó mediante el aplicativo desarrollado para la administración de geoservicios.
Así mismo, se realizó la gestión e incorporación de 13 nuevos geoservicios suministrados por diferentes entidades como el Departamento Administrativo Nacional de Estadística (DANE), Infraestructura de Datos Espaciales para el Distrito Capital (IDECA), entre otros , esto para un total de 539 geoservicios, los cuales se encuentran plenamente operando.
Para la vigencia 2021 se programó una meta de 472 geoservicios publicados y disponibles, se ha logrado generar 539 geoservicios publicados y disponibles teniendo un cumplimiento del 114,2% de lo inicialmente programado.
Lo anterior significa que para el cuatrienio se logró a la fecha  un  avance del 108% de avance.</t>
  </si>
  <si>
    <t>En el mes de septiembre se avanza en la creación del formulario para  actualizar una solicitud en el módulo alfanumérico y en el desarrollo de la funcionalidad buscador de solicitudes en el visor geográfico del Sistema de Información SIG Indígenas.
Así mismo, se realizó el curso de Fundamentos IDE a los miembros definidos por la Comisión Nacional de Territorios Indígenas – CNTI a través de la plataforma Telecentro Regional.
Por otra parte, para este mes no se presentaron incidencias por la Comisión Nacional de Territorios Indígenas - CNTI sobre fallas en el Sistema de Información Geográfica.
Para la vigencia 2021 se programó una meta del 30% de la implementación del Programa Marco de Operación del Sistema de Información Geográfica -SIG Indígena, por lo que a la fecha se lleva un avance acumulado del 23,20% de la meta programada.
Para el cuatrienio se tiene programada una meta del 100% de la implementación del Programa Marco de Operación del Sistema de Información Geográfica -SIG Indígena, por lo que a la fecha se lleva un avance acumulado del 63,20% de la meta del cuatrienio programada.</t>
  </si>
  <si>
    <t>Porcentaje de implementación del programa marco de operación del sistema de información Geográfico -SIG (SIG Indígena)</t>
  </si>
  <si>
    <t>Avance físico total territorio nacional</t>
  </si>
  <si>
    <t>%Avance total territorio nacional</t>
  </si>
  <si>
    <t>Meta 2022</t>
  </si>
  <si>
    <t>Meta física 2022</t>
  </si>
  <si>
    <t>%avance frente a la meta 2022</t>
  </si>
  <si>
    <t>Avance a septiembre 2022</t>
  </si>
  <si>
    <t>Durante el mes de septiembre, se generaron 221,75 ha de productos cartográficos del área urbana de Supía (Caldas), para un total acumulado de avance a la fecha, del 64,09% correspondiente a 73.129.115,68 ha. También, se logró la generación de productos cartográficos a escala 1:25000 del municipio de Cubarral (Meta) y de cartografía a escala 1:25.000 del municipio de Montecristo (Bolívar). Adicionalmente, se avanzó en la validación, oficialización e integración de productos cartográficos producidos por terceros correspondientes a 11 municipios: Boavita, Cuitiva (Boyacá), El Paso, Manaure Balcón Del Cesar, Pueblo Bello (Cesar), Albania, Belén De Los Andaquíes, Morelia, Florencia (Caquetá), Santa Rosa (Cauca) y Leiva (Nariño), Arenal, Santa Rosa Del Sur (Bolívar), Solano, Montañita, San José del Fragua (Caquetá), Argelia, El Tambo, Miranda (Cauca), La Paz (Cesar), Riosucio (Chocó), Algeciras (Huila), Tibú (Norte De Santander), Fortul, Tame (Arauca), Puerto Caicedo y Puerto Asís (Putumayo).</t>
  </si>
  <si>
    <t>Con corte al mes de septiembre de 2022 a través de los procesos de conservación y actualización catastral, se logró el siguiente avance: *Conservación: 32,45% que corresponde a 37.019.710 hectáreas *Actualización: 9,40% que corresponde a 10.730.457 hectáreas.  Para un total de 41,85% del área geográfica del país con catastro actualizado, correspondiente a 47.750.167 de hectáreas.</t>
  </si>
  <si>
    <t>Durante el mes de septiembre de 2022 se elaboraron y publicaron documentos de caracterización territorial con fines de Catastro Multipropósito, conforme a metodología establecida, para los municipios Uribe, Puerto Concordia, Puerto Rico y Vistahermosa en el departamento del Meta. Adicionalmente, para el Parque Natural Nacional PNN Paramillo (Antioquia-Córdoba). Para un total acumulado de avance a la fecha de 91,47%, correspondiente a 104.361.736,74 hectáreas.</t>
  </si>
  <si>
    <t>Con respecto a SINIC Express, se han recibido reportes catastrales de 23 gestores correspondiente a 117 municipios. De las validaciones efectuadas a estos reportes, 50 municipios pasaron la validación de forma exitosa. El IGAC en su papel de gestor catastral por excepción, está en proceso de generación de archivos XTF para los 841 municipios a su cargo. Se espera que durante el mes de octubre se cubra el cargue completo de dichos municipios. Con relación al Sistema Nacional de Información de Catastro Multipropósito - SINIC (Sistema Oficial), a finales del mes de agosto y comienzos de septiembre desde la Dirección General del IGAC se realizaron mesas de trabajo para validar la visión tanto del Nuevo Sistema Nacional Catastral como del SINIC. En el marco de esta mesas, se tomó la decisión de detener temporalmente las reuniones de levantamiento de requerimientos y firmas de documentos como historias de usuario hasta tener una visión más clara de producto. Por tanto, el proyecto avanzó en temas de historias de usuario ya aprobadas que corresponden a la validación y procesamiento de archivos de reportes de gestores y gestión de usuarios.</t>
  </si>
  <si>
    <t>Dentro del equipo técnico en los últimos meses, se adelantó la construcción de un robot que se encargará de la búsqueda automatizada de nuevos geoservicios expuestos por las entidades. En ese sentido, para el mes de septiembre no se realizó la publicación de ningún nuevo registro de manera manual como se venia haciendo con el aplicativo Geohealthcheck. Por su parte, el robot, en su primera búsqueda reportó cerca de 4115 nuevos geoservicios expuestos en la red de internet por parte de las entidades, dejando así un conteo muy alto para publicar en la página para el mes de octubre, lo que ocurrirá luego de su afinamiento y verificación aleatoria por parte del personal de consultores, para posteriormente publicar estos resultados. El incremento en el número de geoservicios monitoreados, se ha dado como resultado del proceso de mejoramiento de la automatización de la búsqueda de geoservicios que se ha venido implementando desde el Instituto. Es de resaltar que con corte al tercer trimestre de la actual vigencia, se llevó a cabo el monitoreo de 1719 geoservicios, de los cuales 1231 se encuentra operando plenamente.</t>
  </si>
  <si>
    <t>Se finalizó el desarrollo de la funcionalidad que permite ver la ubicación del usuario.
Se finalizó el desarrollo de la funcionalidad que permite crear polígono de un área y asociarlo a una solicitud.
Se desarrolló el curso de fundamentos de la información geográfica para pueblos indígenas.
URL del visor gráfico: http://190.85.164.15:8080/VISORSIGINDIGENA/?r=cHVibGljX2FkbWluZ2Vv&amp;nu=YWRtaW4=</t>
  </si>
  <si>
    <t>Reporte de avance corte III Trimestre 2022</t>
  </si>
  <si>
    <t>PERIODICIDAD REPORTE
 CUANTITATIVO (SINERGIA)</t>
  </si>
  <si>
    <t>En el tercer trimestre de 2022 a través de los procesos de conservación y actualización catastral, intervenidos por el IGAC y otros gestores catastrales se logró un avance del 3,72% que corresponde a 1.455.537 hectáreas. Con corte al mes de septiembre de 2022 a través de los procesos de conservación y actualización catastral, se logró el siguiente avance: *Conservación: 24,51% que corresponde a 9.578.556 hectáreas *Actualización: 1,99% que corresponde a 776.004 hectáreas. Para un total del 26,49% del área total de los municipios PDET con catastro actualizado, que corresponde a 10.354.560 hectáreas.</t>
  </si>
  <si>
    <t>Durante el mes de Septiembre se evaluó una propuesta de habilitación de entidades territoriales. Es importante aclarar que algunas de estas corresponden a subsanaciones que se han realizado a las observaciones enviadas. Como resultado de la verificación se profirieron actos administrativos de rechazo a los municipios de Buenaventura - (Valle del Cauca), Departamento de Sucre, Chiquinquirá - (Boyacá), Valle de San José - (Santander) y Chía - (Cundinamarca). A la fecha se han habilitado un total de 43 gestores catastrales, obteniendo un avance de 215 % de la meta del cuatrienio, establecida en 20 gestores catastrales habilitados.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</si>
</sst>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6" formatCode="_-* #,##0.0_-;\-* #,##0.0_-;_-* &quot;-&quot;??_-;_-@_-"/>
  </numFmts>
  <fonts count="32"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6"/>
      <color theme="1"/>
      <name val="Arial"/>
      <family val="2"/>
    </font>
    <font>
      <b/>
      <sz val="14"/>
      <color theme="1"/>
      <name val="Arial"/>
      <family val="2"/>
    </font>
    <font>
      <sz val="14"/>
      <color theme="1"/>
      <name val="Arial"/>
      <family val="2"/>
    </font>
    <font>
      <sz val="8"/>
      <name val="Calibri"/>
      <family val="2"/>
      <scheme val="minor"/>
    </font>
    <font>
      <sz val="16"/>
      <color theme="1"/>
      <name val="Arial"/>
      <family val="2"/>
    </font>
    <font>
      <sz val="11"/>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sz val="14"/>
      <name val="Arial"/>
      <family val="2"/>
    </font>
    <font>
      <b/>
      <sz val="48"/>
      <color theme="1"/>
      <name val="Arial"/>
      <family val="2"/>
    </font>
    <font>
      <b/>
      <sz val="16"/>
      <name val="Arial"/>
      <family val="2"/>
    </font>
    <font>
      <b/>
      <sz val="20"/>
      <color theme="1"/>
      <name val="Arial"/>
      <family val="2"/>
    </font>
    <font>
      <b/>
      <sz val="22"/>
      <color theme="1"/>
      <name val="Arial"/>
      <family val="2"/>
    </font>
    <font>
      <b/>
      <sz val="16"/>
      <color theme="0"/>
      <name val="Arial"/>
      <family val="2"/>
    </font>
    <font>
      <b/>
      <sz val="18"/>
      <color theme="1"/>
      <name val="Arial"/>
      <family val="2"/>
    </font>
    <font>
      <b/>
      <sz val="24"/>
      <color theme="1"/>
      <name val="Arial"/>
      <family val="2"/>
    </font>
    <font>
      <b/>
      <sz val="12"/>
      <color indexed="81"/>
      <name val="Tahoma"/>
      <family val="2"/>
    </font>
    <font>
      <sz val="12"/>
      <color indexed="81"/>
      <name val="Tahoma"/>
      <family val="2"/>
    </font>
    <font>
      <sz val="11"/>
      <color theme="1"/>
      <name val="Arial"/>
      <family val="2"/>
    </font>
    <font>
      <sz val="12"/>
      <color rgb="FFFF0000"/>
      <name val="Arial"/>
      <family val="2"/>
    </font>
    <font>
      <b/>
      <sz val="20"/>
      <color rgb="FFFF0000"/>
      <name val="Arial"/>
      <family val="2"/>
    </font>
    <font>
      <sz val="12"/>
      <name val="Arial"/>
      <family val="2"/>
    </font>
    <font>
      <b/>
      <sz val="18"/>
      <name val="Arial"/>
      <family val="2"/>
    </font>
    <font>
      <b/>
      <sz val="20"/>
      <name val="Arial"/>
      <family val="2"/>
    </font>
    <font>
      <sz val="9"/>
      <color rgb="FF000000"/>
      <name val="Calibri"/>
      <family val="2"/>
      <scheme val="minor"/>
    </font>
    <font>
      <sz val="14"/>
      <color rgb="FF00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350">
    <xf numFmtId="0" fontId="0" fillId="0" borderId="0" xfId="0"/>
    <xf numFmtId="0" fontId="2" fillId="0" borderId="0" xfId="0" applyFont="1"/>
    <xf numFmtId="0" fontId="2" fillId="0" borderId="0" xfId="0" applyFont="1" applyBorder="1"/>
    <xf numFmtId="0" fontId="2" fillId="0" borderId="0" xfId="0" applyFont="1" applyFill="1"/>
    <xf numFmtId="0" fontId="6" fillId="3" borderId="1" xfId="0" applyFont="1" applyFill="1" applyBorder="1" applyAlignment="1">
      <alignment horizontal="center" vertical="center"/>
    </xf>
    <xf numFmtId="9" fontId="6" fillId="0" borderId="1" xfId="1" applyFont="1" applyFill="1" applyBorder="1" applyAlignment="1">
      <alignment horizontal="center" vertical="center"/>
    </xf>
    <xf numFmtId="9" fontId="6" fillId="3"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0" fontId="6" fillId="0" borderId="9" xfId="0" applyFont="1" applyFill="1" applyBorder="1" applyAlignment="1">
      <alignment horizontal="justify" vertical="center" wrapText="1"/>
    </xf>
    <xf numFmtId="0" fontId="6" fillId="3" borderId="1" xfId="0" applyFont="1" applyFill="1" applyBorder="1" applyAlignment="1">
      <alignment horizontal="left" vertical="center" wrapText="1" readingOrder="1"/>
    </xf>
    <xf numFmtId="1" fontId="6" fillId="0" borderId="1" xfId="1" applyNumberFormat="1" applyFont="1" applyFill="1" applyBorder="1" applyAlignment="1">
      <alignment horizontal="center" vertical="center"/>
    </xf>
    <xf numFmtId="164" fontId="6" fillId="3"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6" fillId="0" borderId="1"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3" xfId="0" applyFont="1" applyFill="1" applyBorder="1" applyAlignment="1">
      <alignment vertical="center" wrapText="1"/>
    </xf>
    <xf numFmtId="1" fontId="6"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9" fontId="6" fillId="0" borderId="1" xfId="0" applyNumberFormat="1" applyFont="1" applyFill="1" applyBorder="1" applyAlignment="1">
      <alignment horizontal="center" vertical="center"/>
    </xf>
    <xf numFmtId="0" fontId="2" fillId="0" borderId="0" xfId="0" applyFont="1" applyBorder="1" applyAlignment="1"/>
    <xf numFmtId="9" fontId="6" fillId="3" borderId="14"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justify" vertical="center" wrapText="1"/>
    </xf>
    <xf numFmtId="9" fontId="6" fillId="0" borderId="9"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2" fillId="0" borderId="1" xfId="0" applyFont="1" applyFill="1" applyBorder="1" applyAlignment="1">
      <alignment vertical="center" wrapText="1"/>
    </xf>
    <xf numFmtId="0" fontId="6" fillId="3" borderId="9" xfId="0" applyFont="1" applyFill="1" applyBorder="1" applyAlignment="1">
      <alignment horizontal="center" vertical="center"/>
    </xf>
    <xf numFmtId="9" fontId="6" fillId="0" borderId="9" xfId="1" applyNumberFormat="1" applyFont="1" applyFill="1" applyBorder="1" applyAlignment="1">
      <alignment horizontal="center" vertical="center"/>
    </xf>
    <xf numFmtId="9" fontId="6" fillId="0" borderId="9" xfId="1" applyFont="1" applyFill="1" applyBorder="1" applyAlignment="1">
      <alignment horizontal="center" vertical="center"/>
    </xf>
    <xf numFmtId="0" fontId="6" fillId="3" borderId="14" xfId="0" applyFont="1" applyFill="1" applyBorder="1" applyAlignment="1">
      <alignment horizontal="left" vertical="center" wrapText="1"/>
    </xf>
    <xf numFmtId="164" fontId="6" fillId="0" borderId="9" xfId="1" applyNumberFormat="1" applyFont="1" applyFill="1" applyBorder="1" applyAlignment="1">
      <alignment horizontal="center" vertical="center"/>
    </xf>
    <xf numFmtId="164" fontId="6" fillId="3" borderId="9" xfId="1" applyNumberFormat="1" applyFont="1" applyFill="1" applyBorder="1" applyAlignment="1">
      <alignment horizontal="center" vertical="center"/>
    </xf>
    <xf numFmtId="0" fontId="2" fillId="3" borderId="14"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3" borderId="1" xfId="0" applyFont="1" applyFill="1" applyBorder="1" applyAlignment="1">
      <alignment vertical="center" wrapText="1"/>
    </xf>
    <xf numFmtId="1" fontId="6"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9" fontId="2" fillId="0" borderId="0" xfId="1" applyFont="1" applyBorder="1"/>
    <xf numFmtId="164" fontId="8" fillId="3" borderId="14" xfId="0" applyNumberFormat="1" applyFont="1" applyFill="1" applyBorder="1" applyAlignment="1">
      <alignment horizontal="center" vertical="center"/>
    </xf>
    <xf numFmtId="9" fontId="8"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9" fillId="0" borderId="0" xfId="0" applyNumberFormat="1" applyFont="1"/>
    <xf numFmtId="0" fontId="2" fillId="0" borderId="1"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3" fontId="10" fillId="0" borderId="0" xfId="0" applyNumberFormat="1" applyFont="1"/>
    <xf numFmtId="10" fontId="2" fillId="0" borderId="0" xfId="1" applyNumberFormat="1" applyFont="1" applyFill="1"/>
    <xf numFmtId="9" fontId="2" fillId="3" borderId="1"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6" fillId="0" borderId="3" xfId="3" applyFont="1" applyFill="1" applyBorder="1" applyAlignment="1">
      <alignment horizontal="right" vertical="center"/>
    </xf>
    <xf numFmtId="43" fontId="6" fillId="0" borderId="2" xfId="3" applyFont="1" applyFill="1" applyBorder="1" applyAlignment="1">
      <alignment horizontal="right" vertical="center"/>
    </xf>
    <xf numFmtId="165" fontId="6" fillId="0" borderId="1" xfId="3" applyNumberFormat="1" applyFont="1" applyFill="1" applyBorder="1" applyAlignment="1">
      <alignment horizontal="right" vertical="center"/>
    </xf>
    <xf numFmtId="165" fontId="6" fillId="0" borderId="2" xfId="3" applyNumberFormat="1" applyFont="1" applyFill="1" applyBorder="1" applyAlignment="1">
      <alignment horizontal="right" vertical="center"/>
    </xf>
    <xf numFmtId="9" fontId="6" fillId="0" borderId="1" xfId="1" applyNumberFormat="1" applyFont="1" applyFill="1" applyBorder="1" applyAlignment="1">
      <alignment horizontal="right" vertical="center"/>
    </xf>
    <xf numFmtId="0" fontId="6" fillId="0" borderId="1" xfId="0" applyFont="1" applyFill="1" applyBorder="1" applyAlignment="1">
      <alignment horizontal="right" vertical="center"/>
    </xf>
    <xf numFmtId="9" fontId="6" fillId="0" borderId="1" xfId="0" applyNumberFormat="1" applyFont="1" applyFill="1" applyBorder="1" applyAlignment="1">
      <alignment horizontal="right" vertical="center"/>
    </xf>
    <xf numFmtId="164" fontId="6" fillId="0" borderId="9" xfId="1" applyNumberFormat="1" applyFont="1" applyFill="1" applyBorder="1" applyAlignment="1">
      <alignment horizontal="right" vertical="center"/>
    </xf>
    <xf numFmtId="164" fontId="6" fillId="0" borderId="1" xfId="1" applyNumberFormat="1" applyFont="1" applyFill="1" applyBorder="1" applyAlignment="1">
      <alignment horizontal="right" vertical="center"/>
    </xf>
    <xf numFmtId="43" fontId="6" fillId="0" borderId="1" xfId="3" applyFont="1" applyFill="1" applyBorder="1" applyAlignment="1">
      <alignment horizontal="right" vertical="center"/>
    </xf>
    <xf numFmtId="1" fontId="6" fillId="0" borderId="1" xfId="0" applyNumberFormat="1" applyFont="1" applyFill="1" applyBorder="1" applyAlignment="1">
      <alignment horizontal="right" vertical="center"/>
    </xf>
    <xf numFmtId="1" fontId="6" fillId="0" borderId="2" xfId="0" applyNumberFormat="1" applyFont="1" applyFill="1" applyBorder="1" applyAlignment="1">
      <alignment horizontal="right" vertical="center"/>
    </xf>
    <xf numFmtId="0" fontId="6" fillId="0" borderId="2" xfId="0" applyFont="1" applyFill="1" applyBorder="1" applyAlignment="1">
      <alignment horizontal="right" vertical="center"/>
    </xf>
    <xf numFmtId="165" fontId="6"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6" fillId="3" borderId="9" xfId="0" applyNumberFormat="1" applyFont="1" applyFill="1" applyBorder="1" applyAlignment="1">
      <alignment horizontal="center" vertical="center"/>
    </xf>
    <xf numFmtId="9" fontId="6" fillId="3" borderId="1" xfId="1" applyFont="1" applyFill="1" applyBorder="1" applyAlignment="1">
      <alignment horizontal="center" vertical="center"/>
    </xf>
    <xf numFmtId="9" fontId="6" fillId="3" borderId="1" xfId="0" applyNumberFormat="1" applyFont="1" applyFill="1" applyBorder="1" applyAlignment="1">
      <alignment horizontal="center" vertical="center"/>
    </xf>
    <xf numFmtId="9" fontId="6" fillId="3" borderId="2" xfId="0" applyNumberFormat="1" applyFont="1" applyFill="1" applyBorder="1" applyAlignment="1">
      <alignment horizontal="center" vertical="center"/>
    </xf>
    <xf numFmtId="10" fontId="6" fillId="3" borderId="1" xfId="0" applyNumberFormat="1" applyFont="1" applyFill="1" applyBorder="1" applyAlignment="1">
      <alignment horizontal="center" vertical="center"/>
    </xf>
    <xf numFmtId="10" fontId="6" fillId="3" borderId="9"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9" fontId="6" fillId="3" borderId="11" xfId="0" applyNumberFormat="1" applyFont="1" applyFill="1" applyBorder="1" applyAlignment="1">
      <alignment horizontal="center" vertical="center"/>
    </xf>
    <xf numFmtId="10" fontId="6" fillId="3" borderId="11" xfId="0" applyNumberFormat="1" applyFont="1" applyFill="1" applyBorder="1" applyAlignment="1">
      <alignment horizontal="center" vertical="center"/>
    </xf>
    <xf numFmtId="9" fontId="6" fillId="3" borderId="17" xfId="0" applyNumberFormat="1" applyFont="1" applyFill="1" applyBorder="1" applyAlignment="1">
      <alignment horizontal="center" vertical="center"/>
    </xf>
    <xf numFmtId="164" fontId="6" fillId="3" borderId="11" xfId="0" applyNumberFormat="1" applyFont="1" applyFill="1" applyBorder="1" applyAlignment="1">
      <alignment horizontal="center" vertical="center"/>
    </xf>
    <xf numFmtId="0" fontId="6" fillId="3" borderId="17" xfId="0" applyFont="1" applyFill="1" applyBorder="1" applyAlignment="1">
      <alignment horizontal="right" vertical="center" wrapText="1"/>
    </xf>
    <xf numFmtId="9" fontId="6" fillId="3" borderId="1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9" fontId="6" fillId="3" borderId="1" xfId="0" applyNumberFormat="1" applyFont="1" applyFill="1" applyBorder="1" applyAlignment="1">
      <alignment horizontal="right" vertical="center" wrapText="1"/>
    </xf>
    <xf numFmtId="0" fontId="6" fillId="3" borderId="1" xfId="0"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0" fontId="16" fillId="2" borderId="12"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6" borderId="19"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6" fillId="3" borderId="9" xfId="0" applyFont="1" applyFill="1" applyBorder="1" applyAlignment="1">
      <alignment horizontal="left" vertical="center" wrapText="1" readingOrder="1"/>
    </xf>
    <xf numFmtId="10" fontId="6" fillId="0" borderId="1" xfId="1" applyNumberFormat="1" applyFont="1" applyFill="1" applyBorder="1" applyAlignment="1">
      <alignment horizontal="center" vertical="center"/>
    </xf>
    <xf numFmtId="43" fontId="6" fillId="8" borderId="2" xfId="3" applyFont="1" applyFill="1" applyBorder="1" applyAlignment="1">
      <alignment horizontal="right" vertical="center"/>
    </xf>
    <xf numFmtId="164" fontId="6" fillId="0" borderId="3" xfId="1" applyNumberFormat="1" applyFont="1" applyFill="1" applyBorder="1" applyAlignment="1">
      <alignment horizontal="right" vertical="center"/>
    </xf>
    <xf numFmtId="164" fontId="6" fillId="0" borderId="2" xfId="1" applyNumberFormat="1" applyFont="1" applyFill="1" applyBorder="1" applyAlignment="1">
      <alignment horizontal="right" vertical="center"/>
    </xf>
    <xf numFmtId="43" fontId="6" fillId="0" borderId="1" xfId="3" applyFont="1" applyFill="1" applyBorder="1" applyAlignment="1">
      <alignment horizontal="center" vertical="center"/>
    </xf>
    <xf numFmtId="165" fontId="6" fillId="0" borderId="1" xfId="3" applyNumberFormat="1" applyFont="1" applyFill="1" applyBorder="1" applyAlignment="1">
      <alignment horizontal="center" vertical="center"/>
    </xf>
    <xf numFmtId="43" fontId="2" fillId="0" borderId="0" xfId="0" applyNumberFormat="1" applyFont="1" applyFill="1"/>
    <xf numFmtId="0" fontId="2" fillId="0" borderId="0" xfId="0" applyFont="1" applyFill="1" applyBorder="1" applyAlignment="1">
      <alignment horizontal="justify" vertical="top" wrapText="1"/>
    </xf>
    <xf numFmtId="164" fontId="6" fillId="0" borderId="2" xfId="1" applyNumberFormat="1" applyFont="1" applyFill="1" applyBorder="1" applyAlignment="1">
      <alignment horizontal="center" vertical="center"/>
    </xf>
    <xf numFmtId="164" fontId="17" fillId="3" borderId="1" xfId="0" applyNumberFormat="1" applyFont="1" applyFill="1" applyBorder="1" applyAlignment="1">
      <alignment horizontal="center" vertical="center" wrapText="1"/>
    </xf>
    <xf numFmtId="0" fontId="6" fillId="3" borderId="11" xfId="0" applyFont="1" applyFill="1" applyBorder="1" applyAlignment="1">
      <alignment horizontal="right" vertical="center" wrapText="1"/>
    </xf>
    <xf numFmtId="165" fontId="6" fillId="3" borderId="2" xfId="3"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165" fontId="6" fillId="0" borderId="1" xfId="3" applyNumberFormat="1" applyFont="1" applyFill="1" applyBorder="1" applyAlignment="1">
      <alignment horizontal="right" vertical="center" wrapText="1"/>
    </xf>
    <xf numFmtId="0" fontId="2" fillId="3" borderId="0" xfId="0" applyFont="1" applyFill="1"/>
    <xf numFmtId="9" fontId="17" fillId="3" borderId="1" xfId="1" applyFont="1" applyFill="1" applyBorder="1" applyAlignment="1">
      <alignment horizontal="center" vertical="center" wrapText="1"/>
    </xf>
    <xf numFmtId="10" fontId="6" fillId="0" borderId="1" xfId="1" applyNumberFormat="1" applyFont="1" applyFill="1" applyBorder="1" applyAlignment="1">
      <alignment horizontal="right" vertical="center"/>
    </xf>
    <xf numFmtId="10" fontId="17" fillId="3" borderId="1" xfId="0" applyNumberFormat="1" applyFont="1" applyFill="1" applyBorder="1" applyAlignment="1">
      <alignment horizontal="center" vertical="center" wrapText="1"/>
    </xf>
    <xf numFmtId="43" fontId="6" fillId="3" borderId="14" xfId="3" applyFont="1" applyFill="1" applyBorder="1" applyAlignment="1">
      <alignment horizontal="center" vertical="center" wrapText="1"/>
    </xf>
    <xf numFmtId="9" fontId="17" fillId="3" borderId="9" xfId="0" applyNumberFormat="1" applyFont="1" applyFill="1" applyBorder="1" applyAlignment="1">
      <alignment horizontal="center" vertical="center" wrapText="1"/>
    </xf>
    <xf numFmtId="9" fontId="2" fillId="0" borderId="0" xfId="1" applyFont="1" applyFill="1" applyBorder="1" applyAlignment="1">
      <alignment horizontal="justify" vertical="top" wrapText="1"/>
    </xf>
    <xf numFmtId="0" fontId="2" fillId="3" borderId="2" xfId="0" applyFont="1" applyFill="1" applyBorder="1" applyAlignment="1">
      <alignment horizontal="justify" vertical="top" wrapText="1"/>
    </xf>
    <xf numFmtId="164" fontId="17" fillId="3" borderId="2" xfId="0" applyNumberFormat="1" applyFont="1" applyFill="1" applyBorder="1" applyAlignment="1">
      <alignment horizontal="center" vertical="center" wrapText="1"/>
    </xf>
    <xf numFmtId="43" fontId="6" fillId="3" borderId="1" xfId="3" applyFont="1" applyFill="1" applyBorder="1" applyAlignment="1">
      <alignment horizontal="center" vertical="center" wrapText="1"/>
    </xf>
    <xf numFmtId="9" fontId="18" fillId="3" borderId="2" xfId="1" applyFont="1" applyFill="1" applyBorder="1" applyAlignment="1">
      <alignment horizontal="center" vertical="center" wrapText="1"/>
    </xf>
    <xf numFmtId="0" fontId="6" fillId="3" borderId="1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17" fillId="0" borderId="1" xfId="0" applyNumberFormat="1" applyFont="1" applyBorder="1" applyAlignment="1">
      <alignment horizontal="center" vertical="center" wrapText="1"/>
    </xf>
    <xf numFmtId="164" fontId="6"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164" fontId="17" fillId="0" borderId="1" xfId="0" applyNumberFormat="1" applyFont="1" applyFill="1" applyBorder="1" applyAlignment="1">
      <alignment horizontal="center" vertical="center" wrapText="1"/>
    </xf>
    <xf numFmtId="9" fontId="5" fillId="3" borderId="2" xfId="1" applyFont="1" applyFill="1" applyBorder="1" applyAlignment="1">
      <alignment horizontal="center" vertical="center"/>
    </xf>
    <xf numFmtId="164"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9" fontId="6" fillId="0" borderId="1" xfId="0" applyNumberFormat="1" applyFont="1" applyBorder="1" applyAlignment="1">
      <alignment horizontal="right" vertical="center" wrapText="1"/>
    </xf>
    <xf numFmtId="164" fontId="17" fillId="0" borderId="1" xfId="1" applyNumberFormat="1" applyFont="1" applyBorder="1" applyAlignment="1">
      <alignment horizontal="center" vertical="center" wrapText="1"/>
    </xf>
    <xf numFmtId="0" fontId="6" fillId="0" borderId="1" xfId="0" applyFont="1" applyBorder="1" applyAlignment="1">
      <alignment horizontal="left" vertical="center"/>
    </xf>
    <xf numFmtId="9" fontId="5" fillId="3" borderId="2" xfId="0" applyNumberFormat="1" applyFont="1" applyFill="1" applyBorder="1" applyAlignment="1">
      <alignment horizontal="center" vertical="center"/>
    </xf>
    <xf numFmtId="9" fontId="2" fillId="0" borderId="1" xfId="0" applyNumberFormat="1" applyFont="1" applyBorder="1" applyAlignment="1">
      <alignment horizontal="justify" vertical="center" wrapText="1"/>
    </xf>
    <xf numFmtId="0" fontId="6" fillId="3" borderId="1" xfId="0" applyFont="1" applyFill="1" applyBorder="1" applyAlignment="1">
      <alignment horizontal="justify" vertical="center" wrapText="1" readingOrder="1"/>
    </xf>
    <xf numFmtId="165" fontId="6" fillId="3" borderId="14" xfId="3" applyNumberFormat="1" applyFont="1" applyFill="1" applyBorder="1" applyAlignment="1">
      <alignment horizontal="center" vertical="center" wrapText="1"/>
    </xf>
    <xf numFmtId="43" fontId="6" fillId="0" borderId="9" xfId="3" applyFont="1" applyBorder="1" applyAlignment="1">
      <alignment vertical="center"/>
    </xf>
    <xf numFmtId="9" fontId="17" fillId="0" borderId="1" xfId="1" applyNumberFormat="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9" fontId="17" fillId="0" borderId="1" xfId="0" applyNumberFormat="1" applyFont="1" applyFill="1" applyBorder="1" applyAlignment="1">
      <alignment horizontal="center" vertical="center" wrapText="1"/>
    </xf>
    <xf numFmtId="43" fontId="6" fillId="0" borderId="1" xfId="3" applyFont="1" applyFill="1" applyBorder="1" applyAlignment="1">
      <alignment horizontal="center" vertical="center" wrapText="1"/>
    </xf>
    <xf numFmtId="164" fontId="6" fillId="0" borderId="1" xfId="0" applyNumberFormat="1" applyFont="1" applyFill="1" applyBorder="1" applyAlignment="1">
      <alignment horizontal="right" vertical="center" wrapText="1" indent="2"/>
    </xf>
    <xf numFmtId="10" fontId="6" fillId="0" borderId="1" xfId="0" applyNumberFormat="1" applyFont="1" applyFill="1" applyBorder="1" applyAlignment="1">
      <alignment horizontal="right" vertical="center" wrapText="1"/>
    </xf>
    <xf numFmtId="164" fontId="6" fillId="0" borderId="1" xfId="0" applyNumberFormat="1" applyFont="1" applyBorder="1" applyAlignment="1">
      <alignment horizontal="right" vertical="center" wrapText="1"/>
    </xf>
    <xf numFmtId="10" fontId="20" fillId="3" borderId="1" xfId="0" applyNumberFormat="1" applyFont="1" applyFill="1" applyBorder="1" applyAlignment="1">
      <alignment horizontal="center" vertical="center"/>
    </xf>
    <xf numFmtId="164" fontId="20"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0" fontId="17" fillId="0" borderId="9" xfId="0" applyNumberFormat="1" applyFont="1" applyFill="1" applyBorder="1" applyAlignment="1">
      <alignment horizontal="center" vertical="center" wrapText="1"/>
    </xf>
    <xf numFmtId="43" fontId="6" fillId="0" borderId="9" xfId="0" applyNumberFormat="1" applyFont="1" applyFill="1" applyBorder="1" applyAlignment="1">
      <alignment horizontal="center" vertical="center" wrapText="1"/>
    </xf>
    <xf numFmtId="10" fontId="17" fillId="0" borderId="1" xfId="0" applyNumberFormat="1" applyFont="1" applyBorder="1" applyAlignment="1">
      <alignment horizontal="center" vertical="center" wrapText="1"/>
    </xf>
    <xf numFmtId="9" fontId="6" fillId="0" borderId="1" xfId="0" applyNumberFormat="1" applyFont="1" applyFill="1" applyBorder="1" applyAlignment="1">
      <alignment horizontal="right" vertical="center" wrapText="1" indent="2"/>
    </xf>
    <xf numFmtId="0" fontId="6" fillId="0" borderId="3" xfId="0" applyFont="1" applyFill="1" applyBorder="1" applyAlignment="1">
      <alignment horizontal="center" vertical="center" wrapText="1"/>
    </xf>
    <xf numFmtId="0" fontId="15" fillId="3" borderId="0" xfId="0" applyFont="1" applyFill="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wrapText="1"/>
    </xf>
    <xf numFmtId="0" fontId="2" fillId="0" borderId="9" xfId="0" applyFont="1" applyFill="1" applyBorder="1" applyAlignment="1">
      <alignment horizontal="justify" vertical="top" wrapText="1"/>
    </xf>
    <xf numFmtId="0" fontId="2" fillId="0" borderId="14" xfId="0" applyFont="1" applyFill="1" applyBorder="1" applyAlignment="1">
      <alignment horizontal="justify" vertical="top" wrapText="1"/>
    </xf>
    <xf numFmtId="10" fontId="6" fillId="0" borderId="9" xfId="1" applyNumberFormat="1" applyFont="1" applyFill="1" applyBorder="1" applyAlignment="1">
      <alignment horizontal="right" vertical="center"/>
    </xf>
    <xf numFmtId="10" fontId="20" fillId="3" borderId="9"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wrapText="1"/>
    </xf>
    <xf numFmtId="43" fontId="6" fillId="0" borderId="9" xfId="3"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9" borderId="19" xfId="0" applyFont="1" applyFill="1" applyBorder="1" applyAlignment="1">
      <alignment horizontal="center" vertical="center"/>
    </xf>
    <xf numFmtId="0" fontId="4" fillId="9" borderId="23"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4" borderId="19" xfId="0" applyFont="1" applyFill="1" applyBorder="1" applyAlignment="1">
      <alignment horizontal="center" vertical="center" wrapText="1"/>
    </xf>
    <xf numFmtId="9" fontId="20" fillId="3" borderId="1" xfId="0" applyNumberFormat="1" applyFont="1" applyFill="1" applyBorder="1" applyAlignment="1">
      <alignment horizontal="center" vertical="center"/>
    </xf>
    <xf numFmtId="9" fontId="17" fillId="0" borderId="1" xfId="1" applyFont="1" applyFill="1" applyBorder="1" applyAlignment="1">
      <alignment horizontal="center" vertical="center" wrapText="1"/>
    </xf>
    <xf numFmtId="0" fontId="6" fillId="0" borderId="1" xfId="0" applyFont="1" applyBorder="1" applyAlignment="1">
      <alignment horizontal="left" vertical="center" wrapText="1"/>
    </xf>
    <xf numFmtId="9" fontId="2" fillId="0" borderId="1" xfId="0" applyNumberFormat="1" applyFont="1" applyFill="1" applyBorder="1" applyAlignment="1">
      <alignment horizontal="center" vertical="center"/>
    </xf>
    <xf numFmtId="4" fontId="6" fillId="0" borderId="30" xfId="0" applyNumberFormat="1" applyFont="1" applyBorder="1" applyAlignment="1">
      <alignment horizontal="right" vertical="center"/>
    </xf>
    <xf numFmtId="4" fontId="24" fillId="0" borderId="30" xfId="0" applyNumberFormat="1" applyFont="1" applyBorder="1" applyAlignment="1">
      <alignment horizontal="right" vertical="center"/>
    </xf>
    <xf numFmtId="164" fontId="17" fillId="0" borderId="27" xfId="1" applyNumberFormat="1" applyFont="1" applyBorder="1" applyAlignment="1">
      <alignment horizontal="center" vertical="center"/>
    </xf>
    <xf numFmtId="9" fontId="6" fillId="0" borderId="9" xfId="1" applyNumberFormat="1" applyFont="1" applyBorder="1" applyAlignment="1">
      <alignment horizontal="center" vertical="center"/>
    </xf>
    <xf numFmtId="4" fontId="6" fillId="0" borderId="9" xfId="0" applyNumberFormat="1" applyFont="1" applyBorder="1" applyAlignment="1">
      <alignment horizontal="right" vertical="center"/>
    </xf>
    <xf numFmtId="0" fontId="6" fillId="3" borderId="9" xfId="0" applyFont="1" applyFill="1" applyBorder="1" applyAlignment="1">
      <alignment horizontal="justify" vertical="center" wrapText="1" readingOrder="1"/>
    </xf>
    <xf numFmtId="165" fontId="6" fillId="3" borderId="3" xfId="3" applyNumberFormat="1" applyFont="1" applyFill="1" applyBorder="1" applyAlignment="1">
      <alignment horizontal="center" vertical="center" wrapText="1"/>
    </xf>
    <xf numFmtId="43" fontId="6" fillId="3" borderId="2" xfId="3" applyNumberFormat="1" applyFont="1" applyFill="1" applyBorder="1" applyAlignment="1">
      <alignment horizontal="center" vertical="center" wrapText="1"/>
    </xf>
    <xf numFmtId="4" fontId="6" fillId="0" borderId="1" xfId="0" applyNumberFormat="1" applyFont="1" applyBorder="1" applyAlignment="1">
      <alignment horizontal="right" vertical="center"/>
    </xf>
    <xf numFmtId="165" fontId="6" fillId="3" borderId="1" xfId="3" applyNumberFormat="1" applyFont="1" applyFill="1" applyBorder="1" applyAlignment="1">
      <alignment horizontal="center" vertical="center" wrapText="1"/>
    </xf>
    <xf numFmtId="4" fontId="6" fillId="0" borderId="26" xfId="0" applyNumberFormat="1" applyFont="1" applyBorder="1" applyAlignment="1">
      <alignment horizontal="right" vertical="center"/>
    </xf>
    <xf numFmtId="4" fontId="24" fillId="0" borderId="26" xfId="0" applyNumberFormat="1" applyFont="1" applyBorder="1" applyAlignment="1">
      <alignment horizontal="right" vertical="center"/>
    </xf>
    <xf numFmtId="164" fontId="17" fillId="0" borderId="1" xfId="1" applyNumberFormat="1" applyFont="1" applyBorder="1" applyAlignment="1">
      <alignment horizontal="center" vertical="center"/>
    </xf>
    <xf numFmtId="9" fontId="6" fillId="0" borderId="1" xfId="1" applyFont="1" applyBorder="1" applyAlignment="1">
      <alignment horizontal="center" vertical="center"/>
    </xf>
    <xf numFmtId="0" fontId="0" fillId="0" borderId="26" xfId="0" applyFont="1" applyBorder="1" applyAlignment="1">
      <alignment horizontal="left" vertical="center" wrapText="1"/>
    </xf>
    <xf numFmtId="43" fontId="6" fillId="0" borderId="1" xfId="3" applyFont="1" applyBorder="1" applyAlignment="1">
      <alignment horizontal="left" vertical="center" wrapText="1"/>
    </xf>
    <xf numFmtId="0" fontId="2" fillId="0" borderId="1" xfId="0" applyFont="1" applyBorder="1" applyAlignment="1">
      <alignment vertical="center" wrapText="1"/>
    </xf>
    <xf numFmtId="9" fontId="2" fillId="0" borderId="1" xfId="0" applyNumberFormat="1" applyFont="1" applyBorder="1" applyAlignment="1">
      <alignment horizontal="right" vertical="center" wrapText="1"/>
    </xf>
    <xf numFmtId="0" fontId="2" fillId="0" borderId="1" xfId="0" applyFont="1" applyBorder="1" applyAlignment="1">
      <alignment horizontal="justify" vertical="top" wrapText="1"/>
    </xf>
    <xf numFmtId="0" fontId="6" fillId="0" borderId="14" xfId="0" applyFont="1" applyBorder="1" applyAlignment="1">
      <alignment horizontal="center" vertical="center" wrapText="1"/>
    </xf>
    <xf numFmtId="9" fontId="17" fillId="0" borderId="1" xfId="1" applyFont="1" applyBorder="1" applyAlignment="1">
      <alignment horizontal="center" vertical="center" wrapText="1"/>
    </xf>
    <xf numFmtId="0" fontId="6" fillId="0" borderId="14" xfId="0" applyFont="1" applyBorder="1" applyAlignment="1">
      <alignment horizontal="right" vertical="center" wrapText="1"/>
    </xf>
    <xf numFmtId="0" fontId="2" fillId="3" borderId="1" xfId="0" applyFont="1" applyFill="1" applyBorder="1" applyAlignment="1">
      <alignment horizontal="justify" vertical="center" wrapText="1" readingOrder="1"/>
    </xf>
    <xf numFmtId="0" fontId="2" fillId="0" borderId="27" xfId="0" applyFont="1" applyBorder="1" applyAlignment="1">
      <alignment horizontal="left" vertical="center" wrapText="1"/>
    </xf>
    <xf numFmtId="9" fontId="6" fillId="0" borderId="1" xfId="1" applyFont="1" applyBorder="1" applyAlignment="1">
      <alignment horizontal="center" vertical="center" wrapText="1"/>
    </xf>
    <xf numFmtId="9" fontId="6" fillId="0" borderId="14" xfId="1" applyFont="1" applyBorder="1" applyAlignment="1">
      <alignment horizontal="center" vertical="center" wrapText="1"/>
    </xf>
    <xf numFmtId="0" fontId="2" fillId="0" borderId="1" xfId="0" applyFont="1" applyBorder="1"/>
    <xf numFmtId="0" fontId="19" fillId="4"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10" fontId="2" fillId="0" borderId="1" xfId="0" applyNumberFormat="1" applyFont="1" applyBorder="1" applyAlignment="1">
      <alignment vertical="center"/>
    </xf>
    <xf numFmtId="43" fontId="6" fillId="0" borderId="9" xfId="0" applyNumberFormat="1" applyFont="1" applyBorder="1" applyAlignment="1">
      <alignment horizontal="center" vertical="center"/>
    </xf>
    <xf numFmtId="0" fontId="19" fillId="5" borderId="4" xfId="0" applyFont="1" applyFill="1" applyBorder="1" applyAlignment="1">
      <alignment horizontal="center" vertical="center" wrapText="1"/>
    </xf>
    <xf numFmtId="0" fontId="19" fillId="12" borderId="4" xfId="0" applyFont="1" applyFill="1" applyBorder="1" applyAlignment="1">
      <alignment horizontal="center" vertical="center" wrapText="1"/>
    </xf>
    <xf numFmtId="166" fontId="6" fillId="0" borderId="1" xfId="3"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19" fillId="12" borderId="9" xfId="0" applyFont="1" applyFill="1" applyBorder="1" applyAlignment="1">
      <alignment horizontal="center" vertical="center" wrapText="1"/>
    </xf>
    <xf numFmtId="165" fontId="14" fillId="3" borderId="14" xfId="3" applyNumberFormat="1" applyFont="1" applyFill="1" applyBorder="1" applyAlignment="1">
      <alignment horizontal="center" vertical="center" wrapText="1"/>
    </xf>
    <xf numFmtId="43" fontId="14" fillId="3" borderId="2" xfId="3" applyNumberFormat="1"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14" fillId="3" borderId="9" xfId="0" applyFont="1" applyFill="1" applyBorder="1" applyAlignment="1">
      <alignment horizontal="left" vertical="center" wrapText="1" readingOrder="1"/>
    </xf>
    <xf numFmtId="0" fontId="14" fillId="3" borderId="9" xfId="0" applyFont="1" applyFill="1" applyBorder="1" applyAlignment="1">
      <alignment horizontal="center" vertical="center"/>
    </xf>
    <xf numFmtId="0" fontId="14" fillId="3" borderId="1" xfId="0" applyFont="1" applyFill="1" applyBorder="1" applyAlignment="1">
      <alignment horizontal="justify" vertical="center" wrapText="1"/>
    </xf>
    <xf numFmtId="0" fontId="14" fillId="3" borderId="9" xfId="0" applyFont="1" applyFill="1" applyBorder="1" applyAlignment="1">
      <alignment horizontal="justify" vertical="center" wrapText="1"/>
    </xf>
    <xf numFmtId="0" fontId="14" fillId="3" borderId="14" xfId="0" applyFont="1" applyFill="1" applyBorder="1" applyAlignment="1">
      <alignment horizontal="left" vertical="center" wrapText="1"/>
    </xf>
    <xf numFmtId="164" fontId="14" fillId="3" borderId="14" xfId="0" applyNumberFormat="1" applyFont="1" applyFill="1" applyBorder="1" applyAlignment="1">
      <alignment horizontal="center" vertical="center" wrapText="1"/>
    </xf>
    <xf numFmtId="10" fontId="28" fillId="3" borderId="9" xfId="0" applyNumberFormat="1" applyFont="1" applyFill="1" applyBorder="1" applyAlignment="1">
      <alignment horizontal="center" vertical="center"/>
    </xf>
    <xf numFmtId="0" fontId="14" fillId="3" borderId="9" xfId="0" applyFont="1" applyFill="1" applyBorder="1" applyAlignment="1">
      <alignment horizontal="justify" vertical="center" wrapText="1" readingOrder="1"/>
    </xf>
    <xf numFmtId="0" fontId="14"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xf>
    <xf numFmtId="0" fontId="14" fillId="3" borderId="11" xfId="0" applyFont="1" applyFill="1" applyBorder="1" applyAlignment="1">
      <alignment horizontal="left" vertical="center" wrapText="1"/>
    </xf>
    <xf numFmtId="0" fontId="14" fillId="3" borderId="14" xfId="0" applyFont="1" applyFill="1" applyBorder="1" applyAlignment="1">
      <alignment horizontal="justify" vertical="center" wrapText="1"/>
    </xf>
    <xf numFmtId="9" fontId="14" fillId="3" borderId="14" xfId="0" applyNumberFormat="1" applyFont="1" applyFill="1" applyBorder="1" applyAlignment="1">
      <alignment horizontal="center" vertical="center" wrapText="1"/>
    </xf>
    <xf numFmtId="10" fontId="28" fillId="3" borderId="1" xfId="0" applyNumberFormat="1" applyFont="1" applyFill="1" applyBorder="1" applyAlignment="1">
      <alignment horizontal="center" vertical="center"/>
    </xf>
    <xf numFmtId="0" fontId="14" fillId="3" borderId="1" xfId="0" applyFont="1" applyFill="1" applyBorder="1" applyAlignment="1">
      <alignment horizontal="justify" vertical="center" wrapText="1" readingOrder="1"/>
    </xf>
    <xf numFmtId="165" fontId="14" fillId="3" borderId="1" xfId="3"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9" fontId="28" fillId="3" borderId="1" xfId="0" applyNumberFormat="1" applyFont="1" applyFill="1" applyBorder="1" applyAlignment="1">
      <alignment horizontal="center" vertical="center"/>
    </xf>
    <xf numFmtId="0" fontId="14" fillId="3" borderId="1" xfId="0" applyFont="1" applyFill="1" applyBorder="1" applyAlignment="1">
      <alignment horizontal="left" vertical="center" wrapText="1"/>
    </xf>
    <xf numFmtId="165" fontId="14" fillId="3" borderId="1" xfId="3" applyNumberFormat="1" applyFont="1" applyFill="1" applyBorder="1" applyAlignment="1">
      <alignment vertical="center" wrapText="1"/>
    </xf>
    <xf numFmtId="0" fontId="14" fillId="3" borderId="1" xfId="0" applyFont="1" applyFill="1" applyBorder="1" applyAlignment="1">
      <alignment vertical="center" wrapText="1"/>
    </xf>
    <xf numFmtId="0" fontId="14" fillId="3" borderId="16" xfId="0" applyFont="1" applyFill="1" applyBorder="1" applyAlignment="1">
      <alignment horizontal="justify" vertical="center" wrapText="1"/>
    </xf>
    <xf numFmtId="0" fontId="14" fillId="3" borderId="11" xfId="0" applyFont="1" applyFill="1" applyBorder="1" applyAlignment="1">
      <alignment horizontal="center" vertical="center" wrapText="1"/>
    </xf>
    <xf numFmtId="0" fontId="14" fillId="3" borderId="11" xfId="0" applyFont="1" applyFill="1" applyBorder="1" applyAlignment="1">
      <alignment vertical="center" wrapText="1"/>
    </xf>
    <xf numFmtId="9" fontId="14" fillId="3" borderId="11" xfId="0" applyNumberFormat="1" applyFont="1" applyFill="1" applyBorder="1" applyAlignment="1">
      <alignment horizontal="center" vertical="center" wrapText="1"/>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2" fillId="0" borderId="0" xfId="0" applyFont="1" applyBorder="1" applyAlignment="1"/>
    <xf numFmtId="0" fontId="16" fillId="2" borderId="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7" fillId="6"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29" xfId="0" applyFont="1" applyFill="1" applyBorder="1" applyAlignment="1">
      <alignment horizontal="center" vertical="center"/>
    </xf>
    <xf numFmtId="0" fontId="17" fillId="6" borderId="2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27" fillId="3" borderId="9" xfId="0" applyFont="1" applyFill="1" applyBorder="1" applyAlignment="1">
      <alignment horizontal="center" vertical="center"/>
    </xf>
    <xf numFmtId="0" fontId="14" fillId="3" borderId="9" xfId="0" applyFont="1" applyFill="1" applyBorder="1" applyAlignment="1">
      <alignment vertical="center" wrapText="1"/>
    </xf>
    <xf numFmtId="164" fontId="14" fillId="3" borderId="9" xfId="1" applyNumberFormat="1" applyFont="1" applyFill="1" applyBorder="1" applyAlignment="1">
      <alignment horizontal="center" vertical="center"/>
    </xf>
    <xf numFmtId="4" fontId="14" fillId="3" borderId="9" xfId="0" applyNumberFormat="1" applyFont="1" applyFill="1" applyBorder="1" applyAlignment="1">
      <alignment horizontal="right" vertical="center"/>
    </xf>
    <xf numFmtId="4" fontId="14" fillId="3" borderId="9" xfId="0" applyNumberFormat="1" applyFont="1" applyFill="1" applyBorder="1" applyAlignment="1">
      <alignment vertical="center"/>
    </xf>
    <xf numFmtId="10" fontId="29" fillId="3" borderId="9" xfId="0" applyNumberFormat="1" applyFont="1" applyFill="1" applyBorder="1" applyAlignment="1">
      <alignment horizontal="center" vertical="center" wrapText="1"/>
    </xf>
    <xf numFmtId="43" fontId="14" fillId="3" borderId="9" xfId="3" applyFont="1" applyFill="1" applyBorder="1" applyAlignment="1">
      <alignment horizontal="center" vertical="center" wrapText="1"/>
    </xf>
    <xf numFmtId="10" fontId="26" fillId="3" borderId="1" xfId="0" applyNumberFormat="1" applyFont="1" applyFill="1" applyBorder="1" applyAlignment="1">
      <alignment horizontal="center" vertical="center" wrapText="1"/>
    </xf>
    <xf numFmtId="10" fontId="26" fillId="3" borderId="9" xfId="0" applyNumberFormat="1" applyFont="1" applyFill="1" applyBorder="1" applyAlignment="1">
      <alignment horizontal="center" vertical="center" wrapText="1"/>
    </xf>
    <xf numFmtId="0" fontId="25" fillId="3" borderId="0" xfId="0" applyFont="1" applyFill="1"/>
    <xf numFmtId="0" fontId="27" fillId="3" borderId="1" xfId="0" applyFont="1" applyFill="1" applyBorder="1" applyAlignment="1">
      <alignment horizontal="center" vertical="center"/>
    </xf>
    <xf numFmtId="164" fontId="14" fillId="3" borderId="1" xfId="1" applyNumberFormat="1" applyFont="1" applyFill="1" applyBorder="1" applyAlignment="1">
      <alignment horizontal="center" vertical="center"/>
    </xf>
    <xf numFmtId="9" fontId="14" fillId="3" borderId="1" xfId="1" applyFont="1" applyFill="1" applyBorder="1" applyAlignment="1">
      <alignment horizontal="center" vertical="center"/>
    </xf>
    <xf numFmtId="9" fontId="14" fillId="3" borderId="11" xfId="1" applyNumberFormat="1" applyFont="1" applyFill="1" applyBorder="1" applyAlignment="1">
      <alignment horizontal="center" vertical="center"/>
    </xf>
    <xf numFmtId="10" fontId="29" fillId="3" borderId="1" xfId="0" applyNumberFormat="1" applyFont="1" applyFill="1" applyBorder="1" applyAlignment="1">
      <alignment horizontal="center" vertical="center" wrapText="1"/>
    </xf>
    <xf numFmtId="10" fontId="17" fillId="3" borderId="9"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4" xfId="0"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2" fillId="3" borderId="9" xfId="0" applyFont="1" applyFill="1" applyBorder="1"/>
    <xf numFmtId="0" fontId="14" fillId="3" borderId="3" xfId="0" applyFont="1" applyFill="1" applyBorder="1" applyAlignment="1">
      <alignment vertical="center" wrapText="1"/>
    </xf>
    <xf numFmtId="1" fontId="14" fillId="3" borderId="1" xfId="0" applyNumberFormat="1" applyFont="1" applyFill="1" applyBorder="1" applyAlignment="1">
      <alignment horizontal="center" vertical="center" wrapText="1"/>
    </xf>
    <xf numFmtId="1" fontId="14" fillId="3" borderId="3"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3" xfId="0" applyFont="1" applyFill="1" applyBorder="1" applyAlignment="1">
      <alignment horizontal="center" vertical="center"/>
    </xf>
    <xf numFmtId="0" fontId="2" fillId="3" borderId="1" xfId="0" applyFont="1" applyFill="1" applyBorder="1"/>
    <xf numFmtId="0" fontId="14" fillId="3" borderId="1" xfId="0" applyFont="1" applyFill="1" applyBorder="1" applyAlignment="1">
      <alignment horizontal="left" vertical="center"/>
    </xf>
    <xf numFmtId="9" fontId="14" fillId="3" borderId="1" xfId="0" applyNumberFormat="1" applyFont="1" applyFill="1" applyBorder="1" applyAlignment="1">
      <alignment horizontal="center" vertical="center"/>
    </xf>
    <xf numFmtId="9" fontId="27" fillId="3" borderId="1" xfId="0" applyNumberFormat="1" applyFont="1" applyFill="1" applyBorder="1" applyAlignment="1">
      <alignment vertical="center"/>
    </xf>
    <xf numFmtId="0" fontId="2" fillId="3" borderId="0" xfId="0" applyFont="1" applyFill="1" applyBorder="1" applyAlignment="1"/>
    <xf numFmtId="0" fontId="2" fillId="3" borderId="0" xfId="0" applyFont="1" applyFill="1" applyBorder="1" applyAlignment="1"/>
    <xf numFmtId="0" fontId="2" fillId="3" borderId="0" xfId="0" applyFont="1" applyFill="1" applyBorder="1"/>
    <xf numFmtId="9" fontId="2" fillId="3" borderId="0" xfId="1" applyFont="1" applyFill="1"/>
    <xf numFmtId="0" fontId="30" fillId="3" borderId="16" xfId="0" applyFont="1" applyFill="1" applyBorder="1" applyAlignment="1">
      <alignment horizontal="center" vertical="center" wrapText="1"/>
    </xf>
    <xf numFmtId="9" fontId="2" fillId="3" borderId="0" xfId="1" applyFont="1" applyFill="1" applyBorder="1"/>
    <xf numFmtId="10" fontId="2" fillId="3" borderId="0" xfId="1" applyNumberFormat="1" applyFont="1" applyFill="1"/>
    <xf numFmtId="0" fontId="30" fillId="3" borderId="14" xfId="0" applyFont="1" applyFill="1" applyBorder="1" applyAlignment="1">
      <alignment horizontal="center" vertical="center" wrapText="1"/>
    </xf>
    <xf numFmtId="42" fontId="2" fillId="3" borderId="0" xfId="4" applyFont="1" applyFill="1" applyBorder="1"/>
    <xf numFmtId="9" fontId="2" fillId="3" borderId="0" xfId="0" applyNumberFormat="1" applyFont="1" applyFill="1"/>
    <xf numFmtId="4" fontId="14" fillId="3" borderId="1" xfId="0" applyNumberFormat="1" applyFont="1" applyFill="1" applyBorder="1" applyAlignment="1">
      <alignment horizontal="right" vertical="center"/>
    </xf>
    <xf numFmtId="43" fontId="14" fillId="3" borderId="1" xfId="3"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165" fontId="14" fillId="3" borderId="1" xfId="3" applyNumberFormat="1" applyFont="1" applyFill="1" applyBorder="1" applyAlignment="1">
      <alignment horizontal="center" vertical="center"/>
    </xf>
    <xf numFmtId="43" fontId="14" fillId="3" borderId="1" xfId="3" applyNumberFormat="1" applyFont="1" applyFill="1" applyBorder="1" applyAlignment="1">
      <alignment horizontal="center" vertical="center"/>
    </xf>
    <xf numFmtId="165" fontId="14" fillId="3" borderId="1" xfId="3" applyNumberFormat="1" applyFont="1" applyFill="1" applyBorder="1" applyAlignment="1">
      <alignment vertical="center"/>
    </xf>
    <xf numFmtId="9" fontId="14" fillId="3" borderId="9" xfId="0" applyNumberFormat="1" applyFont="1" applyFill="1" applyBorder="1" applyAlignment="1">
      <alignment horizontal="center" vertical="center" wrapText="1"/>
    </xf>
    <xf numFmtId="9" fontId="14" fillId="3" borderId="1" xfId="0" applyNumberFormat="1" applyFont="1" applyFill="1" applyBorder="1" applyAlignment="1">
      <alignment horizontal="right" vertical="center" wrapText="1"/>
    </xf>
    <xf numFmtId="9" fontId="14" fillId="3" borderId="1" xfId="0" applyNumberFormat="1" applyFont="1" applyFill="1" applyBorder="1" applyAlignment="1">
      <alignment vertical="center" wrapText="1"/>
    </xf>
    <xf numFmtId="9" fontId="29" fillId="3" borderId="1" xfId="1" applyFont="1" applyFill="1" applyBorder="1" applyAlignment="1">
      <alignment horizontal="center" vertical="center" wrapText="1"/>
    </xf>
    <xf numFmtId="0" fontId="31" fillId="3" borderId="1" xfId="0" applyFont="1" applyFill="1" applyBorder="1" applyAlignment="1">
      <alignment horizontal="center" vertical="center" wrapText="1"/>
    </xf>
    <xf numFmtId="0" fontId="30" fillId="3" borderId="35" xfId="0" applyFont="1" applyFill="1" applyBorder="1" applyAlignment="1">
      <alignment horizontal="center" vertical="center" wrapText="1"/>
    </xf>
  </cellXfs>
  <cellStyles count="5">
    <cellStyle name="Millares" xfId="3" builtinId="3"/>
    <cellStyle name="Moneda [0]" xfId="4" builtinId="7"/>
    <cellStyle name="Normal" xfId="0" builtinId="0"/>
    <cellStyle name="Normal 7" xfId="2" xr:uid="{00000000-0005-0000-0000-000003000000}"/>
    <cellStyle name="Porcentaje" xfId="1" builtinId="5"/>
  </cellStyles>
  <dxfs count="213">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9DA70BEA-E6D9-4B6A-86F1-9430E17B2D8B}"/>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5" name="Text Box 21">
          <a:extLst>
            <a:ext uri="{FF2B5EF4-FFF2-40B4-BE49-F238E27FC236}">
              <a16:creationId xmlns:a16="http://schemas.microsoft.com/office/drawing/2014/main" id="{38052C46-3E22-4DDA-8845-1CF223BFCF06}"/>
            </a:ext>
          </a:extLst>
        </xdr:cNvPr>
        <xdr:cNvSpPr txBox="1">
          <a:spLocks noChangeArrowheads="1"/>
        </xdr:cNvSpPr>
      </xdr:nvSpPr>
      <xdr:spPr bwMode="auto">
        <a:xfrm>
          <a:off x="1219200" y="2876550"/>
          <a:ext cx="2779274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0</xdr:row>
      <xdr:rowOff>206375</xdr:rowOff>
    </xdr:from>
    <xdr:ext cx="1714500" cy="1943100"/>
    <xdr:pic>
      <xdr:nvPicPr>
        <xdr:cNvPr id="2" name="image1.png" title="Imagen">
          <a:extLst>
            <a:ext uri="{FF2B5EF4-FFF2-40B4-BE49-F238E27FC236}">
              <a16:creationId xmlns:a16="http://schemas.microsoft.com/office/drawing/2014/main" id="{DB7E4360-1A99-4086-B225-A41505DFE243}"/>
            </a:ext>
          </a:extLst>
        </xdr:cNvPr>
        <xdr:cNvPicPr preferRelativeResize="0"/>
      </xdr:nvPicPr>
      <xdr:blipFill>
        <a:blip xmlns:r="http://schemas.openxmlformats.org/officeDocument/2006/relationships" r:embed="rId1" cstate="print"/>
        <a:stretch>
          <a:fillRect/>
        </a:stretch>
      </xdr:blipFill>
      <xdr:spPr>
        <a:xfrm>
          <a:off x="30613350"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06A05C79-7F21-46D1-8B48-0A122C898002}"/>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15</xdr:col>
      <xdr:colOff>227399</xdr:colOff>
      <xdr:row>1</xdr:row>
      <xdr:rowOff>1562018</xdr:rowOff>
    </xdr:to>
    <xdr:sp macro="" textlink="">
      <xdr:nvSpPr>
        <xdr:cNvPr id="4" name="Text Box 21">
          <a:extLst>
            <a:ext uri="{FF2B5EF4-FFF2-40B4-BE49-F238E27FC236}">
              <a16:creationId xmlns:a16="http://schemas.microsoft.com/office/drawing/2014/main" id="{6AD12D93-3A6E-449A-BA7D-756CF3B7C25B}"/>
            </a:ext>
          </a:extLst>
        </xdr:cNvPr>
        <xdr:cNvSpPr txBox="1">
          <a:spLocks noChangeArrowheads="1"/>
        </xdr:cNvSpPr>
      </xdr:nvSpPr>
      <xdr:spPr bwMode="auto">
        <a:xfrm>
          <a:off x="1219200" y="2876550"/>
          <a:ext cx="2777369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5"/>
  <sheetViews>
    <sheetView showGridLines="0" topLeftCell="A2" zoomScale="50" zoomScaleNormal="50" workbookViewId="0">
      <pane xSplit="3" ySplit="3" topLeftCell="CZ11" activePane="bottomRight" state="frozen"/>
      <selection activeCell="A2" sqref="A2"/>
      <selection pane="topRight" activeCell="C2" sqref="C2"/>
      <selection pane="bottomLeft" activeCell="A4" sqref="A4"/>
      <selection pane="bottomRight" activeCell="DC11" sqref="DC11"/>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66" hidden="1" customWidth="1"/>
    <col min="26" max="26" width="28.140625" style="66" hidden="1" customWidth="1"/>
    <col min="27" max="27" width="28" style="66" hidden="1" customWidth="1"/>
    <col min="28" max="28" width="32.7109375" style="66"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customWidth="1"/>
    <col min="64" max="64" width="28.85546875" style="3" hidden="1" customWidth="1"/>
    <col min="65" max="65" width="27.7109375" style="3"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1" width="27.85546875" style="3" customWidth="1"/>
    <col min="92" max="92" width="167.28515625" style="3" customWidth="1"/>
    <col min="93" max="95" width="27.85546875" style="3" customWidth="1"/>
    <col min="96" max="96" width="29.85546875" style="3" hidden="1" customWidth="1"/>
    <col min="97" max="97" width="30.5703125" style="1" customWidth="1"/>
    <col min="98" max="98" width="28" style="1" customWidth="1"/>
    <col min="99" max="99" width="126.42578125" style="1" customWidth="1"/>
    <col min="100" max="100" width="33.42578125" style="1" customWidth="1"/>
    <col min="101" max="101" width="37.7109375" style="1" customWidth="1"/>
    <col min="102" max="102" width="40.85546875" style="1" customWidth="1"/>
    <col min="103" max="103" width="30.85546875" style="1" hidden="1" customWidth="1"/>
    <col min="104" max="104" width="22.5703125" style="1" customWidth="1"/>
    <col min="105" max="105" width="22" style="1" customWidth="1"/>
    <col min="106" max="106" width="94.28515625" style="1" customWidth="1"/>
    <col min="107" max="107" width="30.28515625" style="1" customWidth="1"/>
    <col min="108" max="108" width="26.85546875" style="1" customWidth="1"/>
    <col min="109" max="109" width="25.140625" style="1" customWidth="1"/>
    <col min="110" max="110" width="37.42578125" style="1" hidden="1" customWidth="1"/>
    <col min="111" max="16384" width="11.42578125" style="1"/>
  </cols>
  <sheetData>
    <row r="1" spans="1:110" ht="178.5" customHeight="1" thickBot="1" x14ac:dyDescent="0.25">
      <c r="B1" s="275" t="s">
        <v>27</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117" t="s">
        <v>137</v>
      </c>
      <c r="CM1" s="117"/>
      <c r="CN1" s="117"/>
      <c r="CO1" s="117"/>
      <c r="CP1" s="117"/>
      <c r="CQ1" s="117"/>
      <c r="CR1" s="3" t="s">
        <v>138</v>
      </c>
    </row>
    <row r="2" spans="1:110" s="175" customFormat="1" ht="178.5" customHeight="1" thickBot="1" x14ac:dyDescent="0.3"/>
    <row r="3" spans="1:110" ht="44.25" customHeight="1" thickBot="1" x14ac:dyDescent="0.25">
      <c r="A3" s="268" t="s">
        <v>218</v>
      </c>
      <c r="B3" s="274" t="s">
        <v>0</v>
      </c>
      <c r="C3" s="272" t="s">
        <v>8</v>
      </c>
      <c r="D3" s="289" t="s">
        <v>1</v>
      </c>
      <c r="E3" s="289" t="s">
        <v>65</v>
      </c>
      <c r="F3" s="289" t="s">
        <v>166</v>
      </c>
      <c r="G3" s="271" t="s">
        <v>2</v>
      </c>
      <c r="H3" s="271"/>
      <c r="I3" s="271"/>
      <c r="J3" s="271"/>
      <c r="K3" s="280" t="s">
        <v>19</v>
      </c>
      <c r="L3" s="278" t="s">
        <v>44</v>
      </c>
      <c r="M3" s="280" t="s">
        <v>77</v>
      </c>
      <c r="N3" s="282" t="s">
        <v>182</v>
      </c>
      <c r="O3" s="282" t="s">
        <v>183</v>
      </c>
      <c r="P3" s="287" t="s">
        <v>136</v>
      </c>
      <c r="Q3" s="287"/>
      <c r="R3" s="288"/>
      <c r="S3" s="288"/>
      <c r="T3" s="287"/>
      <c r="U3" s="288"/>
      <c r="V3" s="287"/>
      <c r="W3" s="283" t="s">
        <v>109</v>
      </c>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3"/>
      <c r="BC3" s="284"/>
      <c r="BD3" s="285"/>
      <c r="BE3" s="285"/>
      <c r="BF3" s="286"/>
      <c r="BG3" s="283"/>
      <c r="BH3" s="283"/>
      <c r="BI3" s="286"/>
      <c r="BJ3" s="283"/>
      <c r="BK3" s="292" t="s">
        <v>223</v>
      </c>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4"/>
    </row>
    <row r="4" spans="1:110" ht="79.5" customHeight="1" thickBot="1" x14ac:dyDescent="0.25">
      <c r="A4" s="269"/>
      <c r="B4" s="274"/>
      <c r="C4" s="273"/>
      <c r="D4" s="291"/>
      <c r="E4" s="291"/>
      <c r="F4" s="290"/>
      <c r="G4" s="101">
        <v>2019</v>
      </c>
      <c r="H4" s="101">
        <v>2020</v>
      </c>
      <c r="I4" s="101">
        <v>2021</v>
      </c>
      <c r="J4" s="101">
        <v>2022</v>
      </c>
      <c r="K4" s="281"/>
      <c r="L4" s="279"/>
      <c r="M4" s="281"/>
      <c r="N4" s="279"/>
      <c r="O4" s="279"/>
      <c r="P4" s="102" t="s">
        <v>141</v>
      </c>
      <c r="Q4" s="103" t="s">
        <v>140</v>
      </c>
      <c r="R4" s="103" t="s">
        <v>132</v>
      </c>
      <c r="S4" s="103" t="s">
        <v>147</v>
      </c>
      <c r="T4" s="103" t="s">
        <v>164</v>
      </c>
      <c r="U4" s="103" t="s">
        <v>11</v>
      </c>
      <c r="V4" s="103" t="s">
        <v>165</v>
      </c>
      <c r="W4" s="105" t="s">
        <v>142</v>
      </c>
      <c r="X4" s="104" t="s">
        <v>133</v>
      </c>
      <c r="Y4" s="104" t="s">
        <v>134</v>
      </c>
      <c r="Z4" s="105" t="s">
        <v>66</v>
      </c>
      <c r="AA4" s="105" t="s">
        <v>31</v>
      </c>
      <c r="AB4" s="105" t="s">
        <v>10</v>
      </c>
      <c r="AC4" s="106" t="s">
        <v>32</v>
      </c>
      <c r="AD4" s="105" t="s">
        <v>33</v>
      </c>
      <c r="AE4" s="105" t="s">
        <v>34</v>
      </c>
      <c r="AF4" s="106" t="s">
        <v>35</v>
      </c>
      <c r="AG4" s="105" t="s">
        <v>51</v>
      </c>
      <c r="AH4" s="105" t="s">
        <v>52</v>
      </c>
      <c r="AI4" s="107" t="s">
        <v>53</v>
      </c>
      <c r="AJ4" s="108" t="s">
        <v>67</v>
      </c>
      <c r="AK4" s="105" t="s">
        <v>68</v>
      </c>
      <c r="AL4" s="105" t="s">
        <v>69</v>
      </c>
      <c r="AM4" s="108" t="s">
        <v>78</v>
      </c>
      <c r="AN4" s="105" t="s">
        <v>79</v>
      </c>
      <c r="AO4" s="105" t="s">
        <v>87</v>
      </c>
      <c r="AP4" s="105" t="s">
        <v>90</v>
      </c>
      <c r="AQ4" s="105" t="s">
        <v>89</v>
      </c>
      <c r="AR4" s="185" t="s">
        <v>88</v>
      </c>
      <c r="AS4" s="105" t="s">
        <v>98</v>
      </c>
      <c r="AT4" s="105" t="s">
        <v>99</v>
      </c>
      <c r="AU4" s="185" t="s">
        <v>100</v>
      </c>
      <c r="AV4" s="105" t="s">
        <v>110</v>
      </c>
      <c r="AW4" s="105" t="s">
        <v>111</v>
      </c>
      <c r="AX4" s="185" t="s">
        <v>112</v>
      </c>
      <c r="AY4" s="105" t="s">
        <v>123</v>
      </c>
      <c r="AZ4" s="105" t="s">
        <v>121</v>
      </c>
      <c r="BA4" s="185" t="s">
        <v>122</v>
      </c>
      <c r="BB4" s="185" t="s">
        <v>185</v>
      </c>
      <c r="BC4" s="185" t="s">
        <v>135</v>
      </c>
      <c r="BD4" s="186" t="s">
        <v>132</v>
      </c>
      <c r="BE4" s="186" t="s">
        <v>147</v>
      </c>
      <c r="BF4" s="186" t="s">
        <v>145</v>
      </c>
      <c r="BG4" s="105" t="s">
        <v>146</v>
      </c>
      <c r="BH4" s="105" t="s">
        <v>144</v>
      </c>
      <c r="BI4" s="186" t="s">
        <v>139</v>
      </c>
      <c r="BJ4" s="105" t="s">
        <v>143</v>
      </c>
      <c r="BK4" s="187" t="s">
        <v>154</v>
      </c>
      <c r="BL4" s="188" t="s">
        <v>155</v>
      </c>
      <c r="BM4" s="188" t="s">
        <v>160</v>
      </c>
      <c r="BN4" s="188" t="s">
        <v>161</v>
      </c>
      <c r="BO4" s="189" t="s">
        <v>156</v>
      </c>
      <c r="BP4" s="189" t="s">
        <v>158</v>
      </c>
      <c r="BQ4" s="190" t="s">
        <v>157</v>
      </c>
      <c r="BR4" s="190" t="s">
        <v>169</v>
      </c>
      <c r="BS4" s="190" t="s">
        <v>159</v>
      </c>
      <c r="BT4" s="190" t="s">
        <v>193</v>
      </c>
      <c r="BU4" s="190" t="s">
        <v>186</v>
      </c>
      <c r="BV4" s="190" t="s">
        <v>187</v>
      </c>
      <c r="BW4" s="190" t="s">
        <v>194</v>
      </c>
      <c r="BX4" s="191" t="s">
        <v>179</v>
      </c>
      <c r="BY4" s="191" t="s">
        <v>169</v>
      </c>
      <c r="BZ4" s="191" t="s">
        <v>180</v>
      </c>
      <c r="CA4" s="192" t="s">
        <v>205</v>
      </c>
      <c r="CB4" s="192" t="s">
        <v>188</v>
      </c>
      <c r="CC4" s="192" t="s">
        <v>189</v>
      </c>
      <c r="CD4" s="192" t="s">
        <v>194</v>
      </c>
      <c r="CE4" s="193" t="s">
        <v>206</v>
      </c>
      <c r="CF4" s="193" t="s">
        <v>169</v>
      </c>
      <c r="CG4" s="193" t="s">
        <v>207</v>
      </c>
      <c r="CH4" s="193" t="s">
        <v>193</v>
      </c>
      <c r="CI4" s="193" t="s">
        <v>186</v>
      </c>
      <c r="CJ4" s="193" t="s">
        <v>187</v>
      </c>
      <c r="CK4" s="193" t="s">
        <v>194</v>
      </c>
      <c r="CL4" s="194" t="s">
        <v>220</v>
      </c>
      <c r="CM4" s="194" t="s">
        <v>169</v>
      </c>
      <c r="CN4" s="194" t="s">
        <v>222</v>
      </c>
      <c r="CO4" s="226" t="s">
        <v>193</v>
      </c>
      <c r="CP4" s="226" t="s">
        <v>186</v>
      </c>
      <c r="CQ4" s="226" t="s">
        <v>187</v>
      </c>
      <c r="CR4" s="226" t="s">
        <v>194</v>
      </c>
      <c r="CS4" s="230" t="s">
        <v>235</v>
      </c>
      <c r="CT4" s="230" t="s">
        <v>169</v>
      </c>
      <c r="CU4" s="230" t="s">
        <v>236</v>
      </c>
      <c r="CV4" s="230" t="s">
        <v>193</v>
      </c>
      <c r="CW4" s="230" t="s">
        <v>186</v>
      </c>
      <c r="CX4" s="230" t="s">
        <v>187</v>
      </c>
      <c r="CY4" s="230" t="s">
        <v>194</v>
      </c>
      <c r="CZ4" s="231" t="s">
        <v>245</v>
      </c>
      <c r="DA4" s="231" t="s">
        <v>169</v>
      </c>
      <c r="DB4" s="231" t="s">
        <v>246</v>
      </c>
      <c r="DC4" s="231" t="s">
        <v>193</v>
      </c>
      <c r="DD4" s="231" t="s">
        <v>186</v>
      </c>
      <c r="DE4" s="231" t="s">
        <v>187</v>
      </c>
      <c r="DF4" s="231" t="s">
        <v>194</v>
      </c>
    </row>
    <row r="5" spans="1:110" ht="207.75" customHeight="1" x14ac:dyDescent="0.2">
      <c r="A5" s="176">
        <v>1</v>
      </c>
      <c r="B5" s="17" t="s">
        <v>18</v>
      </c>
      <c r="C5" s="110" t="s">
        <v>191</v>
      </c>
      <c r="D5" s="37" t="s">
        <v>3</v>
      </c>
      <c r="E5" s="28" t="s">
        <v>63</v>
      </c>
      <c r="F5" s="45" t="s">
        <v>162</v>
      </c>
      <c r="G5" s="38">
        <v>0.03</v>
      </c>
      <c r="H5" s="39">
        <v>0.23</v>
      </c>
      <c r="I5" s="39">
        <v>0.5</v>
      </c>
      <c r="J5" s="39">
        <v>0.6</v>
      </c>
      <c r="K5" s="40" t="s">
        <v>224</v>
      </c>
      <c r="L5" s="45" t="s">
        <v>45</v>
      </c>
      <c r="M5" s="26">
        <v>0.6</v>
      </c>
      <c r="N5" s="155">
        <v>68457962</v>
      </c>
      <c r="O5" s="155">
        <v>114174800</v>
      </c>
      <c r="P5" s="41">
        <v>0.03</v>
      </c>
      <c r="Q5" s="42">
        <v>0.03</v>
      </c>
      <c r="R5" s="129">
        <v>3820715.53</v>
      </c>
      <c r="S5" s="129">
        <v>3820715.53</v>
      </c>
      <c r="T5" s="84">
        <f t="shared" ref="T5:T10" si="0">Q5/P5</f>
        <v>1</v>
      </c>
      <c r="U5" s="82" t="s">
        <v>12</v>
      </c>
      <c r="V5" s="130">
        <f>Q5/M5</f>
        <v>0.05</v>
      </c>
      <c r="W5" s="74">
        <v>0.23</v>
      </c>
      <c r="X5" s="113"/>
      <c r="Y5" s="113"/>
      <c r="Z5" s="67">
        <v>20253667.789999999</v>
      </c>
      <c r="AA5" s="67">
        <v>0</v>
      </c>
      <c r="AB5" s="84">
        <f>AA5/20%</f>
        <v>0</v>
      </c>
      <c r="AC5" s="46" t="s">
        <v>20</v>
      </c>
      <c r="AD5" s="67">
        <v>34421</v>
      </c>
      <c r="AE5" s="89">
        <f>AD5/Z5</f>
        <v>1.6994946474334367E-3</v>
      </c>
      <c r="AF5" s="46" t="s">
        <v>40</v>
      </c>
      <c r="AG5" s="80">
        <v>101437</v>
      </c>
      <c r="AH5" s="90">
        <f>AG5/Z5</f>
        <v>5.0083274324309434E-3</v>
      </c>
      <c r="AI5" s="43" t="s">
        <v>54</v>
      </c>
      <c r="AJ5" s="80">
        <v>102037</v>
      </c>
      <c r="AK5" s="90">
        <f>AJ5/Z5</f>
        <v>5.0379516963529698E-3</v>
      </c>
      <c r="AL5" s="177" t="s">
        <v>70</v>
      </c>
      <c r="AM5" s="80">
        <v>1805376</v>
      </c>
      <c r="AN5" s="90">
        <f>AM5/Z5</f>
        <v>8.913822517081979E-2</v>
      </c>
      <c r="AO5" s="177" t="s">
        <v>82</v>
      </c>
      <c r="AP5" s="80">
        <v>4784680</v>
      </c>
      <c r="AQ5" s="90">
        <f>AP5/Z5</f>
        <v>0.23623770517073345</v>
      </c>
      <c r="AR5" s="178" t="s">
        <v>92</v>
      </c>
      <c r="AS5" s="199">
        <v>6037259.96</v>
      </c>
      <c r="AT5" s="90">
        <f>+AS5/Z5</f>
        <v>0.29808230403486835</v>
      </c>
      <c r="AU5" s="178" t="s">
        <v>103</v>
      </c>
      <c r="AV5" s="199">
        <v>7415231.2000000002</v>
      </c>
      <c r="AW5" s="90">
        <f>+AV5/Z5</f>
        <v>0.36611794351940441</v>
      </c>
      <c r="AX5" s="179" t="s">
        <v>117</v>
      </c>
      <c r="AY5" s="200">
        <v>7918051.8399999999</v>
      </c>
      <c r="AZ5" s="52">
        <f>+AY5/Z5</f>
        <v>0.39094409576074124</v>
      </c>
      <c r="BA5" s="180" t="s">
        <v>129</v>
      </c>
      <c r="BB5" s="181">
        <v>0.1176</v>
      </c>
      <c r="BC5" s="118"/>
      <c r="BD5" s="156">
        <v>26242218.77</v>
      </c>
      <c r="BE5" s="156">
        <v>13418129</v>
      </c>
      <c r="BF5" s="84">
        <f t="shared" ref="BF5:BF10" si="1">BB5/W5</f>
        <v>0.51130434782608691</v>
      </c>
      <c r="BG5" s="131"/>
      <c r="BH5" s="118"/>
      <c r="BI5" s="139" t="s">
        <v>167</v>
      </c>
      <c r="BJ5" s="201">
        <f t="shared" ref="BJ5:BJ10" si="2">BB5/M5</f>
        <v>0.19600000000000001</v>
      </c>
      <c r="BK5" s="202">
        <f>I5</f>
        <v>0.5</v>
      </c>
      <c r="BL5" s="203"/>
      <c r="BM5" s="203">
        <f>O5*50/100</f>
        <v>57087400</v>
      </c>
      <c r="BN5" s="203"/>
      <c r="BO5" s="203"/>
      <c r="BP5" s="179"/>
      <c r="BQ5" s="203">
        <v>77801</v>
      </c>
      <c r="BR5" s="182">
        <f>BQ5/BM5</f>
        <v>1.36284013635233E-3</v>
      </c>
      <c r="BS5" s="204" t="s">
        <v>170</v>
      </c>
      <c r="BT5" s="170">
        <f>BB5/M5</f>
        <v>0.19600000000000001</v>
      </c>
      <c r="BU5" s="203">
        <v>13495930.109999999</v>
      </c>
      <c r="BV5" s="170">
        <f>BU5/O5</f>
        <v>0.11820410554693329</v>
      </c>
      <c r="BW5" s="170">
        <f>+BU5/N5</f>
        <v>0.19714186218397795</v>
      </c>
      <c r="BX5" s="203">
        <v>31966</v>
      </c>
      <c r="BY5" s="182">
        <f>BX5/BM5</f>
        <v>5.5994842995126773E-4</v>
      </c>
      <c r="BZ5" s="204" t="s">
        <v>184</v>
      </c>
      <c r="CA5" s="170">
        <f>BB5/M5</f>
        <v>0.19600000000000001</v>
      </c>
      <c r="CB5" s="203">
        <f>+BU5+BX5</f>
        <v>13527896.109999999</v>
      </c>
      <c r="CC5" s="170">
        <f>CB5/O5</f>
        <v>0.11848407976190893</v>
      </c>
      <c r="CD5" s="170">
        <f>CB5/N5</f>
        <v>0.19760880567843955</v>
      </c>
      <c r="CE5" s="205">
        <v>57741.22</v>
      </c>
      <c r="CF5" s="182">
        <f t="shared" ref="CF5:CF10" si="3">CE5/BM5</f>
        <v>1.0114529651026321E-3</v>
      </c>
      <c r="CG5" s="204" t="s">
        <v>208</v>
      </c>
      <c r="CH5" s="183">
        <f>BB5/M5</f>
        <v>0.19600000000000001</v>
      </c>
      <c r="CI5" s="184">
        <f>+CE5+CB5</f>
        <v>13585637.33</v>
      </c>
      <c r="CJ5" s="170">
        <f>CI5/O5</f>
        <v>0.11898980624446025</v>
      </c>
      <c r="CK5" s="170">
        <f>CI5/N5</f>
        <v>0.19845226081956691</v>
      </c>
      <c r="CL5" s="184">
        <v>2982242.13</v>
      </c>
      <c r="CM5" s="166">
        <f>CL5/BM5</f>
        <v>5.2239936133017091E-2</v>
      </c>
      <c r="CN5" s="204" t="s">
        <v>221</v>
      </c>
      <c r="CO5" s="148">
        <f>BB5/M5</f>
        <v>0.19600000000000001</v>
      </c>
      <c r="CP5" s="162">
        <f>(23568379)+(CL5)</f>
        <v>26550621.129999999</v>
      </c>
      <c r="CQ5" s="148">
        <f>CP5/O5</f>
        <v>0.23254361846922436</v>
      </c>
      <c r="CR5" s="148">
        <f>CP5/N5</f>
        <v>0.38783832229770437</v>
      </c>
      <c r="CS5" s="184">
        <v>424609.13</v>
      </c>
      <c r="CT5" s="182">
        <f>CS5/BM5</f>
        <v>7.4378782358278713E-3</v>
      </c>
      <c r="CU5" s="204" t="s">
        <v>237</v>
      </c>
      <c r="CV5" s="170">
        <f>BB5/M5</f>
        <v>0.19600000000000001</v>
      </c>
      <c r="CW5" s="229">
        <f>CS5+CP5</f>
        <v>26975230.259999998</v>
      </c>
      <c r="CX5" s="170">
        <f>CW5/O5</f>
        <v>0.23626255758713829</v>
      </c>
      <c r="CY5" s="170">
        <f>CW5/N5</f>
        <v>0.3940408021495001</v>
      </c>
      <c r="CZ5" s="229">
        <v>0</v>
      </c>
      <c r="DA5" s="195">
        <f t="shared" ref="DA5:DA10" si="4">CZ5/BM5</f>
        <v>0</v>
      </c>
      <c r="DB5" s="204" t="s">
        <v>247</v>
      </c>
      <c r="DC5" s="170">
        <f>(16.66-1.9)/(61.9-1.9)</f>
        <v>0.246</v>
      </c>
      <c r="DD5" s="229">
        <f>+CZ5+CW5</f>
        <v>26975230.259999998</v>
      </c>
      <c r="DE5" s="170">
        <f>DD5/O5</f>
        <v>0.23626255758713829</v>
      </c>
      <c r="DF5" s="170">
        <f>DD5/N5</f>
        <v>0.3940408021495001</v>
      </c>
    </row>
    <row r="6" spans="1:110" ht="409.5" customHeight="1" x14ac:dyDescent="0.2">
      <c r="A6" s="168">
        <v>2</v>
      </c>
      <c r="B6" s="17" t="s">
        <v>18</v>
      </c>
      <c r="C6" s="9" t="s">
        <v>148</v>
      </c>
      <c r="D6" s="4" t="s">
        <v>3</v>
      </c>
      <c r="E6" s="28" t="s">
        <v>62</v>
      </c>
      <c r="F6" s="28" t="s">
        <v>162</v>
      </c>
      <c r="G6" s="7">
        <v>8.5000000000000006E-2</v>
      </c>
      <c r="H6" s="7">
        <v>0.20100000000000001</v>
      </c>
      <c r="I6" s="7">
        <v>0.35099999999999998</v>
      </c>
      <c r="J6" s="5">
        <v>0.6</v>
      </c>
      <c r="K6" s="64" t="s">
        <v>225</v>
      </c>
      <c r="L6" s="44" t="s">
        <v>46</v>
      </c>
      <c r="M6" s="26">
        <v>0.6</v>
      </c>
      <c r="N6" s="116">
        <v>68457962</v>
      </c>
      <c r="O6" s="155">
        <v>114174800</v>
      </c>
      <c r="P6" s="7">
        <f t="shared" ref="P6:P11" si="5">+G6</f>
        <v>8.5000000000000006E-2</v>
      </c>
      <c r="Q6" s="7">
        <v>2.3E-2</v>
      </c>
      <c r="R6" s="115">
        <v>5818927</v>
      </c>
      <c r="S6" s="115">
        <v>2564383.61</v>
      </c>
      <c r="T6" s="85">
        <f t="shared" si="0"/>
        <v>0.27058823529411763</v>
      </c>
      <c r="U6" s="83" t="s">
        <v>152</v>
      </c>
      <c r="V6" s="120">
        <f>Q6/M6</f>
        <v>3.8333333333333337E-2</v>
      </c>
      <c r="W6" s="75">
        <v>0.20100000000000001</v>
      </c>
      <c r="X6" s="114">
        <v>6.2E-2</v>
      </c>
      <c r="Y6" s="70">
        <v>3256070</v>
      </c>
      <c r="Z6" s="70">
        <v>13763388</v>
      </c>
      <c r="AA6" s="68">
        <v>0</v>
      </c>
      <c r="AB6" s="86">
        <f t="shared" ref="AB6:AB12" si="6">AA6/Z6</f>
        <v>0</v>
      </c>
      <c r="AC6" s="13" t="s">
        <v>21</v>
      </c>
      <c r="AD6" s="68">
        <v>0</v>
      </c>
      <c r="AE6" s="86">
        <f>AD6/Z6</f>
        <v>0</v>
      </c>
      <c r="AF6" s="13" t="s">
        <v>41</v>
      </c>
      <c r="AG6" s="70">
        <v>0</v>
      </c>
      <c r="AH6" s="91">
        <f t="shared" ref="AH6:AH12" si="7">AG6/Z6</f>
        <v>0</v>
      </c>
      <c r="AI6" s="43" t="s">
        <v>61</v>
      </c>
      <c r="AJ6" s="69">
        <v>0</v>
      </c>
      <c r="AK6" s="94">
        <f t="shared" ref="AK6:AK12" si="8">AJ6/Z6</f>
        <v>0</v>
      </c>
      <c r="AL6" s="50" t="s">
        <v>71</v>
      </c>
      <c r="AM6" s="69">
        <v>0</v>
      </c>
      <c r="AN6" s="94">
        <f>AM6/Z6</f>
        <v>0</v>
      </c>
      <c r="AO6" s="50" t="s">
        <v>81</v>
      </c>
      <c r="AP6" s="80">
        <v>0</v>
      </c>
      <c r="AQ6" s="90">
        <f>AP6/Z6</f>
        <v>0</v>
      </c>
      <c r="AR6" s="50" t="s">
        <v>94</v>
      </c>
      <c r="AS6" s="80">
        <v>0</v>
      </c>
      <c r="AT6" s="90">
        <v>0</v>
      </c>
      <c r="AU6" s="50" t="s">
        <v>105</v>
      </c>
      <c r="AV6" s="80">
        <v>0</v>
      </c>
      <c r="AW6" s="90">
        <v>0</v>
      </c>
      <c r="AX6" s="65" t="s">
        <v>119</v>
      </c>
      <c r="AY6" s="80">
        <v>0</v>
      </c>
      <c r="AZ6" s="52">
        <v>0</v>
      </c>
      <c r="BA6" s="65" t="s">
        <v>127</v>
      </c>
      <c r="BB6" s="119">
        <v>0.154</v>
      </c>
      <c r="BC6" s="122">
        <v>17560383</v>
      </c>
      <c r="BD6" s="70">
        <f>114000000*20.1/100</f>
        <v>22914000</v>
      </c>
      <c r="BE6" s="206">
        <v>17560382.690000001</v>
      </c>
      <c r="BF6" s="145">
        <f t="shared" si="1"/>
        <v>0.76616915422885568</v>
      </c>
      <c r="BG6" s="119">
        <f>W6-BB6</f>
        <v>4.7000000000000014E-2</v>
      </c>
      <c r="BH6" s="85">
        <f>M6-BB6</f>
        <v>0.44599999999999995</v>
      </c>
      <c r="BI6" s="132" t="s">
        <v>198</v>
      </c>
      <c r="BJ6" s="133">
        <f t="shared" si="2"/>
        <v>0.25666666666666665</v>
      </c>
      <c r="BK6" s="141">
        <v>0.35099999999999998</v>
      </c>
      <c r="BL6" s="142"/>
      <c r="BM6" s="122">
        <f>O6*BK6</f>
        <v>40075354.799999997</v>
      </c>
      <c r="BN6" s="122"/>
      <c r="BO6" s="114"/>
      <c r="BP6" s="114"/>
      <c r="BQ6" s="114">
        <v>0</v>
      </c>
      <c r="BR6" s="166">
        <v>0</v>
      </c>
      <c r="BS6" s="50" t="s">
        <v>177</v>
      </c>
      <c r="BT6" s="148">
        <f>BB6/M6</f>
        <v>0.25666666666666665</v>
      </c>
      <c r="BU6" s="122">
        <v>17560383</v>
      </c>
      <c r="BV6" s="144">
        <f>BU6/O6</f>
        <v>0.15380261668949716</v>
      </c>
      <c r="BW6" s="148">
        <f>BU6/N6</f>
        <v>0.25651337677858421</v>
      </c>
      <c r="BX6" s="207">
        <v>0</v>
      </c>
      <c r="BY6" s="166">
        <f>BX6/BM6</f>
        <v>0</v>
      </c>
      <c r="BZ6" s="154" t="s">
        <v>199</v>
      </c>
      <c r="CA6" s="144">
        <f>BB6/M7</f>
        <v>0.25666666666666665</v>
      </c>
      <c r="CB6" s="122">
        <v>17560383</v>
      </c>
      <c r="CC6" s="144">
        <f>BU6/O6</f>
        <v>0.15380261668949716</v>
      </c>
      <c r="CD6" s="148">
        <f>CB6/N6</f>
        <v>0.25651337677858421</v>
      </c>
      <c r="CE6" s="122">
        <v>0</v>
      </c>
      <c r="CF6" s="166">
        <f t="shared" si="3"/>
        <v>0</v>
      </c>
      <c r="CG6" s="154" t="s">
        <v>210</v>
      </c>
      <c r="CH6" s="148">
        <f>BB6/M6</f>
        <v>0.25666666666666665</v>
      </c>
      <c r="CI6" s="208">
        <v>17560383</v>
      </c>
      <c r="CJ6" s="144">
        <f>CI6/O6</f>
        <v>0.15380261668949716</v>
      </c>
      <c r="CK6" s="148">
        <f>CB6/N6</f>
        <v>0.25651337677858421</v>
      </c>
      <c r="CL6" s="208">
        <v>0</v>
      </c>
      <c r="CM6" s="166">
        <f t="shared" ref="CM6:CM12" si="9">CL6/BM6</f>
        <v>0</v>
      </c>
      <c r="CN6" s="154" t="s">
        <v>226</v>
      </c>
      <c r="CO6" s="148">
        <f>BB6/M6</f>
        <v>0.25666666666666665</v>
      </c>
      <c r="CP6" s="208">
        <v>17560383</v>
      </c>
      <c r="CQ6" s="148">
        <f>CI6/O6</f>
        <v>0.15380261668949716</v>
      </c>
      <c r="CR6" s="148">
        <f>CB6/N6</f>
        <v>0.25651337677858421</v>
      </c>
      <c r="CS6" s="208">
        <v>0</v>
      </c>
      <c r="CT6" s="166">
        <f>CS6/BM6</f>
        <v>0</v>
      </c>
      <c r="CU6" s="9" t="s">
        <v>238</v>
      </c>
      <c r="CV6" s="148">
        <f>CB6/N6</f>
        <v>0.25651337677858421</v>
      </c>
      <c r="CW6" s="208">
        <v>17560383</v>
      </c>
      <c r="CX6" s="148">
        <f>CI6/O6</f>
        <v>0.15380261668949716</v>
      </c>
      <c r="CY6" s="148">
        <f>CB6/N6</f>
        <v>0.25651337677858421</v>
      </c>
      <c r="CZ6" s="225">
        <v>0</v>
      </c>
      <c r="DA6" s="195">
        <f t="shared" si="4"/>
        <v>0</v>
      </c>
      <c r="DB6" s="204" t="s">
        <v>248</v>
      </c>
      <c r="DC6" s="170">
        <f>CB6/N6</f>
        <v>0.25651337677858421</v>
      </c>
      <c r="DD6" s="208">
        <v>17560383</v>
      </c>
      <c r="DE6" s="170">
        <f>CI6/O6</f>
        <v>0.15380261668949716</v>
      </c>
      <c r="DF6" s="170">
        <f>CB6/N6</f>
        <v>0.25651337677858421</v>
      </c>
    </row>
    <row r="7" spans="1:110" ht="231" customHeight="1" x14ac:dyDescent="0.2">
      <c r="A7" s="168">
        <v>3</v>
      </c>
      <c r="B7" s="17" t="s">
        <v>18</v>
      </c>
      <c r="C7" s="9" t="s">
        <v>192</v>
      </c>
      <c r="D7" s="12" t="s">
        <v>3</v>
      </c>
      <c r="E7" s="28" t="s">
        <v>63</v>
      </c>
      <c r="F7" s="28" t="s">
        <v>162</v>
      </c>
      <c r="G7" s="5">
        <v>0.23</v>
      </c>
      <c r="H7" s="5">
        <v>0.37</v>
      </c>
      <c r="I7" s="5">
        <v>0.49</v>
      </c>
      <c r="J7" s="5">
        <v>0.6</v>
      </c>
      <c r="K7" s="40" t="s">
        <v>224</v>
      </c>
      <c r="L7" s="28" t="s">
        <v>47</v>
      </c>
      <c r="M7" s="6">
        <v>0.6</v>
      </c>
      <c r="N7" s="155">
        <v>68457962</v>
      </c>
      <c r="O7" s="155">
        <v>114174800</v>
      </c>
      <c r="P7" s="7">
        <f t="shared" si="5"/>
        <v>0.23</v>
      </c>
      <c r="Q7" s="7">
        <v>0.23</v>
      </c>
      <c r="R7" s="115">
        <v>26242218.77</v>
      </c>
      <c r="S7" s="115">
        <v>11980143.35</v>
      </c>
      <c r="T7" s="86">
        <f t="shared" si="0"/>
        <v>1</v>
      </c>
      <c r="U7" s="13" t="s">
        <v>15</v>
      </c>
      <c r="V7" s="120">
        <f>Q7/M7</f>
        <v>0.38333333333333336</v>
      </c>
      <c r="W7" s="75">
        <v>0.37</v>
      </c>
      <c r="X7" s="75"/>
      <c r="Y7" s="75"/>
      <c r="Z7" s="76">
        <v>15973524.470000001</v>
      </c>
      <c r="AA7" s="76">
        <v>12368</v>
      </c>
      <c r="AB7" s="88">
        <f>AA7/Z7</f>
        <v>7.7428121910279952E-4</v>
      </c>
      <c r="AC7" s="13" t="s">
        <v>22</v>
      </c>
      <c r="AD7" s="70">
        <v>75374</v>
      </c>
      <c r="AE7" s="88">
        <f>AD7/Z7</f>
        <v>4.7186831022521351E-3</v>
      </c>
      <c r="AF7" s="13" t="s">
        <v>39</v>
      </c>
      <c r="AG7" s="69">
        <v>43006</v>
      </c>
      <c r="AH7" s="92">
        <f t="shared" si="7"/>
        <v>2.6923300540697766E-3</v>
      </c>
      <c r="AI7" s="33" t="s">
        <v>57</v>
      </c>
      <c r="AJ7" s="69">
        <v>168576</v>
      </c>
      <c r="AK7" s="94">
        <f t="shared" si="8"/>
        <v>1.0553463032945789E-2</v>
      </c>
      <c r="AL7" s="33" t="s">
        <v>72</v>
      </c>
      <c r="AM7" s="95">
        <v>7114924.2199999997</v>
      </c>
      <c r="AN7" s="94">
        <f>AM7/Z7</f>
        <v>0.44541980909489287</v>
      </c>
      <c r="AO7" s="50" t="s">
        <v>83</v>
      </c>
      <c r="AP7" s="80">
        <v>7362927</v>
      </c>
      <c r="AQ7" s="90">
        <f>AP7/Z7</f>
        <v>0.46094567381346363</v>
      </c>
      <c r="AR7" s="50" t="s">
        <v>93</v>
      </c>
      <c r="AS7" s="209">
        <v>7362927.5</v>
      </c>
      <c r="AT7" s="90">
        <f>+AS7/Z7</f>
        <v>0.46094570511525934</v>
      </c>
      <c r="AU7" s="50" t="s">
        <v>104</v>
      </c>
      <c r="AV7" s="209">
        <v>7906008.1799999997</v>
      </c>
      <c r="AW7" s="90">
        <f>+AV7/Z7</f>
        <v>0.49494450613252788</v>
      </c>
      <c r="AX7" s="60" t="s">
        <v>118</v>
      </c>
      <c r="AY7" s="210">
        <v>8784660.1699999999</v>
      </c>
      <c r="AZ7" s="52">
        <f>+AY7/Z7</f>
        <v>0.54995127634471264</v>
      </c>
      <c r="BA7" s="60" t="s">
        <v>130</v>
      </c>
      <c r="BB7" s="75">
        <v>0.14230000000000001</v>
      </c>
      <c r="BC7" s="60"/>
      <c r="BD7" s="134">
        <v>42215743.240000002</v>
      </c>
      <c r="BE7" s="134">
        <v>16231703.439999999</v>
      </c>
      <c r="BF7" s="86">
        <f t="shared" si="1"/>
        <v>0.38459459459459461</v>
      </c>
      <c r="BG7" s="60"/>
      <c r="BH7" s="60"/>
      <c r="BI7" s="50" t="s">
        <v>168</v>
      </c>
      <c r="BJ7" s="211">
        <f t="shared" si="2"/>
        <v>0.23716666666666669</v>
      </c>
      <c r="BK7" s="212">
        <v>0.49</v>
      </c>
      <c r="BL7" s="142"/>
      <c r="BM7" s="207">
        <f>O7*49/100</f>
        <v>55945652</v>
      </c>
      <c r="BN7" s="207"/>
      <c r="BO7" s="114"/>
      <c r="BP7" s="65"/>
      <c r="BQ7" s="207">
        <v>128375.7452</v>
      </c>
      <c r="BR7" s="166">
        <f>BQ7/BM7</f>
        <v>2.2946509802048605E-3</v>
      </c>
      <c r="BS7" s="154" t="s">
        <v>171</v>
      </c>
      <c r="BT7" s="172">
        <f>BB7/M7</f>
        <v>0.23716666666666669</v>
      </c>
      <c r="BU7" s="207">
        <v>16360079.189999999</v>
      </c>
      <c r="BV7" s="148">
        <f>BU7/O7</f>
        <v>0.14328975562032953</v>
      </c>
      <c r="BW7" s="148">
        <f>+BU7/N7</f>
        <v>0.23897993326181693</v>
      </c>
      <c r="BX7" s="207">
        <v>48037</v>
      </c>
      <c r="BY7" s="166">
        <f>BX7/BM7</f>
        <v>8.5863687851917426E-4</v>
      </c>
      <c r="BZ7" s="154" t="s">
        <v>181</v>
      </c>
      <c r="CA7" s="148">
        <f>BB7/M7</f>
        <v>0.23716666666666669</v>
      </c>
      <c r="CB7" s="208">
        <f>BU7+BX7</f>
        <v>16408116.189999999</v>
      </c>
      <c r="CC7" s="148">
        <f>CB7/O7</f>
        <v>0.14371048769080391</v>
      </c>
      <c r="CD7" s="148">
        <f>CB7/N7</f>
        <v>0.23968163396392081</v>
      </c>
      <c r="CE7" s="208">
        <v>287686.40000000002</v>
      </c>
      <c r="CF7" s="166">
        <f t="shared" si="3"/>
        <v>5.1422476942444076E-3</v>
      </c>
      <c r="CG7" s="204" t="s">
        <v>209</v>
      </c>
      <c r="CH7" s="170">
        <f>BB7/M7</f>
        <v>0.23716666666666669</v>
      </c>
      <c r="CI7" s="171">
        <f>+CE7+CB7</f>
        <v>16695802.59</v>
      </c>
      <c r="CJ7" s="170">
        <f>CI7/O7</f>
        <v>0.14623018906098367</v>
      </c>
      <c r="CK7" s="170">
        <f>CI7/N7</f>
        <v>0.24388401439703974</v>
      </c>
      <c r="CL7" s="162">
        <v>6980030</v>
      </c>
      <c r="CM7" s="166">
        <f t="shared" si="9"/>
        <v>0.12476447678185965</v>
      </c>
      <c r="CN7" s="154" t="s">
        <v>227</v>
      </c>
      <c r="CO7" s="172">
        <f>BB7/M7</f>
        <v>0.23716666666666669</v>
      </c>
      <c r="CP7" s="162">
        <v>26485263.82</v>
      </c>
      <c r="CQ7" s="148">
        <f>CP7/O7</f>
        <v>0.23197118646146084</v>
      </c>
      <c r="CR7" s="148">
        <f>CP7/N7</f>
        <v>0.38688361508629193</v>
      </c>
      <c r="CS7" s="162">
        <v>2864103</v>
      </c>
      <c r="CT7" s="166">
        <f>CS7/BM7</f>
        <v>5.1194380574919388E-2</v>
      </c>
      <c r="CU7" s="9" t="s">
        <v>239</v>
      </c>
      <c r="CV7" s="148">
        <f>BB7/M7</f>
        <v>0.23716666666666669</v>
      </c>
      <c r="CW7" s="162">
        <f>CS7+CP7</f>
        <v>29349366.82</v>
      </c>
      <c r="CX7" s="144">
        <f>CP7/O7</f>
        <v>0.23197118646146084</v>
      </c>
      <c r="CY7" s="148">
        <f>CW7/N7</f>
        <v>0.42872101305031546</v>
      </c>
      <c r="CZ7" s="232">
        <v>621808.9</v>
      </c>
      <c r="DA7" s="166">
        <f t="shared" si="4"/>
        <v>1.1114516995887367E-2</v>
      </c>
      <c r="DB7" s="9" t="s">
        <v>249</v>
      </c>
      <c r="DC7" s="148">
        <f>(49.73-12.5)/(72.5-12.5)</f>
        <v>0.62049999999999994</v>
      </c>
      <c r="DD7" s="162">
        <f>+CZ7+CW7</f>
        <v>29971175.719999999</v>
      </c>
      <c r="DE7" s="148">
        <f>DD7/O7</f>
        <v>0.26250254627115616</v>
      </c>
      <c r="DF7" s="148">
        <f>DD7/N7</f>
        <v>0.43780408946442195</v>
      </c>
    </row>
    <row r="8" spans="1:110" ht="243" customHeight="1" x14ac:dyDescent="0.2">
      <c r="A8" s="168">
        <v>4</v>
      </c>
      <c r="B8" s="8" t="s">
        <v>17</v>
      </c>
      <c r="C8" s="9" t="s">
        <v>190</v>
      </c>
      <c r="D8" s="4" t="s">
        <v>3</v>
      </c>
      <c r="E8" s="28" t="s">
        <v>195</v>
      </c>
      <c r="F8" s="28" t="s">
        <v>162</v>
      </c>
      <c r="G8" s="111">
        <v>3.0999999999999999E-3</v>
      </c>
      <c r="H8" s="7">
        <v>0.19900000000000001</v>
      </c>
      <c r="I8" s="7">
        <v>0.20300000000000001</v>
      </c>
      <c r="J8" s="7">
        <v>0.59399999999999997</v>
      </c>
      <c r="K8" s="64" t="s">
        <v>225</v>
      </c>
      <c r="L8" s="28" t="s">
        <v>46</v>
      </c>
      <c r="M8" s="6">
        <v>1</v>
      </c>
      <c r="N8" s="116">
        <v>39084775.049999997</v>
      </c>
      <c r="O8" s="116">
        <v>39084775.049999997</v>
      </c>
      <c r="P8" s="7">
        <f t="shared" si="5"/>
        <v>3.0999999999999999E-3</v>
      </c>
      <c r="Q8" s="11">
        <v>3.0999999999999999E-3</v>
      </c>
      <c r="R8" s="115">
        <v>121595.52</v>
      </c>
      <c r="S8" s="115">
        <v>121595.52</v>
      </c>
      <c r="T8" s="86">
        <f t="shared" si="0"/>
        <v>1</v>
      </c>
      <c r="U8" s="14" t="s">
        <v>153</v>
      </c>
      <c r="V8" s="123">
        <f>Q8/M8</f>
        <v>3.0999999999999999E-3</v>
      </c>
      <c r="W8" s="127">
        <v>0.19969999999999999</v>
      </c>
      <c r="X8" s="114"/>
      <c r="Y8" s="114"/>
      <c r="Z8" s="112">
        <v>999718</v>
      </c>
      <c r="AA8" s="70">
        <v>0</v>
      </c>
      <c r="AB8" s="86">
        <f t="shared" si="6"/>
        <v>0</v>
      </c>
      <c r="AC8" s="13" t="s">
        <v>23</v>
      </c>
      <c r="AD8" s="70">
        <v>0</v>
      </c>
      <c r="AE8" s="86">
        <f>AD8/Z8</f>
        <v>0</v>
      </c>
      <c r="AF8" s="13" t="s">
        <v>42</v>
      </c>
      <c r="AG8" s="70">
        <v>0</v>
      </c>
      <c r="AH8" s="91">
        <f t="shared" si="7"/>
        <v>0</v>
      </c>
      <c r="AI8" s="33" t="s">
        <v>60</v>
      </c>
      <c r="AJ8" s="69">
        <v>0</v>
      </c>
      <c r="AK8" s="94">
        <f>AJ8/Z8</f>
        <v>0</v>
      </c>
      <c r="AL8" s="33" t="s">
        <v>60</v>
      </c>
      <c r="AM8" s="69">
        <v>0</v>
      </c>
      <c r="AN8" s="94">
        <f>+AM8/Z8</f>
        <v>0</v>
      </c>
      <c r="AO8" s="13" t="s">
        <v>60</v>
      </c>
      <c r="AP8" s="69">
        <v>0</v>
      </c>
      <c r="AQ8" s="90">
        <f>AP8/Z8</f>
        <v>0</v>
      </c>
      <c r="AR8" s="13" t="s">
        <v>60</v>
      </c>
      <c r="AS8" s="69">
        <v>0</v>
      </c>
      <c r="AT8" s="90">
        <v>0</v>
      </c>
      <c r="AU8" s="213" t="s">
        <v>106</v>
      </c>
      <c r="AV8" s="80">
        <v>0</v>
      </c>
      <c r="AW8" s="90">
        <f>+AV8/Z8</f>
        <v>0</v>
      </c>
      <c r="AX8" s="57" t="s">
        <v>115</v>
      </c>
      <c r="AY8" s="80">
        <v>0</v>
      </c>
      <c r="AZ8" s="52">
        <f>+AY8/Z8</f>
        <v>0</v>
      </c>
      <c r="BA8" s="60" t="s">
        <v>115</v>
      </c>
      <c r="BB8" s="127">
        <v>0.10440000000000001</v>
      </c>
      <c r="BC8" s="60"/>
      <c r="BD8" s="214">
        <f>39084775*19.9/100</f>
        <v>7777870.2249999996</v>
      </c>
      <c r="BE8" s="208">
        <v>4083550.05</v>
      </c>
      <c r="BF8" s="146">
        <f t="shared" si="1"/>
        <v>0.52278417626439666</v>
      </c>
      <c r="BG8" s="11">
        <f>20.3-10.3</f>
        <v>10</v>
      </c>
      <c r="BH8" s="11"/>
      <c r="BI8" s="83" t="s">
        <v>197</v>
      </c>
      <c r="BJ8" s="128">
        <f t="shared" si="2"/>
        <v>0.10440000000000001</v>
      </c>
      <c r="BK8" s="141">
        <v>0.20300000000000001</v>
      </c>
      <c r="BL8" s="142"/>
      <c r="BM8" s="116">
        <v>15829333</v>
      </c>
      <c r="BN8" s="124"/>
      <c r="BO8" s="47"/>
      <c r="BP8" s="47"/>
      <c r="BQ8" s="75" t="s">
        <v>131</v>
      </c>
      <c r="BR8" s="166">
        <v>0</v>
      </c>
      <c r="BS8" s="50" t="s">
        <v>177</v>
      </c>
      <c r="BT8" s="144">
        <f>BB8/M8</f>
        <v>0.10440000000000001</v>
      </c>
      <c r="BU8" s="122">
        <f>4038252.91+121595.52</f>
        <v>4159848.43</v>
      </c>
      <c r="BV8" s="148">
        <f>BU8/N8</f>
        <v>0.10643142821414295</v>
      </c>
      <c r="BW8" s="144">
        <f>+BU8/N8</f>
        <v>0.10643142821414295</v>
      </c>
      <c r="BX8" s="207">
        <v>0</v>
      </c>
      <c r="BY8" s="166">
        <v>0</v>
      </c>
      <c r="BZ8" s="154" t="s">
        <v>200</v>
      </c>
      <c r="CA8" s="148">
        <f>10.44%+0.31%</f>
        <v>0.1075</v>
      </c>
      <c r="CB8" s="122">
        <f>4038252.91+121595.52</f>
        <v>4159848.43</v>
      </c>
      <c r="CC8" s="148">
        <f>10.44%+0.31%</f>
        <v>0.1075</v>
      </c>
      <c r="CD8" s="148">
        <f>10.44%+0.31%</f>
        <v>0.1075</v>
      </c>
      <c r="CE8" s="208">
        <v>0</v>
      </c>
      <c r="CF8" s="166">
        <v>0</v>
      </c>
      <c r="CG8" s="154" t="s">
        <v>211</v>
      </c>
      <c r="CH8" s="148">
        <f>10.44%+0.31%</f>
        <v>0.1075</v>
      </c>
      <c r="CI8" s="122">
        <f>4038252.91+121595.52</f>
        <v>4159848.43</v>
      </c>
      <c r="CJ8" s="148">
        <f>10.44%+0.31%</f>
        <v>0.1075</v>
      </c>
      <c r="CK8" s="148">
        <f>10.44%+0.31%</f>
        <v>0.1075</v>
      </c>
      <c r="CL8" s="208">
        <v>0</v>
      </c>
      <c r="CM8" s="166">
        <f t="shared" si="9"/>
        <v>0</v>
      </c>
      <c r="CN8" s="154" t="s">
        <v>228</v>
      </c>
      <c r="CO8" s="148">
        <f>10.44%+0.31%</f>
        <v>0.1075</v>
      </c>
      <c r="CP8" s="208">
        <f>4038252.91+121595.52</f>
        <v>4159848.43</v>
      </c>
      <c r="CQ8" s="148">
        <f>10.44%+0.31%</f>
        <v>0.1075</v>
      </c>
      <c r="CR8" s="148">
        <f>10.44%+0.31%</f>
        <v>0.1075</v>
      </c>
      <c r="CS8" s="208">
        <v>0</v>
      </c>
      <c r="CT8" s="166">
        <f>CS8/BM8</f>
        <v>0</v>
      </c>
      <c r="CU8" s="154" t="s">
        <v>240</v>
      </c>
      <c r="CV8" s="148">
        <f>10.44%+0.31%</f>
        <v>0.1075</v>
      </c>
      <c r="CW8" s="208">
        <f>4038252.91+121595.52</f>
        <v>4159848.43</v>
      </c>
      <c r="CX8" s="148">
        <f>10.44%+0.31%</f>
        <v>0.1075</v>
      </c>
      <c r="CY8" s="148">
        <f>10.44%+0.31%</f>
        <v>0.1075</v>
      </c>
      <c r="CZ8" s="229">
        <v>0</v>
      </c>
      <c r="DA8" s="195">
        <f t="shared" si="4"/>
        <v>0</v>
      </c>
      <c r="DB8" s="154" t="s">
        <v>250</v>
      </c>
      <c r="DC8" s="148">
        <f>10.44%+0.31%</f>
        <v>0.1075</v>
      </c>
      <c r="DD8" s="208">
        <f>4038252.91+121595.52</f>
        <v>4159848.43</v>
      </c>
      <c r="DE8" s="148">
        <f>10.44%+0.31%</f>
        <v>0.1075</v>
      </c>
      <c r="DF8" s="225"/>
    </row>
    <row r="9" spans="1:110" ht="381.75" customHeight="1" x14ac:dyDescent="0.2">
      <c r="A9" s="168">
        <v>5</v>
      </c>
      <c r="B9" s="17" t="s">
        <v>18</v>
      </c>
      <c r="C9" s="9" t="s">
        <v>9</v>
      </c>
      <c r="D9" s="12" t="s">
        <v>3</v>
      </c>
      <c r="E9" s="28" t="s">
        <v>63</v>
      </c>
      <c r="F9" s="28" t="s">
        <v>173</v>
      </c>
      <c r="G9" s="5">
        <v>0.05</v>
      </c>
      <c r="H9" s="5">
        <v>0.3</v>
      </c>
      <c r="I9" s="5">
        <v>0.6</v>
      </c>
      <c r="J9" s="5">
        <v>1</v>
      </c>
      <c r="K9" s="197" t="s">
        <v>232</v>
      </c>
      <c r="L9" s="28" t="s">
        <v>48</v>
      </c>
      <c r="M9" s="29">
        <v>1</v>
      </c>
      <c r="N9" s="29" t="s">
        <v>50</v>
      </c>
      <c r="O9" s="29" t="s">
        <v>131</v>
      </c>
      <c r="P9" s="5">
        <f t="shared" si="5"/>
        <v>0.05</v>
      </c>
      <c r="Q9" s="5">
        <v>0.05</v>
      </c>
      <c r="R9" s="5">
        <v>0.05</v>
      </c>
      <c r="S9" s="5">
        <v>0.05</v>
      </c>
      <c r="T9" s="86">
        <f t="shared" si="0"/>
        <v>1</v>
      </c>
      <c r="U9" s="14" t="s">
        <v>16</v>
      </c>
      <c r="V9" s="123">
        <f>S9/M9</f>
        <v>0.05</v>
      </c>
      <c r="W9" s="71">
        <v>0.3</v>
      </c>
      <c r="X9" s="71"/>
      <c r="Y9" s="71"/>
      <c r="Z9" s="71">
        <v>0.25</v>
      </c>
      <c r="AA9" s="71">
        <v>0.04</v>
      </c>
      <c r="AB9" s="86">
        <f>AA9/Z9</f>
        <v>0.16</v>
      </c>
      <c r="AC9" s="13" t="s">
        <v>24</v>
      </c>
      <c r="AD9" s="71">
        <v>7.0000000000000007E-2</v>
      </c>
      <c r="AE9" s="86">
        <f>AD9/Z9</f>
        <v>0.28000000000000003</v>
      </c>
      <c r="AF9" s="13" t="s">
        <v>38</v>
      </c>
      <c r="AG9" s="71">
        <v>0.11</v>
      </c>
      <c r="AH9" s="91">
        <f t="shared" si="7"/>
        <v>0.44</v>
      </c>
      <c r="AI9" s="34" t="s">
        <v>56</v>
      </c>
      <c r="AJ9" s="71">
        <v>0.14000000000000001</v>
      </c>
      <c r="AK9" s="91">
        <f t="shared" si="8"/>
        <v>0.56000000000000005</v>
      </c>
      <c r="AL9" s="33" t="s">
        <v>73</v>
      </c>
      <c r="AM9" s="96">
        <v>0.15</v>
      </c>
      <c r="AN9" s="91">
        <f>AM9/Z9</f>
        <v>0.6</v>
      </c>
      <c r="AO9" s="13" t="s">
        <v>84</v>
      </c>
      <c r="AP9" s="73">
        <v>0.15</v>
      </c>
      <c r="AQ9" s="90">
        <f>AP9/Z9</f>
        <v>0.6</v>
      </c>
      <c r="AR9" s="13" t="s">
        <v>96</v>
      </c>
      <c r="AS9" s="73">
        <v>0.15</v>
      </c>
      <c r="AT9" s="90">
        <v>0.5</v>
      </c>
      <c r="AU9" s="215" t="s">
        <v>101</v>
      </c>
      <c r="AV9" s="149">
        <v>0.15</v>
      </c>
      <c r="AW9" s="90">
        <v>0.5</v>
      </c>
      <c r="AX9" s="57" t="s">
        <v>114</v>
      </c>
      <c r="AY9" s="216">
        <v>0.15</v>
      </c>
      <c r="AZ9" s="52">
        <v>0.5</v>
      </c>
      <c r="BA9" s="60" t="s">
        <v>126</v>
      </c>
      <c r="BB9" s="71">
        <v>0.2</v>
      </c>
      <c r="BC9" s="60"/>
      <c r="BD9" s="71">
        <v>0.3</v>
      </c>
      <c r="BE9" s="71">
        <v>0.2</v>
      </c>
      <c r="BF9" s="86">
        <f t="shared" si="1"/>
        <v>0.66666666666666674</v>
      </c>
      <c r="BG9" s="60"/>
      <c r="BH9" s="60"/>
      <c r="BI9" s="217" t="s">
        <v>151</v>
      </c>
      <c r="BJ9" s="140">
        <f t="shared" si="2"/>
        <v>0.2</v>
      </c>
      <c r="BK9" s="149" t="s">
        <v>213</v>
      </c>
      <c r="BL9" s="142"/>
      <c r="BM9" s="149">
        <v>0.6</v>
      </c>
      <c r="BN9" s="149"/>
      <c r="BO9" s="149"/>
      <c r="BP9" s="149"/>
      <c r="BQ9" s="218">
        <v>0</v>
      </c>
      <c r="BR9" s="167">
        <v>0</v>
      </c>
      <c r="BS9" s="153" t="s">
        <v>172</v>
      </c>
      <c r="BT9" s="140">
        <f>BB9/M9</f>
        <v>0.2</v>
      </c>
      <c r="BU9" s="159" t="s">
        <v>131</v>
      </c>
      <c r="BV9" s="159" t="s">
        <v>131</v>
      </c>
      <c r="BW9" s="140">
        <f>BT9/M9</f>
        <v>0.2</v>
      </c>
      <c r="BX9" s="158">
        <v>0</v>
      </c>
      <c r="BY9" s="166">
        <f>BX9/60</f>
        <v>0</v>
      </c>
      <c r="BZ9" s="154" t="s">
        <v>201</v>
      </c>
      <c r="CA9" s="140">
        <f>BW9/M9</f>
        <v>0.2</v>
      </c>
      <c r="CB9" s="159" t="s">
        <v>131</v>
      </c>
      <c r="CC9" s="159" t="s">
        <v>131</v>
      </c>
      <c r="CD9" s="161">
        <f>BT9/M9</f>
        <v>0.2</v>
      </c>
      <c r="CE9" s="163">
        <v>0</v>
      </c>
      <c r="CF9" s="166">
        <f t="shared" si="3"/>
        <v>0</v>
      </c>
      <c r="CG9" s="154" t="s">
        <v>212</v>
      </c>
      <c r="CH9" s="161">
        <f>CA9/M9</f>
        <v>0.2</v>
      </c>
      <c r="CI9" s="164" t="s">
        <v>131</v>
      </c>
      <c r="CJ9" s="164" t="s">
        <v>131</v>
      </c>
      <c r="CK9" s="161">
        <f>CA9/M9</f>
        <v>0.2</v>
      </c>
      <c r="CL9" s="173">
        <v>0.21</v>
      </c>
      <c r="CM9" s="195">
        <f t="shared" si="9"/>
        <v>0.35</v>
      </c>
      <c r="CN9" s="154" t="s">
        <v>229</v>
      </c>
      <c r="CO9" s="196">
        <f>CR9/M9</f>
        <v>0.21</v>
      </c>
      <c r="CP9" s="169" t="s">
        <v>131</v>
      </c>
      <c r="CQ9" s="169" t="s">
        <v>131</v>
      </c>
      <c r="CR9" s="161">
        <v>0.21</v>
      </c>
      <c r="CS9" s="227">
        <v>0.21</v>
      </c>
      <c r="CT9" s="166">
        <f t="shared" ref="CT9:CT12" si="10">CS9/BM9</f>
        <v>0.35</v>
      </c>
      <c r="CU9" s="28" t="s">
        <v>243</v>
      </c>
      <c r="CV9" s="161">
        <f>CS9/M9</f>
        <v>0.21</v>
      </c>
      <c r="CW9" s="12" t="s">
        <v>131</v>
      </c>
      <c r="CX9" s="12" t="s">
        <v>131</v>
      </c>
      <c r="CY9" s="161">
        <v>0.21</v>
      </c>
      <c r="CZ9" s="227">
        <v>0.21</v>
      </c>
      <c r="DA9" s="195">
        <f t="shared" si="4"/>
        <v>0.35</v>
      </c>
      <c r="DB9" s="28" t="s">
        <v>251</v>
      </c>
      <c r="DC9" s="161">
        <f>CZ9/M9</f>
        <v>0.21</v>
      </c>
      <c r="DD9" s="168" t="s">
        <v>131</v>
      </c>
      <c r="DE9" s="168" t="s">
        <v>131</v>
      </c>
      <c r="DF9" s="225"/>
    </row>
    <row r="10" spans="1:110" ht="240" x14ac:dyDescent="0.2">
      <c r="A10" s="168">
        <v>6</v>
      </c>
      <c r="B10" s="17" t="s">
        <v>18</v>
      </c>
      <c r="C10" s="27" t="s">
        <v>5</v>
      </c>
      <c r="D10" s="16" t="s">
        <v>6</v>
      </c>
      <c r="E10" s="28" t="s">
        <v>196</v>
      </c>
      <c r="F10" s="28" t="s">
        <v>163</v>
      </c>
      <c r="G10" s="12">
        <v>6</v>
      </c>
      <c r="H10" s="12">
        <v>10</v>
      </c>
      <c r="I10" s="12">
        <v>17</v>
      </c>
      <c r="J10" s="12">
        <v>20</v>
      </c>
      <c r="K10" s="197" t="s">
        <v>233</v>
      </c>
      <c r="L10" s="28" t="s">
        <v>46</v>
      </c>
      <c r="M10" s="16">
        <v>20</v>
      </c>
      <c r="N10" s="16">
        <v>20</v>
      </c>
      <c r="O10" s="16" t="s">
        <v>131</v>
      </c>
      <c r="P10" s="10">
        <f t="shared" si="5"/>
        <v>6</v>
      </c>
      <c r="Q10" s="10">
        <v>8</v>
      </c>
      <c r="R10" s="10">
        <v>6</v>
      </c>
      <c r="S10" s="10">
        <v>8</v>
      </c>
      <c r="T10" s="86">
        <f t="shared" si="0"/>
        <v>1.3333333333333333</v>
      </c>
      <c r="U10" s="13" t="s">
        <v>13</v>
      </c>
      <c r="V10" s="126">
        <f>Q10/M10</f>
        <v>0.4</v>
      </c>
      <c r="W10" s="77">
        <v>10</v>
      </c>
      <c r="X10" s="77"/>
      <c r="Y10" s="77"/>
      <c r="Z10" s="72">
        <v>4</v>
      </c>
      <c r="AA10" s="72">
        <v>1</v>
      </c>
      <c r="AB10" s="86">
        <f>AA10/4</f>
        <v>0.25</v>
      </c>
      <c r="AC10" s="13" t="s">
        <v>25</v>
      </c>
      <c r="AD10" s="72">
        <v>2</v>
      </c>
      <c r="AE10" s="86">
        <f>AD10/4</f>
        <v>0.5</v>
      </c>
      <c r="AF10" s="13" t="s">
        <v>37</v>
      </c>
      <c r="AG10" s="72">
        <v>2</v>
      </c>
      <c r="AH10" s="91">
        <f>AG10/4</f>
        <v>0.5</v>
      </c>
      <c r="AI10" s="33" t="s">
        <v>59</v>
      </c>
      <c r="AJ10" s="77">
        <v>3</v>
      </c>
      <c r="AK10" s="91">
        <f>AJ10/4</f>
        <v>0.75</v>
      </c>
      <c r="AL10" s="36" t="s">
        <v>74</v>
      </c>
      <c r="AM10" s="97">
        <v>3</v>
      </c>
      <c r="AN10" s="91">
        <f>AM10/4</f>
        <v>0.75</v>
      </c>
      <c r="AO10" s="50" t="s">
        <v>80</v>
      </c>
      <c r="AP10" s="72">
        <v>5</v>
      </c>
      <c r="AQ10" s="90">
        <f>AP10/4</f>
        <v>1.25</v>
      </c>
      <c r="AR10" s="13" t="s">
        <v>95</v>
      </c>
      <c r="AS10" s="99">
        <v>8</v>
      </c>
      <c r="AT10" s="90">
        <f>+AS10/4</f>
        <v>2</v>
      </c>
      <c r="AU10" s="13" t="s">
        <v>107</v>
      </c>
      <c r="AV10" s="99">
        <v>8</v>
      </c>
      <c r="AW10" s="90">
        <f>+AV10/Z10</f>
        <v>2</v>
      </c>
      <c r="AX10" s="57" t="s">
        <v>116</v>
      </c>
      <c r="AY10" s="81">
        <v>9</v>
      </c>
      <c r="AZ10" s="52">
        <f>+AY10/Z10</f>
        <v>2.25</v>
      </c>
      <c r="BA10" s="60" t="s">
        <v>128</v>
      </c>
      <c r="BB10" s="77">
        <v>19</v>
      </c>
      <c r="BC10" s="60"/>
      <c r="BD10" s="77">
        <v>10</v>
      </c>
      <c r="BE10" s="77">
        <v>19</v>
      </c>
      <c r="BF10" s="147">
        <f t="shared" si="1"/>
        <v>1.9</v>
      </c>
      <c r="BG10" s="86"/>
      <c r="BH10" s="86"/>
      <c r="BI10" s="83" t="s">
        <v>178</v>
      </c>
      <c r="BJ10" s="219">
        <f t="shared" si="2"/>
        <v>0.95</v>
      </c>
      <c r="BK10" s="218">
        <v>17</v>
      </c>
      <c r="BL10" s="142"/>
      <c r="BM10" s="218">
        <v>17</v>
      </c>
      <c r="BN10" s="220"/>
      <c r="BO10" s="220"/>
      <c r="BP10" s="220"/>
      <c r="BQ10" s="218">
        <v>19</v>
      </c>
      <c r="BR10" s="166">
        <f>BQ10/BM10</f>
        <v>1.1176470588235294</v>
      </c>
      <c r="BS10" s="83" t="s">
        <v>174</v>
      </c>
      <c r="BT10" s="150">
        <f>BE10/N10</f>
        <v>0.95</v>
      </c>
      <c r="BU10" s="160" t="s">
        <v>131</v>
      </c>
      <c r="BV10" s="160" t="s">
        <v>131</v>
      </c>
      <c r="BW10" s="150">
        <f>BE10/N10</f>
        <v>0.95</v>
      </c>
      <c r="BX10" s="218">
        <v>21</v>
      </c>
      <c r="BY10" s="166">
        <f>BX10/BM10</f>
        <v>1.2352941176470589</v>
      </c>
      <c r="BZ10" s="154" t="s">
        <v>202</v>
      </c>
      <c r="CA10" s="157">
        <f>19/20</f>
        <v>0.95</v>
      </c>
      <c r="CB10" s="159" t="s">
        <v>131</v>
      </c>
      <c r="CC10" s="159" t="s">
        <v>131</v>
      </c>
      <c r="CD10" s="161">
        <f>21/20</f>
        <v>1.05</v>
      </c>
      <c r="CE10" s="220">
        <v>23</v>
      </c>
      <c r="CF10" s="166">
        <f t="shared" si="3"/>
        <v>1.3529411764705883</v>
      </c>
      <c r="CG10" s="154" t="s">
        <v>214</v>
      </c>
      <c r="CH10" s="161">
        <f>CE10/M10</f>
        <v>1.1499999999999999</v>
      </c>
      <c r="CI10" s="159" t="s">
        <v>131</v>
      </c>
      <c r="CJ10" s="159" t="s">
        <v>131</v>
      </c>
      <c r="CK10" s="161">
        <f>CE10/M10</f>
        <v>1.1499999999999999</v>
      </c>
      <c r="CL10" s="208">
        <v>27</v>
      </c>
      <c r="CM10" s="195">
        <f t="shared" si="9"/>
        <v>1.588235294117647</v>
      </c>
      <c r="CN10" s="221" t="s">
        <v>230</v>
      </c>
      <c r="CO10" s="161">
        <f>25/M10</f>
        <v>1.25</v>
      </c>
      <c r="CP10" s="169" t="s">
        <v>131</v>
      </c>
      <c r="CQ10" s="169" t="s">
        <v>131</v>
      </c>
      <c r="CR10" s="161">
        <f>CL10/M10</f>
        <v>1.35</v>
      </c>
      <c r="CS10" s="168">
        <v>28</v>
      </c>
      <c r="CT10" s="166">
        <f t="shared" si="10"/>
        <v>1.6470588235294117</v>
      </c>
      <c r="CU10" s="154" t="s">
        <v>244</v>
      </c>
      <c r="CV10" s="161">
        <f>25/M10</f>
        <v>1.25</v>
      </c>
      <c r="CW10" s="169" t="s">
        <v>131</v>
      </c>
      <c r="CX10" s="169" t="s">
        <v>131</v>
      </c>
      <c r="CY10" s="161">
        <f>CS10/M10</f>
        <v>1.4</v>
      </c>
      <c r="CZ10" s="168">
        <v>31</v>
      </c>
      <c r="DA10" s="166">
        <f t="shared" si="4"/>
        <v>1.8235294117647058</v>
      </c>
      <c r="DB10" s="154" t="s">
        <v>252</v>
      </c>
      <c r="DC10" s="161">
        <f>CZ10/M10</f>
        <v>1.55</v>
      </c>
      <c r="DD10" s="168" t="s">
        <v>131</v>
      </c>
      <c r="DE10" s="168" t="s">
        <v>131</v>
      </c>
      <c r="DF10" s="225"/>
    </row>
    <row r="11" spans="1:110" ht="365.25" customHeight="1" x14ac:dyDescent="0.2">
      <c r="A11" s="168">
        <v>7</v>
      </c>
      <c r="B11" s="18" t="s">
        <v>18</v>
      </c>
      <c r="C11" s="48" t="s">
        <v>7</v>
      </c>
      <c r="D11" s="12" t="s">
        <v>4</v>
      </c>
      <c r="E11" s="28" t="s">
        <v>63</v>
      </c>
      <c r="F11" s="28" t="s">
        <v>163</v>
      </c>
      <c r="G11" s="49">
        <v>175</v>
      </c>
      <c r="H11" s="49">
        <v>200</v>
      </c>
      <c r="I11" s="49">
        <v>225</v>
      </c>
      <c r="J11" s="30">
        <v>250</v>
      </c>
      <c r="K11" s="197" t="s">
        <v>232</v>
      </c>
      <c r="L11" s="32" t="s">
        <v>49</v>
      </c>
      <c r="M11" s="174">
        <v>500</v>
      </c>
      <c r="N11" s="174">
        <v>500</v>
      </c>
      <c r="O11" s="31" t="s">
        <v>131</v>
      </c>
      <c r="P11" s="19">
        <f t="shared" si="5"/>
        <v>175</v>
      </c>
      <c r="Q11" s="19">
        <v>185</v>
      </c>
      <c r="R11" s="19">
        <v>175</v>
      </c>
      <c r="S11" s="19">
        <v>185</v>
      </c>
      <c r="T11" s="87">
        <f>(Q11-150)/(P11-150)</f>
        <v>1.4</v>
      </c>
      <c r="U11" s="20" t="s">
        <v>14</v>
      </c>
      <c r="V11" s="135">
        <f>Q11/N11</f>
        <v>0.37</v>
      </c>
      <c r="W11" s="78">
        <v>200</v>
      </c>
      <c r="X11" s="78"/>
      <c r="Y11" s="78"/>
      <c r="Z11" s="79">
        <v>25</v>
      </c>
      <c r="AA11" s="69">
        <v>0</v>
      </c>
      <c r="AB11" s="87">
        <f>AA11/25</f>
        <v>0</v>
      </c>
      <c r="AC11" s="20" t="s">
        <v>26</v>
      </c>
      <c r="AD11" s="69">
        <v>0</v>
      </c>
      <c r="AE11" s="87">
        <f>AD11/25</f>
        <v>0</v>
      </c>
      <c r="AF11" s="20" t="s">
        <v>36</v>
      </c>
      <c r="AG11" s="69">
        <v>0</v>
      </c>
      <c r="AH11" s="93">
        <f>AG11/25</f>
        <v>0</v>
      </c>
      <c r="AI11" s="35" t="s">
        <v>58</v>
      </c>
      <c r="AJ11" s="72">
        <v>15</v>
      </c>
      <c r="AK11" s="91">
        <f>AJ11/25</f>
        <v>0.6</v>
      </c>
      <c r="AL11" s="35" t="s">
        <v>75</v>
      </c>
      <c r="AM11" s="95">
        <v>33</v>
      </c>
      <c r="AN11" s="91">
        <f>AM11/25</f>
        <v>1.32</v>
      </c>
      <c r="AO11" s="13" t="s">
        <v>86</v>
      </c>
      <c r="AP11" s="72">
        <v>55</v>
      </c>
      <c r="AQ11" s="91">
        <f>AP11/25</f>
        <v>2.2000000000000002</v>
      </c>
      <c r="AR11" s="13" t="s">
        <v>91</v>
      </c>
      <c r="AS11" s="99">
        <v>77</v>
      </c>
      <c r="AT11" s="91">
        <f>+AS11/25</f>
        <v>3.08</v>
      </c>
      <c r="AU11" s="13" t="s">
        <v>102</v>
      </c>
      <c r="AV11" s="99">
        <v>117</v>
      </c>
      <c r="AW11" s="91">
        <f>+AV11/25</f>
        <v>4.68</v>
      </c>
      <c r="AX11" s="222" t="s">
        <v>120</v>
      </c>
      <c r="AY11" s="81">
        <v>150</v>
      </c>
      <c r="AZ11" s="53">
        <f>+AY11/25</f>
        <v>6</v>
      </c>
      <c r="BA11" s="60" t="s">
        <v>124</v>
      </c>
      <c r="BB11" s="78">
        <v>372</v>
      </c>
      <c r="BC11" s="60"/>
      <c r="BD11" s="78">
        <v>200</v>
      </c>
      <c r="BE11" s="78">
        <v>372</v>
      </c>
      <c r="BF11" s="152">
        <f>(BB11-150)/(W11-150)</f>
        <v>4.4400000000000004</v>
      </c>
      <c r="BG11" s="60"/>
      <c r="BH11" s="60"/>
      <c r="BI11" s="83" t="s">
        <v>149</v>
      </c>
      <c r="BJ11" s="126">
        <f>(BE11-150)/(250-150)</f>
        <v>2.2200000000000002</v>
      </c>
      <c r="BK11" s="136">
        <v>472</v>
      </c>
      <c r="BL11" s="99"/>
      <c r="BM11" s="136">
        <v>472</v>
      </c>
      <c r="BN11" s="121"/>
      <c r="BO11" s="121"/>
      <c r="BP11" s="83"/>
      <c r="BQ11" s="218">
        <v>372</v>
      </c>
      <c r="BR11" s="166">
        <f>BQ11/BK11</f>
        <v>0.78813559322033899</v>
      </c>
      <c r="BS11" s="83" t="s">
        <v>175</v>
      </c>
      <c r="BT11" s="219">
        <f>(BE11-150)/(250-150)</f>
        <v>2.2200000000000002</v>
      </c>
      <c r="BU11" s="223" t="s">
        <v>131</v>
      </c>
      <c r="BV11" s="223" t="s">
        <v>131</v>
      </c>
      <c r="BW11" s="219">
        <f>(BE11-150)/(250-150)</f>
        <v>2.2200000000000002</v>
      </c>
      <c r="BX11" s="218">
        <v>372</v>
      </c>
      <c r="BY11" s="166">
        <f>BX11/472</f>
        <v>0.78813559322033899</v>
      </c>
      <c r="BZ11" s="154" t="s">
        <v>203</v>
      </c>
      <c r="CA11" s="219">
        <f>(BE11-150)/(250-150)</f>
        <v>2.2200000000000002</v>
      </c>
      <c r="CB11" s="159" t="s">
        <v>131</v>
      </c>
      <c r="CC11" s="159" t="s">
        <v>131</v>
      </c>
      <c r="CD11" s="161">
        <f>(BE11-150)/(250-150)</f>
        <v>2.2200000000000002</v>
      </c>
      <c r="CE11" s="220">
        <v>372</v>
      </c>
      <c r="CF11" s="166">
        <f>CE11/BK11</f>
        <v>0.78813559322033899</v>
      </c>
      <c r="CG11" s="154" t="s">
        <v>215</v>
      </c>
      <c r="CH11" s="161">
        <f>(BE11-150)/(250-150)</f>
        <v>2.2200000000000002</v>
      </c>
      <c r="CI11" s="159" t="s">
        <v>131</v>
      </c>
      <c r="CJ11" s="159" t="s">
        <v>131</v>
      </c>
      <c r="CK11" s="161">
        <f>(BE11-150)/(250-150)</f>
        <v>2.2200000000000002</v>
      </c>
      <c r="CL11" s="169">
        <v>512</v>
      </c>
      <c r="CM11" s="195">
        <f t="shared" si="9"/>
        <v>1.0847457627118644</v>
      </c>
      <c r="CN11" s="154" t="s">
        <v>231</v>
      </c>
      <c r="CO11" s="161">
        <f>(CL11-150)/(500-150)</f>
        <v>1.0342857142857143</v>
      </c>
      <c r="CP11" s="48" t="s">
        <v>131</v>
      </c>
      <c r="CQ11" s="48" t="s">
        <v>131</v>
      </c>
      <c r="CR11" s="161">
        <f>(CL11-150)/(500-150)</f>
        <v>1.0342857142857143</v>
      </c>
      <c r="CS11" s="168">
        <v>526</v>
      </c>
      <c r="CT11" s="166">
        <f t="shared" si="10"/>
        <v>1.1144067796610169</v>
      </c>
      <c r="CU11" s="154" t="s">
        <v>241</v>
      </c>
      <c r="CV11" s="161">
        <f>(CS11-150)/(500-150)</f>
        <v>1.0742857142857143</v>
      </c>
      <c r="CW11" s="168" t="s">
        <v>131</v>
      </c>
      <c r="CX11" s="168" t="s">
        <v>131</v>
      </c>
      <c r="CY11" s="161">
        <f>(CS11-150)/(500-150)</f>
        <v>1.0742857142857143</v>
      </c>
      <c r="CZ11" s="168">
        <v>539</v>
      </c>
      <c r="DA11" s="166">
        <f>CZ11/BK11</f>
        <v>1.1419491525423728</v>
      </c>
      <c r="DB11" s="154" t="s">
        <v>253</v>
      </c>
      <c r="DC11" s="161">
        <f>(539-150)/(500-150)</f>
        <v>1.1114285714285714</v>
      </c>
      <c r="DD11" s="168" t="s">
        <v>131</v>
      </c>
      <c r="DE11" s="168" t="s">
        <v>131</v>
      </c>
      <c r="DF11" s="225"/>
    </row>
    <row r="12" spans="1:110" ht="402.75" customHeight="1" x14ac:dyDescent="0.2">
      <c r="A12" s="168">
        <v>8</v>
      </c>
      <c r="B12" s="21" t="s">
        <v>217</v>
      </c>
      <c r="C12" s="21" t="s">
        <v>28</v>
      </c>
      <c r="D12" s="22" t="s">
        <v>3</v>
      </c>
      <c r="E12" s="28" t="s">
        <v>64</v>
      </c>
      <c r="F12" s="151" t="s">
        <v>162</v>
      </c>
      <c r="G12" s="23">
        <v>0.1</v>
      </c>
      <c r="H12" s="23">
        <v>0.3</v>
      </c>
      <c r="I12" s="23">
        <v>0.3</v>
      </c>
      <c r="J12" s="23">
        <v>0.3</v>
      </c>
      <c r="K12" s="197" t="s">
        <v>234</v>
      </c>
      <c r="L12" s="28" t="s">
        <v>49</v>
      </c>
      <c r="M12" s="24">
        <v>1</v>
      </c>
      <c r="N12" s="24">
        <v>1</v>
      </c>
      <c r="O12" s="24" t="s">
        <v>131</v>
      </c>
      <c r="P12" s="24">
        <v>0.1</v>
      </c>
      <c r="Q12" s="24">
        <v>0.1</v>
      </c>
      <c r="R12" s="24">
        <v>0.1</v>
      </c>
      <c r="S12" s="24">
        <v>0.1</v>
      </c>
      <c r="T12" s="86">
        <f>Q12/P12</f>
        <v>1</v>
      </c>
      <c r="U12" s="13" t="s">
        <v>29</v>
      </c>
      <c r="V12" s="137">
        <f>S12/M12</f>
        <v>0.1</v>
      </c>
      <c r="W12" s="73">
        <v>0.3</v>
      </c>
      <c r="X12" s="73"/>
      <c r="Y12" s="73"/>
      <c r="Z12" s="73">
        <v>0.3</v>
      </c>
      <c r="AA12" s="73">
        <v>0.01</v>
      </c>
      <c r="AB12" s="87">
        <f t="shared" si="6"/>
        <v>3.3333333333333333E-2</v>
      </c>
      <c r="AC12" s="13" t="s">
        <v>30</v>
      </c>
      <c r="AD12" s="71">
        <v>0.02</v>
      </c>
      <c r="AE12" s="86">
        <f>AD12/Z12</f>
        <v>6.6666666666666666E-2</v>
      </c>
      <c r="AF12" s="13" t="s">
        <v>43</v>
      </c>
      <c r="AG12" s="71">
        <v>0.05</v>
      </c>
      <c r="AH12" s="86">
        <f t="shared" si="7"/>
        <v>0.16666666666666669</v>
      </c>
      <c r="AI12" s="13" t="s">
        <v>55</v>
      </c>
      <c r="AJ12" s="73">
        <v>0.06</v>
      </c>
      <c r="AK12" s="86">
        <f t="shared" si="8"/>
        <v>0.2</v>
      </c>
      <c r="AL12" s="13" t="s">
        <v>76</v>
      </c>
      <c r="AM12" s="98">
        <v>0.09</v>
      </c>
      <c r="AN12" s="86">
        <f>AM12/Z12</f>
        <v>0.3</v>
      </c>
      <c r="AO12" s="13" t="s">
        <v>85</v>
      </c>
      <c r="AP12" s="98">
        <v>0.16</v>
      </c>
      <c r="AQ12" s="91">
        <f>AP12/Z12</f>
        <v>0.53333333333333333</v>
      </c>
      <c r="AR12" s="13" t="s">
        <v>97</v>
      </c>
      <c r="AS12" s="98">
        <v>0.21</v>
      </c>
      <c r="AT12" s="91">
        <f>+AS12/Z12</f>
        <v>0.7</v>
      </c>
      <c r="AU12" s="13" t="s">
        <v>108</v>
      </c>
      <c r="AV12" s="100">
        <v>0.23499999999999999</v>
      </c>
      <c r="AW12" s="91">
        <f>+AV12/Z12</f>
        <v>0.78333333333333333</v>
      </c>
      <c r="AX12" s="13" t="s">
        <v>113</v>
      </c>
      <c r="AY12" s="63">
        <v>0.27</v>
      </c>
      <c r="AZ12" s="53">
        <f>+AY12/Z12</f>
        <v>0.90000000000000013</v>
      </c>
      <c r="BA12" s="83" t="s">
        <v>125</v>
      </c>
      <c r="BB12" s="73">
        <v>0.3</v>
      </c>
      <c r="BC12" s="83"/>
      <c r="BD12" s="73">
        <v>0.3</v>
      </c>
      <c r="BE12" s="73">
        <v>0.3</v>
      </c>
      <c r="BF12" s="152">
        <f>BE12/BD12</f>
        <v>1</v>
      </c>
      <c r="BG12" s="83"/>
      <c r="BH12" s="83"/>
      <c r="BI12" s="83" t="s">
        <v>150</v>
      </c>
      <c r="BJ12" s="126">
        <f>(BE12+Q12)</f>
        <v>0.4</v>
      </c>
      <c r="BK12" s="138">
        <v>0.3</v>
      </c>
      <c r="BL12" s="96"/>
      <c r="BM12" s="138">
        <v>0.3</v>
      </c>
      <c r="BN12" s="96"/>
      <c r="BO12" s="121"/>
      <c r="BP12" s="83"/>
      <c r="BQ12" s="224">
        <v>0.01</v>
      </c>
      <c r="BR12" s="166">
        <f>BQ12/BK12</f>
        <v>3.3333333333333333E-2</v>
      </c>
      <c r="BS12" s="83" t="s">
        <v>176</v>
      </c>
      <c r="BT12" s="137">
        <f>BE12+Q12</f>
        <v>0.4</v>
      </c>
      <c r="BU12" s="6" t="s">
        <v>131</v>
      </c>
      <c r="BV12" s="6" t="s">
        <v>131</v>
      </c>
      <c r="BW12" s="137">
        <f>BE12+Q12+BQ12</f>
        <v>0.41000000000000003</v>
      </c>
      <c r="BX12" s="158">
        <v>1.4999999999999999E-2</v>
      </c>
      <c r="BY12" s="166">
        <f>BX12/BM12</f>
        <v>0.05</v>
      </c>
      <c r="BZ12" s="154" t="s">
        <v>204</v>
      </c>
      <c r="CA12" s="137">
        <f>BE12+Q12</f>
        <v>0.4</v>
      </c>
      <c r="CB12" s="159" t="s">
        <v>131</v>
      </c>
      <c r="CC12" s="159" t="s">
        <v>131</v>
      </c>
      <c r="CD12" s="148">
        <f>BE12+Q12+BQ12+BX12</f>
        <v>0.42500000000000004</v>
      </c>
      <c r="CE12" s="165">
        <v>2.5000000000000001E-2</v>
      </c>
      <c r="CF12" s="166">
        <f>CE12/BK12</f>
        <v>8.3333333333333343E-2</v>
      </c>
      <c r="CG12" s="154" t="s">
        <v>216</v>
      </c>
      <c r="CH12" s="161">
        <f>CA12</f>
        <v>0.4</v>
      </c>
      <c r="CI12" s="159" t="s">
        <v>131</v>
      </c>
      <c r="CJ12" s="159" t="s">
        <v>131</v>
      </c>
      <c r="CK12" s="161">
        <f>CE12+BX12+BQ12+BJ12</f>
        <v>0.45</v>
      </c>
      <c r="CL12" s="198">
        <v>0.01</v>
      </c>
      <c r="CM12" s="195">
        <f t="shared" si="9"/>
        <v>3.3333333333333333E-2</v>
      </c>
      <c r="CN12" s="154" t="s">
        <v>219</v>
      </c>
      <c r="CO12" s="161">
        <f>CA12</f>
        <v>0.4</v>
      </c>
      <c r="CP12" s="169" t="s">
        <v>131</v>
      </c>
      <c r="CQ12" s="169" t="s">
        <v>131</v>
      </c>
      <c r="CR12" s="144">
        <v>0.58199999999999996</v>
      </c>
      <c r="CS12" s="228">
        <v>3.7999999999999999E-2</v>
      </c>
      <c r="CT12" s="166">
        <f t="shared" si="10"/>
        <v>0.12666666666666668</v>
      </c>
      <c r="CU12" s="154" t="s">
        <v>242</v>
      </c>
      <c r="CV12" s="161">
        <f>CA12</f>
        <v>0.4</v>
      </c>
      <c r="CW12" s="168" t="s">
        <v>131</v>
      </c>
      <c r="CX12" s="168" t="s">
        <v>131</v>
      </c>
      <c r="CY12" s="161">
        <v>0.62</v>
      </c>
      <c r="CZ12" s="233">
        <v>1.2E-2</v>
      </c>
      <c r="DA12" s="195">
        <f>CZ12/BK12</f>
        <v>0.04</v>
      </c>
      <c r="DB12" s="154" t="s">
        <v>254</v>
      </c>
      <c r="DC12" s="161">
        <f>CA12</f>
        <v>0.4</v>
      </c>
      <c r="DD12" s="168" t="s">
        <v>131</v>
      </c>
      <c r="DE12" s="168" t="s">
        <v>131</v>
      </c>
      <c r="DF12" s="225"/>
    </row>
    <row r="13" spans="1:110" ht="17.25" customHeight="1" x14ac:dyDescent="0.2">
      <c r="B13" s="270"/>
      <c r="C13" s="270"/>
      <c r="D13" s="270"/>
      <c r="E13" s="270"/>
      <c r="F13" s="143"/>
      <c r="G13" s="2"/>
      <c r="H13" s="2"/>
      <c r="I13" s="2"/>
      <c r="J13" s="2"/>
      <c r="K13" s="2"/>
      <c r="L13" s="2"/>
      <c r="M13" s="2"/>
      <c r="N13" s="2"/>
      <c r="O13" s="2"/>
      <c r="AM13" s="54"/>
      <c r="AQ13" s="54"/>
      <c r="AS13" s="55"/>
      <c r="BI13" s="125"/>
      <c r="BT13" s="54"/>
      <c r="BU13" s="54"/>
      <c r="BV13" s="54"/>
      <c r="BW13" s="54"/>
      <c r="BX13" s="54"/>
      <c r="BY13" s="54"/>
      <c r="BZ13" s="54"/>
      <c r="CA13" s="54"/>
      <c r="CB13" s="54"/>
      <c r="CC13" s="54"/>
      <c r="CD13" s="54"/>
      <c r="CE13" s="54"/>
      <c r="CF13" s="54"/>
      <c r="CG13" s="54"/>
      <c r="CH13" s="54"/>
      <c r="CI13" s="54"/>
      <c r="CJ13" s="54"/>
      <c r="CK13" s="54"/>
    </row>
    <row r="14" spans="1:110" ht="23.25" hidden="1" customHeight="1" x14ac:dyDescent="0.2">
      <c r="B14" s="270"/>
      <c r="C14" s="270"/>
      <c r="D14" s="15"/>
      <c r="E14" s="25"/>
      <c r="F14" s="143"/>
      <c r="G14" s="2"/>
      <c r="H14" s="2"/>
      <c r="I14" s="2"/>
      <c r="J14" s="2"/>
      <c r="K14" s="51"/>
      <c r="L14" s="2"/>
      <c r="M14" s="2"/>
      <c r="N14" s="2"/>
      <c r="O14" s="2"/>
      <c r="T14" s="3">
        <v>42180000</v>
      </c>
      <c r="V14" s="54">
        <f>U15/T14</f>
        <v>0.38481990137505928</v>
      </c>
      <c r="AQ14" s="54"/>
      <c r="AS14" s="54"/>
      <c r="AV14" s="56"/>
      <c r="BI14" s="125"/>
      <c r="BJ14" s="62"/>
      <c r="BK14" s="62"/>
      <c r="BL14" s="62"/>
      <c r="BM14" s="62"/>
      <c r="BN14" s="62"/>
    </row>
    <row r="15" spans="1:110" hidden="1" x14ac:dyDescent="0.2">
      <c r="B15" s="2"/>
      <c r="C15" s="2"/>
      <c r="D15" s="2"/>
      <c r="E15" s="2"/>
      <c r="F15" s="2"/>
      <c r="G15" s="2"/>
      <c r="H15" s="2"/>
      <c r="I15" s="2"/>
      <c r="J15" s="2"/>
      <c r="K15" s="2"/>
      <c r="L15" s="2"/>
      <c r="M15" s="2"/>
      <c r="N15" s="2"/>
      <c r="O15" s="2"/>
      <c r="T15" s="55">
        <v>25329445.940000001</v>
      </c>
      <c r="U15" s="55">
        <v>16231703.439999999</v>
      </c>
      <c r="V15" s="54">
        <f>U15/T15</f>
        <v>0.64082346998230466</v>
      </c>
      <c r="AS15" s="54"/>
    </row>
    <row r="16" spans="1:110" x14ac:dyDescent="0.2">
      <c r="C16" s="2"/>
      <c r="D16" s="2"/>
      <c r="E16" s="2"/>
      <c r="F16" s="2"/>
      <c r="G16" s="2"/>
      <c r="H16" s="58"/>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row>
    <row r="19" spans="3:71" x14ac:dyDescent="0.2">
      <c r="C19" s="2"/>
      <c r="D19" s="2"/>
      <c r="E19" s="2"/>
      <c r="F19" s="2"/>
      <c r="G19" s="2"/>
      <c r="H19" s="2"/>
      <c r="I19" s="2"/>
      <c r="J19" s="2"/>
      <c r="K19" s="2"/>
      <c r="L19" s="2"/>
      <c r="M19" s="2"/>
      <c r="N19" s="2"/>
      <c r="O19" s="2"/>
      <c r="BS19" s="54"/>
    </row>
    <row r="23" spans="3:71" x14ac:dyDescent="0.2">
      <c r="BJ23" s="59"/>
      <c r="BK23" s="59"/>
      <c r="BL23" s="59"/>
      <c r="BM23" s="59"/>
      <c r="BN23" s="59"/>
    </row>
    <row r="25" spans="3:71" ht="15.75" x14ac:dyDescent="0.25">
      <c r="BO25" s="61"/>
      <c r="BP25" s="61"/>
      <c r="BQ25" s="61"/>
      <c r="BR25" s="61"/>
    </row>
  </sheetData>
  <autoFilter ref="B4:CR12" xr:uid="{AF054213-AD79-4CB9-A8A5-88FB8D7FD459}"/>
  <mergeCells count="18">
    <mergeCell ref="B1:CK1"/>
    <mergeCell ref="B13:E13"/>
    <mergeCell ref="L3:L4"/>
    <mergeCell ref="M3:M4"/>
    <mergeCell ref="N3:N4"/>
    <mergeCell ref="W3:BJ3"/>
    <mergeCell ref="P3:V3"/>
    <mergeCell ref="F3:F4"/>
    <mergeCell ref="O3:O4"/>
    <mergeCell ref="K3:K4"/>
    <mergeCell ref="D3:D4"/>
    <mergeCell ref="E3:E4"/>
    <mergeCell ref="BK3:DF3"/>
    <mergeCell ref="A3:A4"/>
    <mergeCell ref="B14:C14"/>
    <mergeCell ref="G3:J3"/>
    <mergeCell ref="C3:C4"/>
    <mergeCell ref="B3:B4"/>
  </mergeCells>
  <phoneticPr fontId="7" type="noConversion"/>
  <conditionalFormatting sqref="T5:T12 AB11:AB12">
    <cfRule type="cellIs" dxfId="212" priority="409" operator="lessThan">
      <formula>0.4</formula>
    </cfRule>
    <cfRule type="cellIs" dxfId="211" priority="410" operator="between">
      <formula>0.4</formula>
      <formula>0.799</formula>
    </cfRule>
    <cfRule type="cellIs" dxfId="210" priority="411" operator="greaterThanOrEqual">
      <formula>0.8</formula>
    </cfRule>
  </conditionalFormatting>
  <conditionalFormatting sqref="AB10">
    <cfRule type="cellIs" dxfId="209" priority="403" operator="lessThan">
      <formula>0.4</formula>
    </cfRule>
    <cfRule type="cellIs" dxfId="208" priority="404" operator="between">
      <formula>0.4</formula>
      <formula>0.799</formula>
    </cfRule>
    <cfRule type="cellIs" dxfId="207" priority="405" operator="greaterThanOrEqual">
      <formula>0.8</formula>
    </cfRule>
  </conditionalFormatting>
  <conditionalFormatting sqref="AH5:AH6">
    <cfRule type="cellIs" dxfId="206" priority="355" operator="lessThan">
      <formula>0.4</formula>
    </cfRule>
    <cfRule type="cellIs" dxfId="205" priority="356" operator="between">
      <formula>0.4</formula>
      <formula>0.799</formula>
    </cfRule>
    <cfRule type="cellIs" dxfId="204" priority="357" operator="greaterThanOrEqual">
      <formula>0.8</formula>
    </cfRule>
  </conditionalFormatting>
  <conditionalFormatting sqref="AB7:AB9">
    <cfRule type="cellIs" dxfId="203" priority="352" operator="lessThan">
      <formula>0.4</formula>
    </cfRule>
    <cfRule type="cellIs" dxfId="202" priority="353" operator="between">
      <formula>0.4</formula>
      <formula>0.799</formula>
    </cfRule>
    <cfRule type="cellIs" dxfId="201" priority="354" operator="greaterThanOrEqual">
      <formula>0.8</formula>
    </cfRule>
  </conditionalFormatting>
  <conditionalFormatting sqref="AE7:AE12">
    <cfRule type="cellIs" dxfId="200" priority="349" operator="lessThan">
      <formula>0.4</formula>
    </cfRule>
    <cfRule type="cellIs" dxfId="199" priority="350" operator="between">
      <formula>0.4</formula>
      <formula>0.799</formula>
    </cfRule>
    <cfRule type="cellIs" dxfId="198" priority="351" operator="greaterThanOrEqual">
      <formula>0.8</formula>
    </cfRule>
  </conditionalFormatting>
  <conditionalFormatting sqref="AH7:AH12">
    <cfRule type="cellIs" dxfId="197" priority="346" operator="lessThan">
      <formula>0.4</formula>
    </cfRule>
    <cfRule type="cellIs" dxfId="196" priority="347" operator="between">
      <formula>0.4</formula>
      <formula>0.799</formula>
    </cfRule>
    <cfRule type="cellIs" dxfId="195" priority="348" operator="greaterThanOrEqual">
      <formula>0.8</formula>
    </cfRule>
  </conditionalFormatting>
  <conditionalFormatting sqref="AB5:AB6">
    <cfRule type="cellIs" dxfId="194" priority="343" operator="lessThan">
      <formula>0.4</formula>
    </cfRule>
    <cfRule type="cellIs" dxfId="193" priority="344" operator="between">
      <formula>0.4</formula>
      <formula>0.799</formula>
    </cfRule>
    <cfRule type="cellIs" dxfId="192" priority="345" operator="greaterThanOrEqual">
      <formula>0.8</formula>
    </cfRule>
  </conditionalFormatting>
  <conditionalFormatting sqref="AE5:AE6">
    <cfRule type="cellIs" dxfId="191" priority="340" operator="lessThan">
      <formula>0.4</formula>
    </cfRule>
    <cfRule type="cellIs" dxfId="190" priority="341" operator="between">
      <formula>0.4</formula>
      <formula>0.799</formula>
    </cfRule>
    <cfRule type="cellIs" dxfId="189" priority="342" operator="greaterThanOrEqual">
      <formula>0.8</formula>
    </cfRule>
  </conditionalFormatting>
  <conditionalFormatting sqref="AK5:AK12">
    <cfRule type="cellIs" dxfId="188" priority="331" operator="lessThan">
      <formula>0.4</formula>
    </cfRule>
    <cfRule type="cellIs" dxfId="187" priority="332" operator="between">
      <formula>0.4</formula>
      <formula>0.799</formula>
    </cfRule>
    <cfRule type="cellIs" dxfId="186" priority="333" operator="greaterThanOrEqual">
      <formula>0.8</formula>
    </cfRule>
  </conditionalFormatting>
  <conditionalFormatting sqref="AN10">
    <cfRule type="cellIs" dxfId="185" priority="328" operator="lessThan">
      <formula>0.4</formula>
    </cfRule>
    <cfRule type="cellIs" dxfId="184" priority="329" operator="between">
      <formula>0.4</formula>
      <formula>0.799</formula>
    </cfRule>
    <cfRule type="cellIs" dxfId="183" priority="330" operator="greaterThanOrEqual">
      <formula>0.8</formula>
    </cfRule>
  </conditionalFormatting>
  <conditionalFormatting sqref="AN8">
    <cfRule type="cellIs" dxfId="182" priority="325" operator="lessThan">
      <formula>0.4</formula>
    </cfRule>
    <cfRule type="cellIs" dxfId="181" priority="326" operator="between">
      <formula>0.4</formula>
      <formula>0.799</formula>
    </cfRule>
    <cfRule type="cellIs" dxfId="180" priority="327" operator="greaterThanOrEqual">
      <formula>0.8</formula>
    </cfRule>
  </conditionalFormatting>
  <conditionalFormatting sqref="AN6:AN7">
    <cfRule type="cellIs" dxfId="179" priority="322" operator="lessThan">
      <formula>0.4</formula>
    </cfRule>
    <cfRule type="cellIs" dxfId="178" priority="323" operator="between">
      <formula>0.4</formula>
      <formula>0.799</formula>
    </cfRule>
    <cfRule type="cellIs" dxfId="177" priority="324" operator="greaterThanOrEqual">
      <formula>0.8</formula>
    </cfRule>
  </conditionalFormatting>
  <conditionalFormatting sqref="AN5">
    <cfRule type="cellIs" dxfId="176" priority="319" operator="lessThan">
      <formula>0.4</formula>
    </cfRule>
    <cfRule type="cellIs" dxfId="175" priority="320" operator="between">
      <formula>0.4</formula>
      <formula>0.799</formula>
    </cfRule>
    <cfRule type="cellIs" dxfId="174" priority="321" operator="greaterThanOrEqual">
      <formula>0.8</formula>
    </cfRule>
  </conditionalFormatting>
  <conditionalFormatting sqref="AN9">
    <cfRule type="cellIs" dxfId="173" priority="316" operator="lessThan">
      <formula>0.4</formula>
    </cfRule>
    <cfRule type="cellIs" dxfId="172" priority="317" operator="between">
      <formula>0.4</formula>
      <formula>0.799</formula>
    </cfRule>
    <cfRule type="cellIs" dxfId="171" priority="318" operator="greaterThanOrEqual">
      <formula>0.8</formula>
    </cfRule>
  </conditionalFormatting>
  <conditionalFormatting sqref="AN12">
    <cfRule type="cellIs" dxfId="170" priority="313" operator="lessThan">
      <formula>0.4</formula>
    </cfRule>
    <cfRule type="cellIs" dxfId="169" priority="314" operator="between">
      <formula>0.4</formula>
      <formula>0.799</formula>
    </cfRule>
    <cfRule type="cellIs" dxfId="168" priority="315" operator="greaterThanOrEqual">
      <formula>0.8</formula>
    </cfRule>
  </conditionalFormatting>
  <conditionalFormatting sqref="AN11">
    <cfRule type="cellIs" dxfId="167" priority="310" operator="lessThan">
      <formula>0.4</formula>
    </cfRule>
    <cfRule type="cellIs" dxfId="166" priority="311" operator="between">
      <formula>0.4</formula>
      <formula>0.799</formula>
    </cfRule>
    <cfRule type="cellIs" dxfId="165" priority="312" operator="greaterThanOrEqual">
      <formula>0.8</formula>
    </cfRule>
  </conditionalFormatting>
  <conditionalFormatting sqref="AQ11:AQ12">
    <cfRule type="cellIs" dxfId="164" priority="307" operator="lessThan">
      <formula>0.4</formula>
    </cfRule>
    <cfRule type="cellIs" dxfId="163" priority="308" operator="between">
      <formula>0.4</formula>
      <formula>0.799</formula>
    </cfRule>
    <cfRule type="cellIs" dxfId="162" priority="309" operator="greaterThanOrEqual">
      <formula>0.8</formula>
    </cfRule>
  </conditionalFormatting>
  <conditionalFormatting sqref="AQ5:AQ10">
    <cfRule type="cellIs" dxfId="161" priority="301" operator="lessThan">
      <formula>0.4</formula>
    </cfRule>
    <cfRule type="cellIs" dxfId="160" priority="302" operator="between">
      <formula>0.4</formula>
      <formula>0.799</formula>
    </cfRule>
    <cfRule type="cellIs" dxfId="159" priority="303" operator="greaterThanOrEqual">
      <formula>0.8</formula>
    </cfRule>
  </conditionalFormatting>
  <conditionalFormatting sqref="AT9">
    <cfRule type="cellIs" dxfId="158" priority="292" operator="lessThan">
      <formula>0.4</formula>
    </cfRule>
    <cfRule type="cellIs" dxfId="157" priority="293" operator="between">
      <formula>0.4</formula>
      <formula>0.799</formula>
    </cfRule>
    <cfRule type="cellIs" dxfId="156" priority="294" operator="greaterThanOrEqual">
      <formula>0.8</formula>
    </cfRule>
  </conditionalFormatting>
  <conditionalFormatting sqref="AT11">
    <cfRule type="cellIs" dxfId="155" priority="289" operator="lessThan">
      <formula>0.4</formula>
    </cfRule>
    <cfRule type="cellIs" dxfId="154" priority="290" operator="between">
      <formula>0.4</formula>
      <formula>0.799</formula>
    </cfRule>
    <cfRule type="cellIs" dxfId="153" priority="291" operator="greaterThanOrEqual">
      <formula>0.8</formula>
    </cfRule>
  </conditionalFormatting>
  <conditionalFormatting sqref="AT5">
    <cfRule type="cellIs" dxfId="152" priority="286" operator="lessThan">
      <formula>0.4</formula>
    </cfRule>
    <cfRule type="cellIs" dxfId="151" priority="287" operator="between">
      <formula>0.4</formula>
      <formula>0.799</formula>
    </cfRule>
    <cfRule type="cellIs" dxfId="150" priority="288" operator="greaterThanOrEqual">
      <formula>0.8</formula>
    </cfRule>
  </conditionalFormatting>
  <conditionalFormatting sqref="AT7">
    <cfRule type="cellIs" dxfId="149" priority="283" operator="lessThan">
      <formula>0.4</formula>
    </cfRule>
    <cfRule type="cellIs" dxfId="148" priority="284" operator="between">
      <formula>0.4</formula>
      <formula>0.799</formula>
    </cfRule>
    <cfRule type="cellIs" dxfId="147" priority="285" operator="greaterThanOrEqual">
      <formula>0.8</formula>
    </cfRule>
  </conditionalFormatting>
  <conditionalFormatting sqref="AT6">
    <cfRule type="cellIs" dxfId="146" priority="277" operator="lessThan">
      <formula>0.4</formula>
    </cfRule>
    <cfRule type="cellIs" dxfId="145" priority="278" operator="between">
      <formula>0.4</formula>
      <formula>0.799</formula>
    </cfRule>
    <cfRule type="cellIs" dxfId="144" priority="279" operator="greaterThanOrEqual">
      <formula>0.8</formula>
    </cfRule>
  </conditionalFormatting>
  <conditionalFormatting sqref="AT8">
    <cfRule type="cellIs" dxfId="143" priority="274" operator="lessThan">
      <formula>0.4</formula>
    </cfRule>
    <cfRule type="cellIs" dxfId="142" priority="275" operator="between">
      <formula>0.4</formula>
      <formula>0.799</formula>
    </cfRule>
    <cfRule type="cellIs" dxfId="141" priority="276" operator="greaterThanOrEqual">
      <formula>0.8</formula>
    </cfRule>
  </conditionalFormatting>
  <conditionalFormatting sqref="AT10">
    <cfRule type="cellIs" dxfId="140" priority="271" operator="lessThan">
      <formula>0.4</formula>
    </cfRule>
    <cfRule type="cellIs" dxfId="139" priority="272" operator="between">
      <formula>0.4</formula>
      <formula>0.799</formula>
    </cfRule>
    <cfRule type="cellIs" dxfId="138" priority="273" operator="greaterThanOrEqual">
      <formula>0.8</formula>
    </cfRule>
  </conditionalFormatting>
  <conditionalFormatting sqref="AT12">
    <cfRule type="cellIs" dxfId="137" priority="268" operator="lessThan">
      <formula>0.4</formula>
    </cfRule>
    <cfRule type="cellIs" dxfId="136" priority="269" operator="between">
      <formula>0.4</formula>
      <formula>0.799</formula>
    </cfRule>
    <cfRule type="cellIs" dxfId="135" priority="270" operator="greaterThanOrEqual">
      <formula>0.8</formula>
    </cfRule>
  </conditionalFormatting>
  <conditionalFormatting sqref="AW11">
    <cfRule type="cellIs" dxfId="134" priority="265" operator="lessThan">
      <formula>0.4</formula>
    </cfRule>
    <cfRule type="cellIs" dxfId="133" priority="266" operator="between">
      <formula>0.4</formula>
      <formula>0.799</formula>
    </cfRule>
    <cfRule type="cellIs" dxfId="132" priority="267" operator="greaterThanOrEqual">
      <formula>0.8</formula>
    </cfRule>
  </conditionalFormatting>
  <conditionalFormatting sqref="AW12">
    <cfRule type="cellIs" dxfId="131" priority="262" operator="lessThan">
      <formula>0.4</formula>
    </cfRule>
    <cfRule type="cellIs" dxfId="130" priority="263" operator="between">
      <formula>0.4</formula>
      <formula>0.799</formula>
    </cfRule>
    <cfRule type="cellIs" dxfId="129" priority="264" operator="greaterThanOrEqual">
      <formula>0.8</formula>
    </cfRule>
  </conditionalFormatting>
  <conditionalFormatting sqref="AW9">
    <cfRule type="cellIs" dxfId="128" priority="259" operator="lessThan">
      <formula>0.4</formula>
    </cfRule>
    <cfRule type="cellIs" dxfId="127" priority="260" operator="between">
      <formula>0.4</formula>
      <formula>0.799</formula>
    </cfRule>
    <cfRule type="cellIs" dxfId="126" priority="261" operator="greaterThanOrEqual">
      <formula>0.8</formula>
    </cfRule>
  </conditionalFormatting>
  <conditionalFormatting sqref="AW6">
    <cfRule type="cellIs" dxfId="125" priority="256" operator="lessThan">
      <formula>0.4</formula>
    </cfRule>
    <cfRule type="cellIs" dxfId="124" priority="257" operator="between">
      <formula>0.4</formula>
      <formula>0.799</formula>
    </cfRule>
    <cfRule type="cellIs" dxfId="123" priority="258" operator="greaterThanOrEqual">
      <formula>0.8</formula>
    </cfRule>
  </conditionalFormatting>
  <conditionalFormatting sqref="AW8">
    <cfRule type="cellIs" dxfId="122" priority="253" operator="lessThan">
      <formula>0.4</formula>
    </cfRule>
    <cfRule type="cellIs" dxfId="121" priority="254" operator="between">
      <formula>0.4</formula>
      <formula>0.799</formula>
    </cfRule>
    <cfRule type="cellIs" dxfId="120" priority="255" operator="greaterThanOrEqual">
      <formula>0.8</formula>
    </cfRule>
  </conditionalFormatting>
  <conditionalFormatting sqref="AW10">
    <cfRule type="cellIs" dxfId="119" priority="250" operator="lessThan">
      <formula>0.4</formula>
    </cfRule>
    <cfRule type="cellIs" dxfId="118" priority="251" operator="between">
      <formula>0.4</formula>
      <formula>0.799</formula>
    </cfRule>
    <cfRule type="cellIs" dxfId="117" priority="252" operator="greaterThanOrEqual">
      <formula>0.8</formula>
    </cfRule>
  </conditionalFormatting>
  <conditionalFormatting sqref="AW5">
    <cfRule type="cellIs" dxfId="116" priority="247" operator="lessThan">
      <formula>0.4</formula>
    </cfRule>
    <cfRule type="cellIs" dxfId="115" priority="248" operator="between">
      <formula>0.4</formula>
      <formula>0.799</formula>
    </cfRule>
    <cfRule type="cellIs" dxfId="114" priority="249" operator="greaterThanOrEqual">
      <formula>0.8</formula>
    </cfRule>
  </conditionalFormatting>
  <conditionalFormatting sqref="AW7">
    <cfRule type="cellIs" dxfId="113" priority="244" operator="lessThan">
      <formula>0.4</formula>
    </cfRule>
    <cfRule type="cellIs" dxfId="112" priority="245" operator="between">
      <formula>0.4</formula>
      <formula>0.799</formula>
    </cfRule>
    <cfRule type="cellIs" dxfId="111" priority="246" operator="greaterThanOrEqual">
      <formula>0.8</formula>
    </cfRule>
  </conditionalFormatting>
  <conditionalFormatting sqref="AZ11">
    <cfRule type="cellIs" dxfId="110" priority="241" operator="lessThan">
      <formula>0.4</formula>
    </cfRule>
    <cfRule type="cellIs" dxfId="109" priority="242" operator="between">
      <formula>0.4</formula>
      <formula>0.799</formula>
    </cfRule>
    <cfRule type="cellIs" dxfId="108" priority="243" operator="greaterThanOrEqual">
      <formula>0.8</formula>
    </cfRule>
  </conditionalFormatting>
  <conditionalFormatting sqref="AZ12">
    <cfRule type="cellIs" dxfId="107" priority="238" operator="lessThan">
      <formula>0.4</formula>
    </cfRule>
    <cfRule type="cellIs" dxfId="106" priority="239" operator="between">
      <formula>0.4</formula>
      <formula>0.799</formula>
    </cfRule>
    <cfRule type="cellIs" dxfId="105" priority="240" operator="greaterThanOrEqual">
      <formula>0.8</formula>
    </cfRule>
  </conditionalFormatting>
  <conditionalFormatting sqref="AZ9">
    <cfRule type="cellIs" dxfId="104" priority="235" operator="lessThan">
      <formula>0.4</formula>
    </cfRule>
    <cfRule type="cellIs" dxfId="103" priority="236" operator="between">
      <formula>0.4</formula>
      <formula>0.799</formula>
    </cfRule>
    <cfRule type="cellIs" dxfId="102" priority="237" operator="greaterThanOrEqual">
      <formula>0.8</formula>
    </cfRule>
  </conditionalFormatting>
  <conditionalFormatting sqref="AZ6">
    <cfRule type="cellIs" dxfId="101" priority="232" operator="lessThan">
      <formula>0.4</formula>
    </cfRule>
    <cfRule type="cellIs" dxfId="100" priority="233" operator="between">
      <formula>0.4</formula>
      <formula>0.799</formula>
    </cfRule>
    <cfRule type="cellIs" dxfId="99" priority="234" operator="greaterThanOrEqual">
      <formula>0.8</formula>
    </cfRule>
  </conditionalFormatting>
  <conditionalFormatting sqref="AZ8">
    <cfRule type="cellIs" dxfId="98" priority="229" operator="lessThan">
      <formula>0.4</formula>
    </cfRule>
    <cfRule type="cellIs" dxfId="97" priority="230" operator="between">
      <formula>0.4</formula>
      <formula>0.799</formula>
    </cfRule>
    <cfRule type="cellIs" dxfId="96" priority="231" operator="greaterThanOrEqual">
      <formula>0.8</formula>
    </cfRule>
  </conditionalFormatting>
  <conditionalFormatting sqref="AZ10">
    <cfRule type="cellIs" dxfId="95" priority="226" operator="lessThan">
      <formula>0.4</formula>
    </cfRule>
    <cfRule type="cellIs" dxfId="94" priority="227" operator="between">
      <formula>0.4</formula>
      <formula>0.799</formula>
    </cfRule>
    <cfRule type="cellIs" dxfId="93" priority="228" operator="greaterThanOrEqual">
      <formula>0.8</formula>
    </cfRule>
  </conditionalFormatting>
  <conditionalFormatting sqref="AZ5">
    <cfRule type="cellIs" dxfId="92" priority="223" operator="lessThan">
      <formula>0.4</formula>
    </cfRule>
    <cfRule type="cellIs" dxfId="91" priority="224" operator="between">
      <formula>0.4</formula>
      <formula>0.799</formula>
    </cfRule>
    <cfRule type="cellIs" dxfId="90" priority="225" operator="greaterThanOrEqual">
      <formula>0.8</formula>
    </cfRule>
  </conditionalFormatting>
  <conditionalFormatting sqref="AZ7">
    <cfRule type="cellIs" dxfId="89" priority="220" operator="lessThan">
      <formula>0.4</formula>
    </cfRule>
    <cfRule type="cellIs" dxfId="88" priority="221" operator="between">
      <formula>0.4</formula>
      <formula>0.799</formula>
    </cfRule>
    <cfRule type="cellIs" dxfId="87" priority="222" operator="greaterThanOrEqual">
      <formula>0.8</formula>
    </cfRule>
  </conditionalFormatting>
  <conditionalFormatting sqref="BR9">
    <cfRule type="cellIs" dxfId="86" priority="202" operator="lessThan">
      <formula>0.4</formula>
    </cfRule>
    <cfRule type="cellIs" dxfId="85" priority="203" operator="between">
      <formula>0.4</formula>
      <formula>0.799</formula>
    </cfRule>
    <cfRule type="cellIs" dxfId="84" priority="204" operator="greaterThanOrEqual">
      <formula>0.8</formula>
    </cfRule>
  </conditionalFormatting>
  <conditionalFormatting sqref="BF6 BH6">
    <cfRule type="cellIs" dxfId="83" priority="184" operator="lessThan">
      <formula>0.4</formula>
    </cfRule>
    <cfRule type="cellIs" dxfId="82" priority="185" operator="between">
      <formula>0.4</formula>
      <formula>0.799</formula>
    </cfRule>
    <cfRule type="cellIs" dxfId="81" priority="186" operator="greaterThanOrEqual">
      <formula>0.8</formula>
    </cfRule>
  </conditionalFormatting>
  <conditionalFormatting sqref="BF8:BH8">
    <cfRule type="cellIs" dxfId="80" priority="181" operator="lessThan">
      <formula>0.4</formula>
    </cfRule>
    <cfRule type="cellIs" dxfId="79" priority="182" operator="between">
      <formula>0.4</formula>
      <formula>0.799</formula>
    </cfRule>
    <cfRule type="cellIs" dxfId="78" priority="183" operator="greaterThanOrEqual">
      <formula>0.8</formula>
    </cfRule>
  </conditionalFormatting>
  <conditionalFormatting sqref="BF10:BH10">
    <cfRule type="cellIs" dxfId="77" priority="178" operator="lessThan">
      <formula>0.4</formula>
    </cfRule>
    <cfRule type="cellIs" dxfId="76" priority="179" operator="between">
      <formula>0.4</formula>
      <formula>0.799</formula>
    </cfRule>
    <cfRule type="cellIs" dxfId="75" priority="180" operator="greaterThanOrEqual">
      <formula>0.8</formula>
    </cfRule>
  </conditionalFormatting>
  <conditionalFormatting sqref="BF5 BF7">
    <cfRule type="cellIs" dxfId="74" priority="175" operator="lessThan">
      <formula>0.4</formula>
    </cfRule>
    <cfRule type="cellIs" dxfId="73" priority="176" operator="between">
      <formula>0.4</formula>
      <formula>0.799</formula>
    </cfRule>
    <cfRule type="cellIs" dxfId="72" priority="177" operator="greaterThanOrEqual">
      <formula>0.8</formula>
    </cfRule>
  </conditionalFormatting>
  <conditionalFormatting sqref="BF11">
    <cfRule type="cellIs" dxfId="71" priority="169" operator="lessThan">
      <formula>0.4</formula>
    </cfRule>
    <cfRule type="cellIs" dxfId="70" priority="170" operator="between">
      <formula>0.4</formula>
      <formula>0.799</formula>
    </cfRule>
    <cfRule type="cellIs" dxfId="69" priority="171" operator="greaterThanOrEqual">
      <formula>0.8</formula>
    </cfRule>
  </conditionalFormatting>
  <conditionalFormatting sqref="BF12">
    <cfRule type="cellIs" dxfId="68" priority="166" operator="lessThan">
      <formula>0.4</formula>
    </cfRule>
    <cfRule type="cellIs" dxfId="67" priority="167" operator="between">
      <formula>0.4</formula>
      <formula>0.799</formula>
    </cfRule>
    <cfRule type="cellIs" dxfId="66" priority="168" operator="greaterThanOrEqual">
      <formula>0.8</formula>
    </cfRule>
  </conditionalFormatting>
  <conditionalFormatting sqref="BF9">
    <cfRule type="cellIs" dxfId="65" priority="163" operator="lessThan">
      <formula>0.4</formula>
    </cfRule>
    <cfRule type="cellIs" dxfId="64" priority="164" operator="between">
      <formula>0.4</formula>
      <formula>0.799</formula>
    </cfRule>
    <cfRule type="cellIs" dxfId="63" priority="165" operator="greaterThanOrEqual">
      <formula>0.8</formula>
    </cfRule>
  </conditionalFormatting>
  <conditionalFormatting sqref="BR5 BR7">
    <cfRule type="cellIs" dxfId="62" priority="160" operator="lessThan">
      <formula>0.4</formula>
    </cfRule>
    <cfRule type="cellIs" dxfId="61" priority="161" operator="between">
      <formula>0.4</formula>
      <formula>0.799</formula>
    </cfRule>
    <cfRule type="cellIs" dxfId="60" priority="162" operator="greaterThanOrEqual">
      <formula>0.8</formula>
    </cfRule>
  </conditionalFormatting>
  <conditionalFormatting sqref="BR10">
    <cfRule type="cellIs" dxfId="59" priority="157" operator="lessThan">
      <formula>0.4</formula>
    </cfRule>
    <cfRule type="cellIs" dxfId="58" priority="158" operator="between">
      <formula>0.4</formula>
      <formula>0.799</formula>
    </cfRule>
    <cfRule type="cellIs" dxfId="57" priority="159" operator="greaterThanOrEqual">
      <formula>0.8</formula>
    </cfRule>
  </conditionalFormatting>
  <conditionalFormatting sqref="BY5 BY7">
    <cfRule type="cellIs" dxfId="56" priority="154" operator="lessThan">
      <formula>0.4</formula>
    </cfRule>
    <cfRule type="cellIs" dxfId="55" priority="155" operator="between">
      <formula>0.4</formula>
      <formula>0.799</formula>
    </cfRule>
    <cfRule type="cellIs" dxfId="54" priority="156" operator="greaterThanOrEqual">
      <formula>0.8</formula>
    </cfRule>
  </conditionalFormatting>
  <conditionalFormatting sqref="BY9">
    <cfRule type="cellIs" dxfId="53" priority="148" operator="lessThan">
      <formula>0.4</formula>
    </cfRule>
    <cfRule type="cellIs" dxfId="52" priority="149" operator="between">
      <formula>0.4</formula>
      <formula>0.799</formula>
    </cfRule>
    <cfRule type="cellIs" dxfId="51" priority="150" operator="greaterThanOrEqual">
      <formula>0.8</formula>
    </cfRule>
  </conditionalFormatting>
  <conditionalFormatting sqref="BY6 BY8">
    <cfRule type="cellIs" dxfId="50" priority="145" operator="lessThan">
      <formula>0.4</formula>
    </cfRule>
    <cfRule type="cellIs" dxfId="49" priority="146" operator="between">
      <formula>0.4</formula>
      <formula>0.799</formula>
    </cfRule>
    <cfRule type="cellIs" dxfId="48" priority="147" operator="greaterThanOrEqual">
      <formula>0.8</formula>
    </cfRule>
  </conditionalFormatting>
  <conditionalFormatting sqref="BY10">
    <cfRule type="cellIs" dxfId="47" priority="142" operator="lessThan">
      <formula>0.4</formula>
    </cfRule>
    <cfRule type="cellIs" dxfId="46" priority="143" operator="between">
      <formula>0.4</formula>
      <formula>0.799</formula>
    </cfRule>
    <cfRule type="cellIs" dxfId="45" priority="144" operator="greaterThanOrEqual">
      <formula>0.8</formula>
    </cfRule>
  </conditionalFormatting>
  <conditionalFormatting sqref="BR6">
    <cfRule type="cellIs" dxfId="44" priority="127" operator="lessThan">
      <formula>0.4</formula>
    </cfRule>
    <cfRule type="cellIs" dxfId="43" priority="128" operator="between">
      <formula>0.4</formula>
      <formula>0.799</formula>
    </cfRule>
    <cfRule type="cellIs" dxfId="42" priority="129" operator="greaterThanOrEqual">
      <formula>0.8</formula>
    </cfRule>
  </conditionalFormatting>
  <conditionalFormatting sqref="BR8">
    <cfRule type="cellIs" dxfId="41" priority="124" operator="lessThan">
      <formula>0.4</formula>
    </cfRule>
    <cfRule type="cellIs" dxfId="40" priority="125" operator="between">
      <formula>0.4</formula>
      <formula>0.799</formula>
    </cfRule>
    <cfRule type="cellIs" dxfId="39" priority="126" operator="greaterThanOrEqual">
      <formula>0.8</formula>
    </cfRule>
  </conditionalFormatting>
  <conditionalFormatting sqref="CF5:CF9">
    <cfRule type="cellIs" dxfId="38" priority="121" operator="lessThan">
      <formula>0.4</formula>
    </cfRule>
    <cfRule type="cellIs" dxfId="37" priority="122" operator="between">
      <formula>0.4</formula>
      <formula>0.799</formula>
    </cfRule>
    <cfRule type="cellIs" dxfId="36" priority="123" operator="greaterThanOrEqual">
      <formula>0.8</formula>
    </cfRule>
  </conditionalFormatting>
  <conditionalFormatting sqref="CF10">
    <cfRule type="cellIs" dxfId="35" priority="115" operator="lessThan">
      <formula>0.4</formula>
    </cfRule>
    <cfRule type="cellIs" dxfId="34" priority="116" operator="between">
      <formula>0.4</formula>
      <formula>0.799</formula>
    </cfRule>
    <cfRule type="cellIs" dxfId="33" priority="117" operator="greaterThanOrEqual">
      <formula>0.8</formula>
    </cfRule>
  </conditionalFormatting>
  <conditionalFormatting sqref="BR11">
    <cfRule type="cellIs" dxfId="32" priority="112" operator="lessThan">
      <formula>0.4</formula>
    </cfRule>
    <cfRule type="cellIs" dxfId="31" priority="113" operator="between">
      <formula>0.4</formula>
      <formula>0.799</formula>
    </cfRule>
    <cfRule type="cellIs" dxfId="30" priority="114" operator="greaterThanOrEqual">
      <formula>0.8</formula>
    </cfRule>
  </conditionalFormatting>
  <conditionalFormatting sqref="BY11">
    <cfRule type="cellIs" dxfId="29" priority="109" operator="lessThan">
      <formula>0.4</formula>
    </cfRule>
    <cfRule type="cellIs" dxfId="28" priority="110" operator="between">
      <formula>0.4</formula>
      <formula>0.799</formula>
    </cfRule>
    <cfRule type="cellIs" dxfId="27" priority="111" operator="greaterThanOrEqual">
      <formula>0.8</formula>
    </cfRule>
  </conditionalFormatting>
  <conditionalFormatting sqref="CF11">
    <cfRule type="cellIs" dxfId="26" priority="106" operator="lessThan">
      <formula>0.4</formula>
    </cfRule>
    <cfRule type="cellIs" dxfId="25" priority="107" operator="between">
      <formula>0.4</formula>
      <formula>0.799</formula>
    </cfRule>
    <cfRule type="cellIs" dxfId="24" priority="108" operator="greaterThanOrEqual">
      <formula>0.8</formula>
    </cfRule>
  </conditionalFormatting>
  <conditionalFormatting sqref="CF12">
    <cfRule type="cellIs" dxfId="23" priority="103" operator="lessThan">
      <formula>0.4</formula>
    </cfRule>
    <cfRule type="cellIs" dxfId="22" priority="104" operator="between">
      <formula>0.4</formula>
      <formula>0.799</formula>
    </cfRule>
    <cfRule type="cellIs" dxfId="21" priority="105" operator="greaterThanOrEqual">
      <formula>0.8</formula>
    </cfRule>
  </conditionalFormatting>
  <conditionalFormatting sqref="BR12">
    <cfRule type="cellIs" dxfId="20" priority="100" operator="lessThan">
      <formula>0.4</formula>
    </cfRule>
    <cfRule type="cellIs" dxfId="19" priority="101" operator="between">
      <formula>0.4</formula>
      <formula>0.799</formula>
    </cfRule>
    <cfRule type="cellIs" dxfId="18" priority="102" operator="greaterThanOrEqual">
      <formula>0.8</formula>
    </cfRule>
  </conditionalFormatting>
  <conditionalFormatting sqref="BY12">
    <cfRule type="cellIs" dxfId="17" priority="97" operator="lessThan">
      <formula>0.4</formula>
    </cfRule>
    <cfRule type="cellIs" dxfId="16" priority="98" operator="between">
      <formula>0.4</formula>
      <formula>0.799</formula>
    </cfRule>
    <cfRule type="cellIs" dxfId="15" priority="99" operator="greaterThanOrEqual">
      <formula>0.8</formula>
    </cfRule>
  </conditionalFormatting>
  <conditionalFormatting sqref="CM5:CM12">
    <cfRule type="cellIs" dxfId="14" priority="34" operator="lessThan">
      <formula>0.4</formula>
    </cfRule>
    <cfRule type="cellIs" dxfId="13" priority="35" operator="between">
      <formula>0.4</formula>
      <formula>0.799</formula>
    </cfRule>
    <cfRule type="cellIs" dxfId="12" priority="36" operator="greaterThanOrEqual">
      <formula>0.8</formula>
    </cfRule>
  </conditionalFormatting>
  <conditionalFormatting sqref="CT5:CT12">
    <cfRule type="cellIs" dxfId="11" priority="10" operator="lessThan">
      <formula>0.4</formula>
    </cfRule>
    <cfRule type="cellIs" dxfId="10" priority="11" operator="between">
      <formula>0.4</formula>
      <formula>0.799</formula>
    </cfRule>
    <cfRule type="cellIs" dxfId="9" priority="12" operator="greaterThanOrEqual">
      <formula>0.8</formula>
    </cfRule>
  </conditionalFormatting>
  <conditionalFormatting sqref="DA5:DA11">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DA12">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8"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FBFE-0E01-4A6F-A43B-D6AD7841164B}">
  <dimension ref="A1:Z24"/>
  <sheetViews>
    <sheetView showGridLines="0" tabSelected="1" topLeftCell="A2" zoomScale="50" zoomScaleNormal="50" workbookViewId="0">
      <pane xSplit="3" ySplit="3" topLeftCell="S12" activePane="bottomRight" state="frozen"/>
      <selection activeCell="A2" sqref="A2"/>
      <selection pane="topRight" activeCell="C2" sqref="C2"/>
      <selection pane="bottomLeft" activeCell="A4" sqref="A4"/>
      <selection pane="bottomRight" activeCell="T23" sqref="T23"/>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33.140625" style="1" customWidth="1"/>
    <col min="7" max="7" width="13.42578125" style="1" customWidth="1"/>
    <col min="8" max="9" width="12.28515625" style="1" customWidth="1"/>
    <col min="10" max="10" width="12.5703125" style="1" customWidth="1"/>
    <col min="11" max="11" width="32.42578125" style="1" customWidth="1"/>
    <col min="12" max="12" width="37.28515625" style="1" customWidth="1"/>
    <col min="13" max="13" width="26.42578125" style="1" customWidth="1"/>
    <col min="14" max="15" width="29.7109375" style="1" customWidth="1"/>
    <col min="16" max="16" width="27.7109375" style="3" hidden="1" customWidth="1"/>
    <col min="17" max="17" width="43.28515625" style="3" customWidth="1"/>
    <col min="18" max="19" width="27.85546875" style="3" customWidth="1"/>
    <col min="20" max="20" width="167" style="3" customWidth="1"/>
    <col min="21" max="21" width="27.85546875" style="3" customWidth="1"/>
    <col min="22" max="22" width="27.85546875" style="3" hidden="1" customWidth="1"/>
    <col min="23" max="23" width="27.85546875" style="3" customWidth="1"/>
    <col min="24" max="24" width="29.85546875" style="3" hidden="1" customWidth="1"/>
    <col min="25" max="25" width="37.42578125" style="1" hidden="1" customWidth="1"/>
    <col min="26" max="26" width="11.42578125" style="1"/>
    <col min="27" max="16384" width="11.42578125" style="125"/>
  </cols>
  <sheetData>
    <row r="1" spans="1:26" s="1" customFormat="1" ht="178.5" customHeight="1" thickBot="1" x14ac:dyDescent="0.25">
      <c r="B1" s="275" t="s">
        <v>27</v>
      </c>
      <c r="C1" s="276"/>
      <c r="D1" s="276"/>
      <c r="E1" s="276"/>
      <c r="F1" s="276"/>
      <c r="G1" s="276"/>
      <c r="H1" s="276"/>
      <c r="I1" s="276"/>
      <c r="J1" s="276"/>
      <c r="K1" s="276"/>
      <c r="L1" s="276"/>
      <c r="M1" s="276"/>
      <c r="N1" s="276"/>
      <c r="O1" s="276"/>
      <c r="P1" s="277"/>
      <c r="Q1" s="109"/>
      <c r="R1" s="117" t="s">
        <v>137</v>
      </c>
      <c r="S1" s="117"/>
      <c r="T1" s="117"/>
      <c r="U1" s="117"/>
      <c r="V1" s="117"/>
      <c r="W1" s="117"/>
      <c r="X1" s="3" t="s">
        <v>138</v>
      </c>
    </row>
    <row r="2" spans="1:26" s="175" customFormat="1" ht="178.5" customHeight="1" thickBot="1" x14ac:dyDescent="0.3"/>
    <row r="3" spans="1:26" s="1" customFormat="1" ht="44.25" customHeight="1" thickBot="1" x14ac:dyDescent="0.25">
      <c r="A3" s="274" t="s">
        <v>218</v>
      </c>
      <c r="B3" s="274" t="s">
        <v>0</v>
      </c>
      <c r="C3" s="278" t="s">
        <v>8</v>
      </c>
      <c r="D3" s="278" t="s">
        <v>1</v>
      </c>
      <c r="E3" s="278" t="s">
        <v>65</v>
      </c>
      <c r="F3" s="278" t="s">
        <v>269</v>
      </c>
      <c r="G3" s="296" t="s">
        <v>2</v>
      </c>
      <c r="H3" s="297"/>
      <c r="I3" s="297"/>
      <c r="J3" s="298"/>
      <c r="K3" s="278" t="s">
        <v>19</v>
      </c>
      <c r="L3" s="278" t="s">
        <v>44</v>
      </c>
      <c r="M3" s="280" t="s">
        <v>77</v>
      </c>
      <c r="N3" s="282" t="s">
        <v>182</v>
      </c>
      <c r="O3" s="278" t="s">
        <v>183</v>
      </c>
      <c r="P3" s="292" t="s">
        <v>268</v>
      </c>
      <c r="Q3" s="293"/>
      <c r="R3" s="293"/>
      <c r="S3" s="293"/>
      <c r="T3" s="293"/>
      <c r="U3" s="293"/>
      <c r="V3" s="293"/>
      <c r="W3" s="293"/>
      <c r="X3" s="293"/>
      <c r="Y3" s="294"/>
    </row>
    <row r="4" spans="1:26" s="1" customFormat="1" ht="99.75" customHeight="1" thickBot="1" x14ac:dyDescent="0.25">
      <c r="A4" s="274"/>
      <c r="B4" s="274"/>
      <c r="C4" s="279"/>
      <c r="D4" s="279"/>
      <c r="E4" s="279"/>
      <c r="F4" s="295"/>
      <c r="G4" s="237">
        <v>2019</v>
      </c>
      <c r="H4" s="237">
        <v>2020</v>
      </c>
      <c r="I4" s="237">
        <v>2021</v>
      </c>
      <c r="J4" s="237">
        <v>2022</v>
      </c>
      <c r="K4" s="279"/>
      <c r="L4" s="279"/>
      <c r="M4" s="281"/>
      <c r="N4" s="279"/>
      <c r="O4" s="279"/>
      <c r="P4" s="241" t="s">
        <v>259</v>
      </c>
      <c r="Q4" s="239" t="s">
        <v>258</v>
      </c>
      <c r="R4" s="239" t="s">
        <v>261</v>
      </c>
      <c r="S4" s="239" t="s">
        <v>260</v>
      </c>
      <c r="T4" s="239" t="s">
        <v>139</v>
      </c>
      <c r="U4" s="239" t="s">
        <v>193</v>
      </c>
      <c r="V4" s="240" t="s">
        <v>256</v>
      </c>
      <c r="W4" s="239" t="s">
        <v>257</v>
      </c>
      <c r="X4" s="238" t="s">
        <v>194</v>
      </c>
      <c r="Y4" s="234" t="s">
        <v>194</v>
      </c>
    </row>
    <row r="5" spans="1:26" s="308" customFormat="1" ht="207.75" customHeight="1" x14ac:dyDescent="0.2">
      <c r="A5" s="299">
        <v>1</v>
      </c>
      <c r="B5" s="300" t="s">
        <v>18</v>
      </c>
      <c r="C5" s="242" t="s">
        <v>191</v>
      </c>
      <c r="D5" s="243" t="s">
        <v>3</v>
      </c>
      <c r="E5" s="244" t="s">
        <v>63</v>
      </c>
      <c r="F5" s="245" t="s">
        <v>162</v>
      </c>
      <c r="G5" s="301">
        <v>4.9000000000000002E-2</v>
      </c>
      <c r="H5" s="301">
        <v>0.249</v>
      </c>
      <c r="I5" s="301">
        <v>0.51900000000000002</v>
      </c>
      <c r="J5" s="301">
        <v>0.61899999999999999</v>
      </c>
      <c r="K5" s="246" t="s">
        <v>224</v>
      </c>
      <c r="L5" s="245" t="s">
        <v>45</v>
      </c>
      <c r="M5" s="247">
        <v>0.61899999999999999</v>
      </c>
      <c r="N5" s="302">
        <v>70625797.469999999</v>
      </c>
      <c r="O5" s="235">
        <v>114174800</v>
      </c>
      <c r="P5" s="302">
        <v>70625797.469999999</v>
      </c>
      <c r="Q5" s="301">
        <v>0.61899999999999999</v>
      </c>
      <c r="R5" s="303">
        <v>73129115.680000007</v>
      </c>
      <c r="S5" s="248">
        <f t="shared" ref="S5:S12" si="0">R5/P5</f>
        <v>1.0354448133638894</v>
      </c>
      <c r="T5" s="249" t="s">
        <v>262</v>
      </c>
      <c r="U5" s="304">
        <v>0.64090000000000003</v>
      </c>
      <c r="V5" s="305">
        <v>26975489.239999998</v>
      </c>
      <c r="W5" s="304">
        <v>0.64090000000000003</v>
      </c>
      <c r="X5" s="306">
        <f>V5/N5</f>
        <v>0.38194951712167902</v>
      </c>
      <c r="Y5" s="307" t="e">
        <f>#REF!/N5</f>
        <v>#REF!</v>
      </c>
    </row>
    <row r="6" spans="1:26" ht="193.5" customHeight="1" x14ac:dyDescent="0.2">
      <c r="A6" s="309">
        <v>2</v>
      </c>
      <c r="B6" s="300" t="s">
        <v>18</v>
      </c>
      <c r="C6" s="250" t="s">
        <v>148</v>
      </c>
      <c r="D6" s="251" t="s">
        <v>3</v>
      </c>
      <c r="E6" s="244" t="s">
        <v>62</v>
      </c>
      <c r="F6" s="244" t="s">
        <v>162</v>
      </c>
      <c r="G6" s="310">
        <v>8.5000000000000006E-2</v>
      </c>
      <c r="H6" s="310">
        <v>0.20100000000000001</v>
      </c>
      <c r="I6" s="310">
        <v>0.35099999999999998</v>
      </c>
      <c r="J6" s="311">
        <v>0.6</v>
      </c>
      <c r="K6" s="252" t="s">
        <v>225</v>
      </c>
      <c r="L6" s="253" t="s">
        <v>46</v>
      </c>
      <c r="M6" s="254">
        <v>0.6</v>
      </c>
      <c r="N6" s="236">
        <v>68457961.890000001</v>
      </c>
      <c r="O6" s="235">
        <v>114174800</v>
      </c>
      <c r="P6" s="236">
        <v>68457961.890000001</v>
      </c>
      <c r="Q6" s="312">
        <v>0.6</v>
      </c>
      <c r="R6" s="262">
        <v>47750167</v>
      </c>
      <c r="S6" s="255">
        <f t="shared" si="0"/>
        <v>0.69751078883601858</v>
      </c>
      <c r="T6" s="256" t="s">
        <v>263</v>
      </c>
      <c r="U6" s="313">
        <v>0.1953</v>
      </c>
      <c r="V6" s="257">
        <v>17560383</v>
      </c>
      <c r="W6" s="313">
        <v>0.41849999999999998</v>
      </c>
      <c r="X6" s="128" t="e">
        <f>#REF!/N6</f>
        <v>#REF!</v>
      </c>
      <c r="Y6" s="314" t="e">
        <f>#REF!/N6</f>
        <v>#REF!</v>
      </c>
      <c r="Z6" s="125"/>
    </row>
    <row r="7" spans="1:26" ht="231" customHeight="1" x14ac:dyDescent="0.2">
      <c r="A7" s="309">
        <v>3</v>
      </c>
      <c r="B7" s="300" t="s">
        <v>18</v>
      </c>
      <c r="C7" s="250" t="s">
        <v>192</v>
      </c>
      <c r="D7" s="251" t="s">
        <v>3</v>
      </c>
      <c r="E7" s="244" t="s">
        <v>63</v>
      </c>
      <c r="F7" s="244" t="s">
        <v>162</v>
      </c>
      <c r="G7" s="310">
        <v>0.35499999999999998</v>
      </c>
      <c r="H7" s="310">
        <v>0.495</v>
      </c>
      <c r="I7" s="310">
        <v>0.61499999999999999</v>
      </c>
      <c r="J7" s="310">
        <v>0.72499999999999998</v>
      </c>
      <c r="K7" s="246" t="s">
        <v>224</v>
      </c>
      <c r="L7" s="244" t="s">
        <v>47</v>
      </c>
      <c r="M7" s="258">
        <v>0.72499999999999998</v>
      </c>
      <c r="N7" s="338">
        <v>82720037.420000002</v>
      </c>
      <c r="O7" s="235">
        <v>114174800</v>
      </c>
      <c r="P7" s="338">
        <v>82720037.420000002</v>
      </c>
      <c r="Q7" s="310">
        <v>0.72499999999999998</v>
      </c>
      <c r="R7" s="303">
        <v>104361736.73999999</v>
      </c>
      <c r="S7" s="255">
        <f t="shared" si="0"/>
        <v>1.2616258405459506</v>
      </c>
      <c r="T7" s="256" t="s">
        <v>264</v>
      </c>
      <c r="U7" s="313">
        <v>0.91739999999999999</v>
      </c>
      <c r="V7" s="339">
        <v>30245459.239999998</v>
      </c>
      <c r="W7" s="313">
        <v>0.91739999999999999</v>
      </c>
      <c r="X7" s="128">
        <f>V7/N7</f>
        <v>0.36563643082549269</v>
      </c>
      <c r="Y7" s="128" t="e">
        <f>#REF!/N7</f>
        <v>#REF!</v>
      </c>
      <c r="Z7" s="125"/>
    </row>
    <row r="8" spans="1:26" ht="243" customHeight="1" x14ac:dyDescent="0.2">
      <c r="A8" s="309">
        <v>4</v>
      </c>
      <c r="B8" s="245" t="s">
        <v>17</v>
      </c>
      <c r="C8" s="250" t="s">
        <v>190</v>
      </c>
      <c r="D8" s="251" t="s">
        <v>3</v>
      </c>
      <c r="E8" s="244" t="s">
        <v>195</v>
      </c>
      <c r="F8" s="244" t="s">
        <v>162</v>
      </c>
      <c r="G8" s="340">
        <v>3.0999999999999999E-3</v>
      </c>
      <c r="H8" s="310">
        <v>0.19900000000000001</v>
      </c>
      <c r="I8" s="310">
        <v>0.20300000000000001</v>
      </c>
      <c r="J8" s="310">
        <v>0.59399999999999997</v>
      </c>
      <c r="K8" s="252" t="s">
        <v>225</v>
      </c>
      <c r="L8" s="244" t="s">
        <v>46</v>
      </c>
      <c r="M8" s="259">
        <v>1</v>
      </c>
      <c r="N8" s="341">
        <v>39084775.049999997</v>
      </c>
      <c r="O8" s="341">
        <v>39084775.049999997</v>
      </c>
      <c r="P8" s="342">
        <v>23216356.350000001</v>
      </c>
      <c r="Q8" s="310">
        <v>0.59399999999999997</v>
      </c>
      <c r="R8" s="343">
        <v>10354560</v>
      </c>
      <c r="S8" s="255">
        <f t="shared" si="0"/>
        <v>0.44600280267493392</v>
      </c>
      <c r="T8" s="256" t="s">
        <v>270</v>
      </c>
      <c r="U8" s="313">
        <v>0.22770000000000001</v>
      </c>
      <c r="V8" s="257">
        <f>4038252.91+121595.52</f>
        <v>4159848.43</v>
      </c>
      <c r="W8" s="313">
        <v>0.26490000000000002</v>
      </c>
      <c r="X8" s="128">
        <f>10.44%+0.31%</f>
        <v>0.1075</v>
      </c>
      <c r="Y8" s="324"/>
      <c r="Z8" s="125"/>
    </row>
    <row r="9" spans="1:26" ht="279" customHeight="1" x14ac:dyDescent="0.2">
      <c r="A9" s="309">
        <v>5</v>
      </c>
      <c r="B9" s="300" t="s">
        <v>18</v>
      </c>
      <c r="C9" s="250" t="s">
        <v>9</v>
      </c>
      <c r="D9" s="251" t="s">
        <v>3</v>
      </c>
      <c r="E9" s="244" t="s">
        <v>63</v>
      </c>
      <c r="F9" s="244" t="s">
        <v>173</v>
      </c>
      <c r="G9" s="311">
        <v>0.05</v>
      </c>
      <c r="H9" s="311">
        <v>0.3</v>
      </c>
      <c r="I9" s="311">
        <v>0.6</v>
      </c>
      <c r="J9" s="311">
        <v>1</v>
      </c>
      <c r="K9" s="261" t="s">
        <v>232</v>
      </c>
      <c r="L9" s="244" t="s">
        <v>48</v>
      </c>
      <c r="M9" s="344">
        <v>1</v>
      </c>
      <c r="N9" s="344" t="s">
        <v>50</v>
      </c>
      <c r="O9" s="344" t="s">
        <v>131</v>
      </c>
      <c r="P9" s="345">
        <v>1</v>
      </c>
      <c r="Q9" s="259">
        <v>1</v>
      </c>
      <c r="R9" s="346">
        <v>0.53</v>
      </c>
      <c r="S9" s="260">
        <f t="shared" si="0"/>
        <v>0.53</v>
      </c>
      <c r="T9" s="256" t="s">
        <v>265</v>
      </c>
      <c r="U9" s="347">
        <v>0.45</v>
      </c>
      <c r="V9" s="309" t="s">
        <v>131</v>
      </c>
      <c r="W9" s="315" t="s">
        <v>131</v>
      </c>
      <c r="X9" s="137">
        <v>0.21</v>
      </c>
      <c r="Y9" s="324"/>
      <c r="Z9" s="125"/>
    </row>
    <row r="10" spans="1:26" ht="216" x14ac:dyDescent="0.2">
      <c r="A10" s="309">
        <v>6</v>
      </c>
      <c r="B10" s="300" t="s">
        <v>18</v>
      </c>
      <c r="C10" s="261" t="s">
        <v>5</v>
      </c>
      <c r="D10" s="315" t="s">
        <v>6</v>
      </c>
      <c r="E10" s="244" t="s">
        <v>196</v>
      </c>
      <c r="F10" s="244" t="s">
        <v>163</v>
      </c>
      <c r="G10" s="251">
        <v>6</v>
      </c>
      <c r="H10" s="251">
        <v>10</v>
      </c>
      <c r="I10" s="251">
        <v>17</v>
      </c>
      <c r="J10" s="251">
        <v>20</v>
      </c>
      <c r="K10" s="261" t="s">
        <v>233</v>
      </c>
      <c r="L10" s="244" t="s">
        <v>46</v>
      </c>
      <c r="M10" s="315">
        <v>20</v>
      </c>
      <c r="N10" s="315">
        <v>20</v>
      </c>
      <c r="O10" s="315" t="s">
        <v>131</v>
      </c>
      <c r="P10" s="316">
        <v>20</v>
      </c>
      <c r="Q10" s="316">
        <v>20</v>
      </c>
      <c r="R10" s="262">
        <v>43</v>
      </c>
      <c r="S10" s="260">
        <f t="shared" si="0"/>
        <v>2.15</v>
      </c>
      <c r="T10" s="256" t="s">
        <v>271</v>
      </c>
      <c r="U10" s="317">
        <v>2.15</v>
      </c>
      <c r="V10" s="309" t="s">
        <v>131</v>
      </c>
      <c r="W10" s="315" t="s">
        <v>131</v>
      </c>
      <c r="X10" s="130">
        <f>R10/M10</f>
        <v>2.15</v>
      </c>
      <c r="Y10" s="318"/>
      <c r="Z10" s="125"/>
    </row>
    <row r="11" spans="1:26" ht="258" customHeight="1" x14ac:dyDescent="0.2">
      <c r="A11" s="309">
        <v>7</v>
      </c>
      <c r="B11" s="319" t="s">
        <v>18</v>
      </c>
      <c r="C11" s="263" t="s">
        <v>7</v>
      </c>
      <c r="D11" s="251" t="s">
        <v>4</v>
      </c>
      <c r="E11" s="244" t="s">
        <v>63</v>
      </c>
      <c r="F11" s="244" t="s">
        <v>163</v>
      </c>
      <c r="G11" s="320">
        <v>175</v>
      </c>
      <c r="H11" s="320">
        <v>200</v>
      </c>
      <c r="I11" s="320">
        <v>472</v>
      </c>
      <c r="J11" s="321">
        <v>500</v>
      </c>
      <c r="K11" s="261" t="s">
        <v>232</v>
      </c>
      <c r="L11" s="264" t="s">
        <v>49</v>
      </c>
      <c r="M11" s="322">
        <v>500</v>
      </c>
      <c r="N11" s="322">
        <v>500</v>
      </c>
      <c r="O11" s="323" t="s">
        <v>131</v>
      </c>
      <c r="P11" s="265">
        <v>500</v>
      </c>
      <c r="Q11" s="265">
        <v>500</v>
      </c>
      <c r="R11" s="266">
        <v>1231</v>
      </c>
      <c r="S11" s="260">
        <f t="shared" si="0"/>
        <v>2.4620000000000002</v>
      </c>
      <c r="T11" s="256" t="s">
        <v>266</v>
      </c>
      <c r="U11" s="313">
        <v>3.0886</v>
      </c>
      <c r="V11" s="263" t="s">
        <v>131</v>
      </c>
      <c r="W11" s="315" t="s">
        <v>131</v>
      </c>
      <c r="X11" s="137">
        <f>(R11-150)/(500-150)</f>
        <v>3.0885714285714285</v>
      </c>
      <c r="Y11" s="324"/>
      <c r="Z11" s="125"/>
    </row>
    <row r="12" spans="1:26" ht="138" customHeight="1" x14ac:dyDescent="0.2">
      <c r="A12" s="309">
        <v>8</v>
      </c>
      <c r="B12" s="263" t="s">
        <v>217</v>
      </c>
      <c r="C12" s="263" t="s">
        <v>255</v>
      </c>
      <c r="D12" s="251" t="s">
        <v>3</v>
      </c>
      <c r="E12" s="244" t="s">
        <v>64</v>
      </c>
      <c r="F12" s="325" t="s">
        <v>162</v>
      </c>
      <c r="G12" s="326">
        <v>0.1</v>
      </c>
      <c r="H12" s="326">
        <v>0.3</v>
      </c>
      <c r="I12" s="326">
        <v>0.3</v>
      </c>
      <c r="J12" s="326">
        <v>0.3</v>
      </c>
      <c r="K12" s="261" t="s">
        <v>234</v>
      </c>
      <c r="L12" s="244" t="s">
        <v>49</v>
      </c>
      <c r="M12" s="326">
        <v>1</v>
      </c>
      <c r="N12" s="326">
        <v>1</v>
      </c>
      <c r="O12" s="326" t="s">
        <v>131</v>
      </c>
      <c r="P12" s="267">
        <v>0.3</v>
      </c>
      <c r="Q12" s="267">
        <v>0.3</v>
      </c>
      <c r="R12" s="327">
        <v>0.21</v>
      </c>
      <c r="S12" s="260">
        <f>R12/Q12</f>
        <v>0.7</v>
      </c>
      <c r="T12" s="348" t="s">
        <v>267</v>
      </c>
      <c r="U12" s="317">
        <v>0.7</v>
      </c>
      <c r="V12" s="309" t="s">
        <v>131</v>
      </c>
      <c r="W12" s="315" t="s">
        <v>131</v>
      </c>
      <c r="X12" s="120">
        <v>0.58199999999999996</v>
      </c>
      <c r="Y12" s="324"/>
      <c r="Z12" s="125"/>
    </row>
    <row r="13" spans="1:26" ht="17.25" customHeight="1" x14ac:dyDescent="0.2">
      <c r="A13" s="125"/>
      <c r="B13" s="328"/>
      <c r="C13" s="328"/>
      <c r="D13" s="328"/>
      <c r="E13" s="328"/>
      <c r="F13" s="329"/>
      <c r="G13" s="330"/>
      <c r="H13" s="330"/>
      <c r="I13" s="330"/>
      <c r="J13" s="330"/>
      <c r="K13" s="330"/>
      <c r="L13" s="330"/>
      <c r="M13" s="330"/>
      <c r="N13" s="330"/>
      <c r="O13" s="330"/>
      <c r="P13" s="125"/>
      <c r="Q13" s="331"/>
      <c r="R13" s="125"/>
      <c r="S13" s="125"/>
      <c r="T13" s="349"/>
      <c r="U13" s="125"/>
      <c r="V13" s="125"/>
      <c r="W13" s="125"/>
      <c r="X13" s="125"/>
      <c r="Y13" s="125"/>
      <c r="Z13" s="125"/>
    </row>
    <row r="14" spans="1:26" ht="23.25" hidden="1" customHeight="1" x14ac:dyDescent="0.2">
      <c r="A14" s="125"/>
      <c r="B14" s="328"/>
      <c r="C14" s="328"/>
      <c r="D14" s="329"/>
      <c r="E14" s="329"/>
      <c r="F14" s="329"/>
      <c r="G14" s="330"/>
      <c r="H14" s="330"/>
      <c r="I14" s="330"/>
      <c r="J14" s="330"/>
      <c r="K14" s="333"/>
      <c r="L14" s="330"/>
      <c r="M14" s="330"/>
      <c r="N14" s="330"/>
      <c r="O14" s="330"/>
      <c r="P14" s="334"/>
      <c r="Q14" s="125"/>
      <c r="R14" s="125"/>
      <c r="S14" s="125"/>
      <c r="T14" s="332"/>
      <c r="U14" s="125"/>
      <c r="V14" s="125"/>
      <c r="W14" s="125"/>
      <c r="X14" s="125"/>
      <c r="Y14" s="125"/>
      <c r="Z14" s="125"/>
    </row>
    <row r="15" spans="1:26" ht="15" hidden="1" customHeight="1" x14ac:dyDescent="0.2">
      <c r="A15" s="125"/>
      <c r="B15" s="330"/>
      <c r="C15" s="330"/>
      <c r="D15" s="330"/>
      <c r="E15" s="330"/>
      <c r="F15" s="330"/>
      <c r="G15" s="330"/>
      <c r="H15" s="330"/>
      <c r="I15" s="330"/>
      <c r="J15" s="330"/>
      <c r="K15" s="330"/>
      <c r="L15" s="330"/>
      <c r="M15" s="330"/>
      <c r="N15" s="330"/>
      <c r="O15" s="330"/>
      <c r="P15" s="125"/>
      <c r="Q15" s="125"/>
      <c r="R15" s="125"/>
      <c r="S15" s="125"/>
      <c r="T15" s="335"/>
      <c r="U15" s="125"/>
      <c r="V15" s="125"/>
      <c r="W15" s="125"/>
      <c r="X15" s="125"/>
      <c r="Y15" s="125"/>
      <c r="Z15" s="125"/>
    </row>
    <row r="16" spans="1:26" x14ac:dyDescent="0.2">
      <c r="A16" s="125"/>
      <c r="B16" s="125"/>
      <c r="C16" s="330"/>
      <c r="D16" s="330"/>
      <c r="E16" s="330"/>
      <c r="F16" s="330"/>
      <c r="G16" s="330"/>
      <c r="H16" s="336"/>
      <c r="I16" s="330"/>
      <c r="J16" s="330"/>
      <c r="K16" s="330"/>
      <c r="L16" s="330"/>
      <c r="M16" s="330"/>
      <c r="N16" s="330"/>
      <c r="O16" s="330"/>
      <c r="P16" s="125"/>
      <c r="Q16" s="125"/>
      <c r="R16" s="125"/>
      <c r="S16" s="125"/>
      <c r="T16" s="125"/>
      <c r="U16" s="125"/>
      <c r="V16" s="125"/>
      <c r="W16" s="125"/>
      <c r="X16" s="125"/>
      <c r="Y16" s="125"/>
      <c r="Z16" s="125"/>
    </row>
    <row r="17" spans="3:16" s="125" customFormat="1" x14ac:dyDescent="0.2">
      <c r="C17" s="330"/>
      <c r="D17" s="330"/>
      <c r="E17" s="330"/>
      <c r="F17" s="330"/>
      <c r="G17" s="330"/>
      <c r="H17" s="330"/>
      <c r="I17" s="330"/>
      <c r="J17" s="330"/>
      <c r="K17" s="330"/>
      <c r="L17" s="330"/>
      <c r="M17" s="330"/>
      <c r="N17" s="330"/>
      <c r="O17" s="330"/>
    </row>
    <row r="18" spans="3:16" s="125" customFormat="1" x14ac:dyDescent="0.2">
      <c r="C18" s="330"/>
      <c r="D18" s="330"/>
      <c r="E18" s="330"/>
      <c r="F18" s="330"/>
      <c r="G18" s="330"/>
      <c r="H18" s="330"/>
      <c r="I18" s="330"/>
      <c r="J18" s="330"/>
      <c r="K18" s="330"/>
      <c r="L18" s="330"/>
      <c r="M18" s="330"/>
      <c r="N18" s="330"/>
      <c r="O18" s="330"/>
    </row>
    <row r="19" spans="3:16" s="125" customFormat="1" x14ac:dyDescent="0.2">
      <c r="C19" s="330"/>
      <c r="D19" s="330"/>
      <c r="E19" s="330"/>
      <c r="F19" s="330"/>
      <c r="G19" s="330"/>
      <c r="H19" s="330"/>
      <c r="I19" s="330"/>
      <c r="J19" s="330"/>
      <c r="K19" s="330"/>
      <c r="L19" s="330"/>
      <c r="M19" s="330"/>
      <c r="N19" s="330"/>
      <c r="O19" s="330"/>
    </row>
    <row r="20" spans="3:16" s="125" customFormat="1" x14ac:dyDescent="0.2"/>
    <row r="21" spans="3:16" s="125" customFormat="1" x14ac:dyDescent="0.2"/>
    <row r="22" spans="3:16" s="125" customFormat="1" x14ac:dyDescent="0.2"/>
    <row r="23" spans="3:16" s="125" customFormat="1" x14ac:dyDescent="0.2">
      <c r="P23" s="337"/>
    </row>
    <row r="24" spans="3:16" s="125" customFormat="1" x14ac:dyDescent="0.2"/>
  </sheetData>
  <mergeCells count="16">
    <mergeCell ref="B13:E13"/>
    <mergeCell ref="B14:C14"/>
    <mergeCell ref="M3:M4"/>
    <mergeCell ref="N3:N4"/>
    <mergeCell ref="O3:O4"/>
    <mergeCell ref="B1:P1"/>
    <mergeCell ref="A3:A4"/>
    <mergeCell ref="B3:B4"/>
    <mergeCell ref="C3:C4"/>
    <mergeCell ref="D3:D4"/>
    <mergeCell ref="E3:E4"/>
    <mergeCell ref="F3:F4"/>
    <mergeCell ref="G3:J3"/>
    <mergeCell ref="K3:K4"/>
    <mergeCell ref="L3:L4"/>
    <mergeCell ref="P3:Y3"/>
  </mergeCells>
  <conditionalFormatting sqref="S5:S12">
    <cfRule type="cellIs" dxfId="2" priority="13" operator="lessThan">
      <formula>0.4</formula>
    </cfRule>
    <cfRule type="cellIs" dxfId="1" priority="14" operator="between">
      <formula>0.4</formula>
      <formula>0.799</formula>
    </cfRule>
    <cfRule type="cellIs" dxfId="0" priority="15"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III Trim PND_2021</vt:lpstr>
      <vt:lpstr>Seguimiento III Trim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2022-10-12T21:40:06Z</dcterms:modified>
</cp:coreProperties>
</file>