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Natalia Pineda\2023\IGAC\PND 2018-2022\"/>
    </mc:Choice>
  </mc:AlternateContent>
  <xr:revisionPtr revIDLastSave="0" documentId="13_ncr:1_{67A199C3-189F-44FE-B54F-AE15946C825E}" xr6:coauthVersionLast="47" xr6:coauthVersionMax="47" xr10:uidLastSave="{00000000-0000-0000-0000-000000000000}"/>
  <bookViews>
    <workbookView xWindow="-120" yWindow="-120" windowWidth="20730" windowHeight="11040" firstSheet="1" activeTab="1" xr2:uid="{00000000-000D-0000-FFFF-FFFF00000000}"/>
  </bookViews>
  <sheets>
    <sheet name="Seguimiento III Trim PND_2021" sheetId="1" state="hidden" r:id="rId1"/>
    <sheet name="Seg cierre 2018-2022" sheetId="17" r:id="rId2"/>
  </sheets>
  <definedNames>
    <definedName name="_xlnm._FilterDatabase" localSheetId="1" hidden="1">'Seg cierre 2018-2022'!$B$5:$R$13</definedName>
    <definedName name="_xlnm._FilterDatabase" localSheetId="0" hidden="1">'Seguimiento III Trim PND_2021'!$B$4:$CR$12</definedName>
  </definedNames>
  <calcPr calcId="191029"/>
</workbook>
</file>

<file path=xl/calcChain.xml><?xml version="1.0" encoding="utf-8"?>
<calcChain xmlns="http://schemas.openxmlformats.org/spreadsheetml/2006/main">
  <c r="DC5" i="1" l="1"/>
  <c r="DA12" i="1"/>
  <c r="DC11" i="1"/>
  <c r="DA11" i="1"/>
  <c r="DC10" i="1"/>
  <c r="DA10" i="1"/>
  <c r="DC9" i="1"/>
  <c r="DA9" i="1"/>
  <c r="DE8" i="1"/>
  <c r="DD8" i="1"/>
  <c r="DC8" i="1"/>
  <c r="DA8" i="1"/>
  <c r="DC7" i="1"/>
  <c r="DF6" i="1"/>
  <c r="DE6" i="1"/>
  <c r="DC6" i="1"/>
  <c r="CV11" i="1"/>
  <c r="CY11" i="1"/>
  <c r="CY10" i="1"/>
  <c r="CV10" i="1"/>
  <c r="CV9" i="1"/>
  <c r="CT9" i="1"/>
  <c r="CT10" i="1"/>
  <c r="CT11" i="1"/>
  <c r="CT12" i="1"/>
  <c r="CY8" i="1"/>
  <c r="CX8" i="1"/>
  <c r="CW8" i="1"/>
  <c r="CV8" i="1"/>
  <c r="CT8" i="1"/>
  <c r="CX7" i="1"/>
  <c r="CW7" i="1"/>
  <c r="CY7" i="1" s="1"/>
  <c r="CV7" i="1"/>
  <c r="CY6" i="1"/>
  <c r="CV6" i="1"/>
  <c r="CX6" i="1"/>
  <c r="CV5" i="1"/>
  <c r="DD7" i="1" l="1"/>
  <c r="CM12" i="1"/>
  <c r="CR11" i="1"/>
  <c r="CO11" i="1"/>
  <c r="CM11" i="1"/>
  <c r="CO10" i="1"/>
  <c r="CM10" i="1"/>
  <c r="CM8" i="1"/>
  <c r="CM9" i="1"/>
  <c r="DF7" i="1" l="1"/>
  <c r="DE7" i="1"/>
  <c r="BM7" i="1"/>
  <c r="DA7" i="1" s="1"/>
  <c r="CP5" i="1"/>
  <c r="CW5" i="1" s="1"/>
  <c r="CH11" i="1"/>
  <c r="BY11" i="1"/>
  <c r="BT11" i="1"/>
  <c r="CO7" i="1"/>
  <c r="CR7" i="1"/>
  <c r="CQ7" i="1"/>
  <c r="CX5" i="1" l="1"/>
  <c r="DD5" i="1"/>
  <c r="CY5" i="1"/>
  <c r="CT7" i="1"/>
  <c r="CM7" i="1"/>
  <c r="CR5" i="1"/>
  <c r="CQ5" i="1"/>
  <c r="CO5" i="1"/>
  <c r="CR10" i="1"/>
  <c r="CR8" i="1"/>
  <c r="CQ8" i="1"/>
  <c r="CC8" i="1"/>
  <c r="CJ8" i="1"/>
  <c r="CP8" i="1"/>
  <c r="CI8" i="1"/>
  <c r="CO8" i="1"/>
  <c r="CR6" i="1"/>
  <c r="CQ6" i="1"/>
  <c r="CO6" i="1"/>
  <c r="CD12" i="1"/>
  <c r="CA12" i="1"/>
  <c r="BT12" i="1"/>
  <c r="CF12" i="1"/>
  <c r="CK11" i="1"/>
  <c r="CF11" i="1"/>
  <c r="BR11" i="1"/>
  <c r="CK10" i="1"/>
  <c r="CH10" i="1"/>
  <c r="CF10" i="1"/>
  <c r="CF9" i="1"/>
  <c r="BU8" i="1"/>
  <c r="CB8" i="1"/>
  <c r="CK8" i="1"/>
  <c r="CH8" i="1"/>
  <c r="CD8" i="1"/>
  <c r="CA8" i="1"/>
  <c r="CK6" i="1"/>
  <c r="CJ6" i="1"/>
  <c r="CH7" i="1"/>
  <c r="CH6" i="1"/>
  <c r="CH5" i="1"/>
  <c r="BY10" i="1"/>
  <c r="BR10" i="1"/>
  <c r="CV12" i="1" l="1"/>
  <c r="DC12" i="1"/>
  <c r="DF5" i="1"/>
  <c r="DE5" i="1"/>
  <c r="CH12" i="1"/>
  <c r="CO12" i="1"/>
  <c r="CA10" i="1"/>
  <c r="BW10" i="1"/>
  <c r="CD11" i="1"/>
  <c r="BW12" i="1"/>
  <c r="CD10" i="1"/>
  <c r="CD6" i="1"/>
  <c r="BY12" i="1"/>
  <c r="CA11" i="1"/>
  <c r="BW11" i="1"/>
  <c r="BY9" i="1"/>
  <c r="BM5" i="1"/>
  <c r="DA5" i="1" s="1"/>
  <c r="CT5" i="1" l="1"/>
  <c r="CM5" i="1"/>
  <c r="CF5" i="1"/>
  <c r="BF8" i="1"/>
  <c r="BW8" i="1"/>
  <c r="CA6" i="1"/>
  <c r="BW6" i="1" l="1"/>
  <c r="CC6" i="1"/>
  <c r="BD6" i="1"/>
  <c r="BV8" i="1"/>
  <c r="BM6" i="1"/>
  <c r="DA6" i="1" s="1"/>
  <c r="BV6" i="1"/>
  <c r="BV5" i="1"/>
  <c r="CA7" i="1"/>
  <c r="CA5" i="1"/>
  <c r="BY5" i="1"/>
  <c r="CT6" i="1" l="1"/>
  <c r="CM6" i="1"/>
  <c r="CF7" i="1"/>
  <c r="BY6" i="1"/>
  <c r="CF6" i="1"/>
  <c r="BV7" i="1"/>
  <c r="CB7" i="1"/>
  <c r="BW7" i="1"/>
  <c r="BW5" i="1"/>
  <c r="CB5" i="1"/>
  <c r="CI5" i="1" s="1"/>
  <c r="BR12" i="1"/>
  <c r="BJ11" i="1"/>
  <c r="BT10" i="1"/>
  <c r="BT9" i="1"/>
  <c r="BT7" i="1"/>
  <c r="BT5" i="1"/>
  <c r="BR5" i="1"/>
  <c r="BT8" i="1"/>
  <c r="BT6" i="1"/>
  <c r="BD8" i="1"/>
  <c r="BJ9" i="1"/>
  <c r="BF9" i="1"/>
  <c r="V9" i="1"/>
  <c r="BJ12" i="1"/>
  <c r="BF12" i="1"/>
  <c r="V12" i="1"/>
  <c r="V14" i="1"/>
  <c r="V15" i="1"/>
  <c r="BF11" i="1"/>
  <c r="V11" i="1"/>
  <c r="BJ7" i="1"/>
  <c r="BF7" i="1"/>
  <c r="BK5" i="1"/>
  <c r="BJ5" i="1"/>
  <c r="BF5" i="1"/>
  <c r="V7" i="1"/>
  <c r="V5" i="1"/>
  <c r="CK12" i="1" l="1"/>
  <c r="CD7" i="1"/>
  <c r="CI7" i="1"/>
  <c r="CJ5" i="1"/>
  <c r="CK5" i="1"/>
  <c r="CC7" i="1"/>
  <c r="CD9" i="1"/>
  <c r="BW9" i="1"/>
  <c r="CA9" i="1" s="1"/>
  <c r="CC5" i="1"/>
  <c r="CD5" i="1"/>
  <c r="BR7" i="1"/>
  <c r="BY7" i="1"/>
  <c r="BG8" i="1"/>
  <c r="BG6" i="1"/>
  <c r="BH6" i="1"/>
  <c r="BJ10" i="1"/>
  <c r="BF10" i="1"/>
  <c r="V10" i="1"/>
  <c r="BJ8" i="1"/>
  <c r="V8" i="1"/>
  <c r="BJ6" i="1"/>
  <c r="BF6" i="1"/>
  <c r="V6" i="1"/>
  <c r="CJ7" i="1" l="1"/>
  <c r="CK7" i="1"/>
  <c r="CK9" i="1"/>
  <c r="CH9" i="1"/>
  <c r="AT10" i="1"/>
  <c r="AQ10" i="1"/>
  <c r="AN10" i="1"/>
  <c r="AK10" i="1"/>
  <c r="AH10" i="1"/>
  <c r="AE10" i="1"/>
  <c r="AB10" i="1"/>
  <c r="AB9" i="1"/>
  <c r="AE7" i="1"/>
  <c r="AB7" i="1"/>
  <c r="AE5" i="1"/>
  <c r="AB5" i="1"/>
  <c r="T5" i="1"/>
  <c r="AE12" i="1"/>
  <c r="AN11" i="1" l="1"/>
  <c r="AZ11" i="1"/>
  <c r="AW11" i="1"/>
  <c r="AT11" i="1"/>
  <c r="AQ11" i="1"/>
  <c r="AK11" i="1"/>
  <c r="AH11" i="1"/>
  <c r="AE11" i="1"/>
  <c r="AB11" i="1"/>
  <c r="AZ8" i="1" l="1"/>
  <c r="AW10" i="1"/>
  <c r="AW8" i="1"/>
  <c r="AQ8" i="1"/>
  <c r="AN8" i="1"/>
  <c r="AK8" i="1"/>
  <c r="AZ12" i="1"/>
  <c r="AW12" i="1"/>
  <c r="AT12" i="1"/>
  <c r="AQ12" i="1"/>
  <c r="AB12" i="1"/>
  <c r="AZ7" i="1"/>
  <c r="AW7" i="1"/>
  <c r="AT7" i="1"/>
  <c r="AZ5" i="1"/>
  <c r="AW5" i="1"/>
  <c r="AT5" i="1"/>
  <c r="AQ5" i="1"/>
  <c r="AH5" i="1"/>
  <c r="AZ10" i="1" l="1"/>
  <c r="AQ9" i="1" l="1"/>
  <c r="AQ7" i="1"/>
  <c r="AQ6" i="1"/>
  <c r="AN12" i="1" l="1"/>
  <c r="AN9" i="1"/>
  <c r="AN7" i="1"/>
  <c r="AN5" i="1"/>
  <c r="AN6" i="1" l="1"/>
  <c r="AK6" i="1" l="1"/>
  <c r="AK7" i="1"/>
  <c r="AK9" i="1"/>
  <c r="AK12" i="1"/>
  <c r="AK5" i="1"/>
  <c r="AH12" i="1" l="1"/>
  <c r="AE9" i="1" l="1"/>
  <c r="AH9" i="1"/>
  <c r="AH8" i="1"/>
  <c r="AE8" i="1"/>
  <c r="AB8" i="1"/>
  <c r="AE6" i="1"/>
  <c r="AB6" i="1"/>
  <c r="AH7" i="1"/>
  <c r="AH6" i="1" l="1"/>
  <c r="T12" i="1" l="1"/>
  <c r="P11" i="1" l="1"/>
  <c r="T11" i="1" s="1"/>
  <c r="P10" i="1"/>
  <c r="T10" i="1" s="1"/>
  <c r="P9" i="1"/>
  <c r="T9" i="1" s="1"/>
  <c r="P8" i="1"/>
  <c r="T8" i="1" s="1"/>
  <c r="P7" i="1"/>
  <c r="T7" i="1" s="1"/>
  <c r="P6" i="1"/>
  <c r="T6" i="1" s="1"/>
  <c r="CO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Natalia Pineda</author>
  </authors>
  <commentList>
    <comment ref="Z5" authorId="0" shapeId="0" xr:uid="{00000000-0006-0000-0000-000001000000}">
      <text>
        <r>
          <rPr>
            <sz val="9"/>
            <color indexed="81"/>
            <rFont val="Tahoma"/>
            <family val="2"/>
          </rPr>
          <t xml:space="preserve">
20%</t>
        </r>
      </text>
    </comment>
    <comment ref="M11" authorId="1" shapeId="0" xr:uid="{00000000-0006-0000-0000-000002000000}">
      <text>
        <r>
          <rPr>
            <b/>
            <sz val="12"/>
            <color indexed="81"/>
            <rFont val="Tahoma"/>
            <family val="2"/>
          </rPr>
          <t>Natalia Pineda:</t>
        </r>
        <r>
          <rPr>
            <sz val="12"/>
            <color indexed="81"/>
            <rFont val="Tahoma"/>
            <family val="2"/>
          </rPr>
          <t xml:space="preserve">
Se ajusta la meta a 500 geoservicios, a partir del mes de junio 2021</t>
        </r>
      </text>
    </comment>
    <comment ref="N11" authorId="1" shapeId="0" xr:uid="{00000000-0006-0000-0000-000003000000}">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sharedStrings.xml><?xml version="1.0" encoding="utf-8"?>
<sst xmlns="http://schemas.openxmlformats.org/spreadsheetml/2006/main" count="440" uniqueCount="281">
  <si>
    <t>PACTOS DEL PND</t>
  </si>
  <si>
    <t>UNIDAD DE MEDIDA</t>
  </si>
  <si>
    <t>Meta anualizada</t>
  </si>
  <si>
    <t>Porcentaje</t>
  </si>
  <si>
    <t>Número</t>
  </si>
  <si>
    <t>Gestores catastrales habilitados</t>
  </si>
  <si>
    <t>Gestores habilitados</t>
  </si>
  <si>
    <t>Geoservicios publicados y disponibles</t>
  </si>
  <si>
    <t>INDICADORES</t>
  </si>
  <si>
    <t xml:space="preserve">Porcentaje de implementación del Sistema Nacional de Información de Catastro Multipropósito </t>
  </si>
  <si>
    <t>% de avance de meta a marzo de 2020</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</si>
  <si>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</si>
  <si>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</si>
  <si>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</si>
  <si>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</si>
  <si>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</si>
  <si>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</si>
  <si>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</si>
  <si>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</si>
  <si>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</si>
  <si>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</si>
  <si>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</si>
  <si>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</si>
  <si>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</si>
  <si>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</si>
  <si>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</si>
  <si>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</si>
  <si>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</si>
  <si>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</si>
  <si>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</si>
  <si>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</si>
  <si>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</si>
  <si>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</si>
  <si>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</si>
  <si>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</si>
  <si>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</si>
  <si>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</si>
  <si>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</si>
  <si>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</si>
  <si>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</si>
  <si>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</si>
  <si>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</si>
  <si>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</si>
  <si>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</si>
  <si>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</si>
  <si>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</si>
  <si>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</si>
  <si>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</si>
  <si>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</si>
  <si>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</si>
  <si>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100%
*NUPRE
*Interrelación catastro-registro
* Ajustes CICA</t>
  </si>
  <si>
    <t>Avance cuantitativo a mayo de 2020</t>
  </si>
  <si>
    <t>% de avance de meta a mayo de 2020</t>
  </si>
  <si>
    <t>Avance cualitativo a mayo</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</si>
  <si>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</si>
  <si>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</si>
  <si>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</si>
  <si>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</si>
  <si>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</si>
  <si>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</si>
  <si>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</si>
  <si>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</si>
  <si>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</si>
  <si>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</si>
  <si>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</si>
  <si>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</si>
  <si>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física 2020</t>
  </si>
  <si>
    <t>Avance cuantitativo a junio de 2020</t>
  </si>
  <si>
    <t>% de avance de meta a junio de 2020</t>
  </si>
  <si>
    <t>Avance cualitativo a junio</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</si>
  <si>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</si>
  <si>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</si>
  <si>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</si>
  <si>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</si>
  <si>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</si>
  <si>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</si>
  <si>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</si>
  <si>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</si>
  <si>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</si>
  <si>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</si>
  <si>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</si>
  <si>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</si>
  <si>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</si>
  <si>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</si>
  <si>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</si>
  <si>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</si>
  <si>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</si>
  <si>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</si>
  <si>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</si>
  <si>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</si>
  <si>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</si>
  <si>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</si>
  <si>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</si>
  <si>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</si>
  <si>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</si>
  <si>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</si>
  <si>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</si>
  <si>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</si>
  <si>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</si>
  <si>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</si>
  <si>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</si>
  <si>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</si>
  <si>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</si>
  <si>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</si>
  <si>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</si>
  <si>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</si>
  <si>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</si>
  <si>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</si>
  <si>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</si>
  <si>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</si>
  <si>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</si>
  <si>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</si>
  <si>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</si>
  <si>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</si>
  <si>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</si>
  <si>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</si>
  <si>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</si>
  <si>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</si>
  <si>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</si>
  <si>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</si>
  <si>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</si>
  <si>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</si>
  <si>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</si>
  <si>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</si>
  <si>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</si>
  <si>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</si>
  <si>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</si>
  <si>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</si>
  <si>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</si>
  <si>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</si>
  <si>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</si>
  <si>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N/A</t>
  </si>
  <si>
    <t>Meta física</t>
  </si>
  <si>
    <t>Rezago 2019</t>
  </si>
  <si>
    <t>Rezago Ha</t>
  </si>
  <si>
    <t>Avance físico 2020</t>
  </si>
  <si>
    <t>SEGUIMIENTO AÑO 2019</t>
  </si>
  <si>
    <t>2019 PDET</t>
  </si>
  <si>
    <t>2020PDET</t>
  </si>
  <si>
    <t>Avance Cualitativo</t>
  </si>
  <si>
    <t xml:space="preserve">Avance real </t>
  </si>
  <si>
    <t xml:space="preserve">Meta </t>
  </si>
  <si>
    <t xml:space="preserve">Meta 
</t>
  </si>
  <si>
    <t xml:space="preserve">% avance cuatrienio </t>
  </si>
  <si>
    <t>Faltante para meta cuatrienio</t>
  </si>
  <si>
    <t xml:space="preserve">%Avance meta 2020 </t>
  </si>
  <si>
    <t>Rezago %area actualizada</t>
  </si>
  <si>
    <t>Avance físico</t>
  </si>
  <si>
    <t>Porcentaje del área geográfica con catastro actualizado  (hectáreas)</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</si>
  <si>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</si>
  <si>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</si>
  <si>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</si>
  <si>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</si>
  <si>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</si>
  <si>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Meta 2021</t>
  </si>
  <si>
    <t>Avance real total 2021</t>
  </si>
  <si>
    <t xml:space="preserve">%Avance meta 2021 </t>
  </si>
  <si>
    <t>Avance enero</t>
  </si>
  <si>
    <t>Avance Cualitativo Total 2021</t>
  </si>
  <si>
    <t>Avance Cualitativo enero</t>
  </si>
  <si>
    <t>Meta física 2021</t>
  </si>
  <si>
    <t>Avance físico 2021</t>
  </si>
  <si>
    <t>Anual</t>
  </si>
  <si>
    <t>Trimestral</t>
  </si>
  <si>
    <t>% de avance meta 2019</t>
  </si>
  <si>
    <t>% avance cuatrienio</t>
  </si>
  <si>
    <t>PERIODICIDAD REPORTE
 CUANTITATIVO</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</si>
  <si>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</si>
  <si>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</si>
  <si>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%avance frente a la meta 2021</t>
  </si>
  <si>
    <t>Durante el mes de enero, se generaron 75.231,63 hectáreas de productos cartográficos parcial o total del área rural de los municipios de: Villavicencio (Meta), Cáceres (Antioquia) y Planadas (Tolima). Así mismo,  se generaron 2.876,09 hectáreas de productos cartográficos del área urbana del municipio de Villavicencio, Meta, de las cuales 306,61 ha se encuentran traslapadas, por lo que el cubrimiento total en cartografía para el mes de enero es de 77.801,11 ha</t>
  </si>
  <si>
    <t>Durante el mes de enero, se realizó la caracterización territorial del municipio de Villavicencio y se avanzó en la consolidación y análisis de la información del municipio de Popayán, correspondiente a 128.375,75 has.</t>
  </si>
  <si>
    <t>Se encuentra en proceso la selección y contratación de la fábrica de software encargada de apoyar la etapa de desarrollo del Sistema Nacional de Información de Castro Multipropósito</t>
  </si>
  <si>
    <t>Semestral</t>
  </si>
  <si>
    <t>Se dio inicio al trámite de habilitación de los municipios de Envigado y Zipaquirá a través de las Resoluciones N°.1098 y 35, respectivamente.</t>
  </si>
  <si>
    <t xml:space="preserve">En el mes de enero se realizó el monitoreo automático de los geoservicios del Portal Geográfico Nacional mediante la herramienta libre GeoHealthCheck optimizando el seguimiento de 372 geoservicios, los cuales se encuentran operando plenamente.
</t>
  </si>
  <si>
    <t>En el mes de enero se realizó la planeación y programación de las actividades a desarrollar en la vigencia 2021 para el Sistema de Información Geográfica -SIG Indígenas. 
De igual forma, se elaboraron las condiciones de contratación y revisión de hojas de vida de dos profesionales que apoyarán el fortalecimiento del Sistema de Información Geográfica</t>
  </si>
  <si>
    <t>Se encuentra en proceso la etapa de contratación de personal.</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</si>
  <si>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</si>
  <si>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Avance febrero</t>
  </si>
  <si>
    <t>Avance Cualitativo febrero</t>
  </si>
  <si>
    <t>Durante el mes de febrero, se realizó la caracterización territorial del municipio de Popayán, correspondiente a 48.037,40 ha y se avanzó con la caracterización del municipio de Arauquita.</t>
  </si>
  <si>
    <t>META FÍSICA CUATRIENIO PND</t>
  </si>
  <si>
    <t>META FÍSICA HECTÁREAS TOTAL COLOMBIA</t>
  </si>
  <si>
    <t>Durante el mes de febrero, se finalizó la producción de 31.996,77 ha del área  rural del municipio de la Plata, Huila. Adicionalmente, se avanzó en la generación de ortoimágenes y bases de datos vectorial de la cuenca Yaguilga (rural), Popayán (urbano y rural), Fuente de oro (urbano) y Chaparral (urbano).</t>
  </si>
  <si>
    <t>Avance real diciembre</t>
  </si>
  <si>
    <t>Avance fisico total terrritorio nacional</t>
  </si>
  <si>
    <t>%Avance total terrritorio nacional</t>
  </si>
  <si>
    <t>Avance fisico total terrritorio nacional acumulado</t>
  </si>
  <si>
    <t>%Avance total terrritorio nacional acumulado</t>
  </si>
  <si>
    <t>Porcentaje de área geográfica en municipios PDET con catastro actualizado (hectáreas)</t>
  </si>
  <si>
    <t>Porcentaje del área geográfica con cartografía básica a las escalas y con la temporalidad adecuadas (Hectáreas)</t>
  </si>
  <si>
    <t>Porcentaje del área geográfica con caracterización geográfica (Hectáreas)</t>
  </si>
  <si>
    <t>% avance cuatrienio  según SINERGIA</t>
  </si>
  <si>
    <t>%Avance real respecto de la meta del PND</t>
  </si>
  <si>
    <t>Acumulado.
Mide los avances de un periodo, y para el siguiente incluye (o suma) los avances obtenidos en periodos anteriores. Los avances anuales son independientes de lo obtenido en años anteriores.</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</si>
  <si>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</si>
  <si>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Durante la vigencia 2020 se llevó a cabo la actualización de  4.083.550,05  hectáreas del área geográfica de los municipios PDET correspondientes al 10.44% del total del área geográfica de estos municipios logrando el 52,31% de avance de la meta establecida para la vigencia 2020.
De los 4,08 millones de hectáreas actualizados, 3,75 millones son producto del trabajo realizado por el IGAC y 0,33 millones de Catastro Antioquia durante el 2020</t>
  </si>
  <si>
    <t xml:space="preserve">A 1 de enero de 2021 el área geográfica con catastro actualizado es de 17.560.382,69 hectáreas correspondientes al 15,39% del área geográfica total del país y al 25,65% de la meta del Plan Nacional de Desarrollo establecida en el 60% del total del territorio. 
De los 17,56 millones de hectáreas actualizados, 8,99 millones son producto del trabajo realizado por el IGAC, la ANT y los Catastros de Antioquia y Soacha durante el 2020, así como de los municipios que han sido actualizados durante los últimos cinco años, y 8,56 millones corresponden a las áreas actualizadas mediante el proceso de conservación adelantado por el Instituto y otros gestores.
</t>
  </si>
  <si>
    <t>Se está realizando la planeación y preparación de los insumos y contratación de los equipos de trabajo para las actualizaciones catastrales de Villavicencio (fase II), Popayán, Arauquita y los 8 municipios de Boyacá (Socha, Socotá, Sativasur, Tasco, Betéitiva, Busbanzá, Corrales y Floresta). Por otro lado, se está revisando y definiendo la intervención en otros municipios adicionales para la actual vigencia.</t>
  </si>
  <si>
    <t>El IGAC junto con el DNP y la Consejería Presidencial para la Gestión y Cumplimiento, brindó asesoría a los municipios de las regiones PDET en la formulación de los proyectos tipo, con cargo al presupuesto de regalías a fin de lograr la financiación de la gestión catastral de 38 municipios PDET.</t>
  </si>
  <si>
    <t>Se realizaron reuniones con  los Gestores Castastrales, la Superintendencia de Notariado y Regitro, y el Departamento Nacional de Planeación; con el propósito de definir el alcance del Sistema Nacional de Información de Catastro Multipropósito SINIC, con relación a lss  funcionalidades del mismo,requeridas para el ejercicio de las funciones de inspección, vigilancia y control que hacen parte del servicio público catastral.</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</si>
  <si>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</si>
  <si>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En el mes de febrero se realizó el monitoreo automático de los geoservicios mediante la herramienta libre GeoHealthCheck optimizando el seguimiento de 372 geoservicios, los cuales se encuentran operando plenamente. 
Así mismo se da inicio a la migración de los geoservicios del Portal Geográfico Nacional al nuevo Portal Colombia en mapas.</t>
  </si>
  <si>
    <t>En el mes de febrero se realizó la elaboración del Plan de Gestión del Proyecto SIG-Indígena_Fase II y del cronograma de actividades del Proyecto.
Así mismo, se envió comunicado a la Comisión Nacional de Territorios Indigenas - CNTI con el fin de programar una reunión para la revisión y aprobación del plan de gestión y cronograma de actividades del proyecto SIG-Indígena_Fase II.</t>
  </si>
  <si>
    <t>% avance cuatrienio según SINERGIA</t>
  </si>
  <si>
    <t>Avance marzo</t>
  </si>
  <si>
    <t>Avance Cualitativo marzo</t>
  </si>
  <si>
    <t>Durante el mes de marzo, se generaron productos cartográficos del área rural de 732,82 ha del municipio La Plata, Huila y 57.008,4 ha del municipio Fuente de Oro, Meta. Es decir, que el cubrimiento total en cartografía para el mes de marzo es de 57.741,22 ha.</t>
  </si>
  <si>
    <t>Durante el mes de marzo, se realizó la caracterización territorial de Arauquita, correspondiente a 287.686,40 ha y se avanzó en las caracterizaciones del Guamo, Córdoba y Rioblanco.</t>
  </si>
  <si>
    <t>Durante el primer trimestre del 2021 se adelantaron las contrataciones del personal para realizar los procesos de actualización de los municipios de Popayán y Villavicencio cuyos contratos fueron firmados en 2020. Para el caso de Villavicencio se realizó la socialización con las autoridades municipales de la fase II del proceso de actualización y se dio inicio al trabajo de campo. 
En lo que respecta a la actualización de Popayán fue aprobado por parte de la Alcaldía municipal el plan de trabajo y así mismo, se llevó a cabo la socialización del proceso con las autoridades municipales. Se tiene contemplado iniciar trabajo de campo a partir del mes de abril. Por otro lado, se suscribió el contrato para la actualización catastral de Arauquita del departamento de Arauca. Para este caso, fue aprobado el plan de trabajo y se expidió la resolución de inicio del proceso. 
Finalmente, se realizó la planeación de la socialización de los procesos de actualización catastral con las autoridades municipales de los 8 municipios de Boyacá en los que se llevarán a cabo procesos de actualización catastral en la presente vigencia. En este sentido, se suscribió el acta de inicio con el operador Telezpacio quien adelantará dicha labor.</t>
  </si>
  <si>
    <t>El IGAC brindó apoyo en la estructuración y revisión de documentos técnicos de 5 proyectos tipo  regalías, correspondiente a los municipios de: Balboa, Tibú, Solita, Curillo y Algeciras.</t>
  </si>
  <si>
    <t>Se realizó el análisis, las especificaciones y diseño del documento de arquitectura base en su primera versión para el Repositorio de Datos Maestros.</t>
  </si>
  <si>
    <t>60% (solo vigencia 2021)
40%(con acumulación de años anteriores y rezago)</t>
  </si>
  <si>
    <t>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dio inicio al Trámite de Habilitación del municipio de Sabaneta-Antioquia, mediante Resolución 181 del 23 de marzo de 2021.</t>
  </si>
  <si>
    <t>En el mes de marzo se realizó el monitoreo automático de los geoservicios mediante la herramienta libre GeoHealthCheck optimizando el seguimiento de 372 geoservicios, los cuales se encuentran operando plenamente. Así mismo, se realizaron gestiones con las entidades para el restablecimiento de algunos geoservicios que se encontraban fuera de servicio. Por otra parte, se continua con la migración de los geoservicios del Portal Geográfico Nacional al nuevo Portal Colombia en Mapas. 
Para la vigencia 2021 se programó una meta de 225 geoservicios publicados y disponibles,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se ha logrado superar la meta en 147 geoservicios más de lo programado , teniendo un cumplimiento del 165%.</t>
  </si>
  <si>
    <t>En el mes de marzo se realizaron reuniones con la Comisión Nacional de Territorios Indígenas - CNTI, donde se discutió y aprobó el Plan de gestión del proyecto SIG_Indígena_Fase II y el cronograma de actividades para la vigencia 2021.
Así mismo, se realizó la definición de las fechas preliminares para las actividades de entrenamiento que se realizaran con los miembros de la Comisión Nacional de Territorios Indígenas _CNTI en la apropiación del SIG_ Indígena.
Por otra parte, para la vigencia 2021 se programó una meta del 30% de la implementación del programa marco de operación del sistema de información Geográfica -SIG Indígena, por lo tanto, para el primer trimestre del año se realizó un avance del 5% de la meta programada correspondiente a la etapa de planeación del proyecto.</t>
  </si>
  <si>
    <t>Pacto por la equidad de oportunidades para grupos étnicos: Indígenas, Negros, Afrocolombianos, Raizales y Palenqueros</t>
  </si>
  <si>
    <t>No</t>
  </si>
  <si>
    <t xml:space="preserve">En el mes de abril se generó el documento de diseño de la base de datos del sistema de información incluyendo el diccionario de datos y modelos conceptual, lógico y físico. Este documento se encuentra pendiente de validación por la Comisión Nacional de Territorios Indígenas - CNTI.
Así mismo, se brindó apoyo en la elaboración de la encuesta para medir el nivel de conocimiento que tienen los participantes que tomarán los cursos de entrenamiento dentro en la vigencia 2021.
Por otra parte, se atendieron las incidencias reportadas por la Comisión Nacional de Territorios Indígenas - CNTI de las fallas que presentó el Sistema de Información Geográfica. Así mismo, se atendieron las incidencias reportadas por la implementación de la herramienta en el repositorio documental de la infraestructura tecnológica dispuesta por la Comisión Nacional de Territorios Indígenas - CNTI.
Para la vigencia 2021 se programó una meta del 30% de la implementación del Programa Marco de Operación del Sistema de Información Geográfica -SIG Indígena, por lo que a la fecha se lleva un avance acumulado del 10,30% de la meta programada, para esta vigencia.
</t>
  </si>
  <si>
    <t>Avance julio</t>
  </si>
  <si>
    <t>Durante el mes de julio, se generaron 301.352 hectáreas de productos cartográficos del área rural del municipio Arauquita (Arauca); y 292 hectáreas de productos cartográficos del área urbana de los municipios: Santa Rosalía (Vichada) y Sardinata (Norte de Santander). Así mismo, se generaron 75.675,55 hectáreas de ortoimágenes de los municipios: Moniquirá (Boyacá), Tenerife (Magdalena) y Santa Rosa de Lima (Bolívar), y se reportan 2.381.675,16 hectáreas de modelos digitales de elevación de los municipios de los departamentos: Amazonas y Guainía. Además, se validaron 223.247,42 hectáreas de ortoimágenes producidas por terceros, del Departamento de Cundinamarca. Por lo tanto, el cubrimiento total en cartografía para el mes de julio es de 2.982.242,13 hectáreas.</t>
  </si>
  <si>
    <t>Avance Cualitativo julio</t>
  </si>
  <si>
    <t>SEGUIMIENTO 2021 III TRIMESTRE</t>
  </si>
  <si>
    <t>Dirección de Gestión de Información Geográfica</t>
  </si>
  <si>
    <t>Dirección de Gestión Catastral</t>
  </si>
  <si>
    <t xml:space="preserve">Durante el mes de julio se adelantaron las siguientes actividades en los municipios que se describen a continuación,  en los cuales se viene implementando el proceso de gestión catastral durante la vigencia 2021:
Villavicencio:
*Identificación predial de 71.329 predios
Popayán: 
*Identificación predial de 51.051 predios 
Arauquita: 
*Identificación predial de 240 predios . Suspendido temporalmente por orden público.
8 municipios de Boyacá:
*Inicio operación en campo: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t>
  </si>
  <si>
    <t xml:space="preserve">Durante el mes de julio, se realizaron 4 caracterizaciones territoriales de los municipios de Puerto Leguizamo (Putumayo), Cartagena del Chaira, Puerto Rico y Solano (Caquetá) correspondiente a 6.980.030 hectáreas. </t>
  </si>
  <si>
    <t>Se realizaron mesas técnicas, se elaboraron y revisaron tanto los documentos como los insumos de 30 municipios de los departamentos de Caquetá, Cauca, Chocó, Córdoba, Nariño, Norte de Santander, Putumayo, Sucre, y Valle del Cauca, interesados en adelantar el proceso de gestión catastral a través de la formulación de proyectos tipo con cargo al presupuesto de regalías.
A finales del mes de julio se aprobaron 6.496 millones de pesos del presupuesto general de regalías OCAD PAZ para la realización de catastro de los municipios de San Pablo de Bolívar y Balboa - Cauca, a quienes se les prestó asesoría técnica desde el IGAC, la Consejería Presidencial para la Gestión y Cumplimiento y el DNP en el proceso de formulación de proyectos tipo con cargo al presupuesto de regalías.</t>
  </si>
  <si>
    <t xml:space="preserve">Se continua con el proceso de  levantamiento de información  para  completar las especificaciones funcionales del SINIC/RDM. Así mismo,  el IGAC se encuentra a la espera  de la entrega a satisfacción de los productos técnicos que componen la arquitectura detallada para el "El Repositorio de Datos Maestros" - RDM, los cuales deben ser entregados por parte del Departamento Nacional de Planeación (DNP), documentos que servirán junto con las especificaciones funcionales como insumo para la etapa de desarrollo del  SINIC/RDM.
</t>
  </si>
  <si>
    <t>Durante el mes de julio se habilitaron como gestores catastrales los municipios de  Valledupar-Cesar e Ibagué-Tolima por medio de la Resolución 486 del 1 de julio 2021 y la Resolución 494 del 2 de julio de 2021, respectivamente.
Al mes de julio de 2021 se logró la habilitación de 27 gestores catastrales, obteniendo un 135% de avance de la meta del cuatrienio, establecida en 20 gestores catastrales habilitados.</t>
  </si>
  <si>
    <t xml:space="preserve">En el mes de julio se realizó el monitoreo automático de 465 geoservicios los cuales se encuentran operando plenamente, este monitoreo se llevó a cabo a partir de este mes mediante un nuevo aplicativo desarrollado por el IGAC para la administración de geoservicios el cual remplaza la herramienta libre GeoHealthCheck debido a que esta cuenta con una capacidad limitada para dicho monitoreo. 
Así mismo, se realizó la gestión e incorporación de 37 nuevos geoservicios suministrados por diferentes entidades como el Departamento Administrativo Nacional de Estadística (DANE), el Instituto de Hidrología, Meteorología y Estudios Ambientales (IDEAM), la Autoridad Nacional de Licencias Ambientales (ANLA) y la Corporación Autónoma Regional del Valle del Cauca (CVC). 
También, se restableció la conexión de 10 geoservicios, esto para un total de 512 geoservicios, los cuales se encuentran plenamente operando. 
Para la vigencia 2021 se programó una meta de 472 geoservicios publicados y disponibles, se ha logrado generar 512 geoservicios publicados y disponibles teniendo un cumplimiento del 108,47% de lo inicialmente programado. 
Por otra parte, debido a las herramientas que se han desarrollado para agilizar el monitoreo de los geoservicios se logró ampliar la meta del cuatrienio 2018-2022 del Plan Nacional de Desarrollo de 250 geoservicios publicados y disponibles a 500 geoservicios publicados y disponibles en el Portal Geográfico Nacional – PGN, esta modificación aplica a partir de mes de junio de 2021.
</t>
  </si>
  <si>
    <t>Dirección de Tecnologías de la Información y Comunicaciones</t>
  </si>
  <si>
    <t>Dirección de Regulación y Habilitación</t>
  </si>
  <si>
    <t>Dirección de Investigación y Prospectiva</t>
  </si>
  <si>
    <t>Avance agosto</t>
  </si>
  <si>
    <t>Avance Cualitativo agosto</t>
  </si>
  <si>
    <t xml:space="preserve">Durante el mes de agosto, se generaron 234.987,96 hectáreas de productos cartográficos del área rural de los municipios de: Popayán (Cauca) y Chaparral (Tolima); y 1.472 hectáreas de productos cartográficos del área urbana del municipio de: Ricaurte (Cundinamarca). Así mismo, se generaron 145.877,17 hectáreas de ortoimágenes de los municipios: Sabanalarga, Santa Lucía, Usiacurí (Atlántico), Arjona, Santa Catalina (Bolívar), Gachantivá, Villa de Leyva y Santa Sofía (Boyacá); y se validaron 42.272 hectáreas del municipio: Fonseca (La Guajira). Por lo tanto, el cubrimiento total en cartografía para el mes de agosto es de 424.609,13 hectáreas. </t>
  </si>
  <si>
    <t>Durante el mes de agosto se adelantaron las siguientes actividades en los municipios que se describen a continuación,  en los cuales se viene implementando el proceso de gestión catastral durante la vigencia 2021: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t>
  </si>
  <si>
    <t xml:space="preserve">Durante el mes de agosto, se realizaron 2 caracterizaciones territoriales de los municipios de San José del Guaviare (Guaviare) y Mapiripán (Meta), correspondiente a 2.864.103 hectáreas. </t>
  </si>
  <si>
    <t>Se realizaron mesas técnicas, se elaboraron y revisaron tanto los documentos como los insumos entregados por los 20 municipios de los departamentos de Arauca, Cauca, Cesar, Chocó, Nariño, Norte de Santander, Valle del Cauca en los que se ajusta la estructuración de los proyectos tipo presentados. Se lograron 4 proyectos verificados y aprobados por DNP los cuáles están en espera de la aprobación de recursos del Sistema General de Regalías - OCAD PAZ (Orito-  Putumayo, Cantagallo, Morales y Simití - Bolívar)</t>
  </si>
  <si>
    <t xml:space="preserve">En el mes de agosto se realizó el monitoreo automático de 512 geoservicios los cuales se encuentran operando plenamente, este monitoreo se realizó mediante el aplicativo desarrollado para la administración de geoservicios.
Así mismo, se realizó la gestión e incorporación de 14 nuevos geoservicios suministrados por diferentes entidades como el Departamento Administrativo Nacional de Estadística (DANE) y  la Corporación Autónoma Regional del Valle del Cauca (CVC), esto para un total de 526 geoservicios, los cuales se encuentran plenamente operando.
Para la vigencia 2021 se programó una meta de 472 geoservicios publicados y disponibles, se ha logrado generar 526 geoservicios publicados y disponibles teniendo un cumplimiento del 111,44% de lo inicialmente programado.
</t>
  </si>
  <si>
    <t>En el mes de agosto se finalizó el desarrollo de la funcionalidad de registro de solicitudes de terrenos pretendidos por la Comisión Nacional de Territorios Indígenas - CNTI ante la Agencia Nacional de Tierras – ANT en el visor geográfico de la aplicación. 
Así mismo, se realizó la capacitación en administración (cargue de capas de información geográfica al sistema) y publicación de servicios web a funcionarios de la Comisión Nacional de Territorios Indígenas, de igual forma, se realizó la inscripción para el curso de Fundamentos IDE.
Por otra parte, se realizó soporte al Sistema de Información Geográfica -SIG Indígena validando los servicios de la Agencia Nacional de Tierras – ANT y del Ministerio del Interior para las herramientas de mapas temáticos e indicadores.
Para la vigencia 2021 se programó una meta del 30% de la implementación del Programa Marco de Operación del Sistema de Información Geográfica -SIG Indígena, por lo que a la fecha se lleva un avance acumulado del 22,00% de la meta programada.</t>
  </si>
  <si>
    <t>Se continua con el proceso de estructuración, selección y contratación de la fábrica  de software encargada de apoyar la etapa de desarrollo del  SINIC/RDM. De acuerdo con lo anterior,  se presentaron los Términos de Referencia (TDR) al  Banco Mundial,  con el objeto de realizar la revisión  y aprobación final de dichos documentos y de esta manera continuar con el proceso de contratación.
Se desarrolló la entrega oficial por parte del Departamento Nacional de Planeación - DNP al IGAC , de los productos técnicos (5 documentos), los cuales  componen la arquitectura de alto nivel para “El Repositorio de Datos Maestros” – RDM y el SINIC.
Se continua con el proceso de estructuración, selección y contratación de los consultores individuales tanto del BID como del Banco Mundial, los cuales desarrollarán actividades previas y/o complementarias a la llegada de la Fábrica de Software.
Se alcanzó la meta de 9 Épicas finalizadas y 8 Épicas en proceso de levantamiento de información para incluir nuevas funcionalidades y/o mejoras al Sistema Nacional Catastral y la definición de  las Épicas a alto nivel definidas por DNP para el RDM.</t>
  </si>
  <si>
    <t>Durante el mes de agosto se habilitó como gestor catastral a la Asociación de Municipios del Catatumbo, Provincia de Ocaña y Sur del Cesar-Asomunicipios.
Al mes de agosto de 2021 se logró la habilitación de 28 gestores catastrales, obteniendo un avance de 140% de la meta del cuatrenio, establecida en 20 gestores catastrales habilitados.</t>
  </si>
  <si>
    <t>Avance septiembre</t>
  </si>
  <si>
    <t>Avance Cualitativo septiembre</t>
  </si>
  <si>
    <t xml:space="preserve">Durante el mes de septiembre se avanzó en el cubrimiento de cartografía urbana y rural de los municipios de Paz de Río (Boyacá), Cubarral (Meta), Trinidad (Casanare), Colombia (Huila). Lo anterior, está en proceso de validación de control de calidad y alistamiento de los productos para su versión oficial. </t>
  </si>
  <si>
    <t>Durante el mes de septiembre se adelantaron las siguientes actividades en los municipios que se describen a continuación, en los cuales se viene implementando el proceso de gestión catastral durante la vigencia 2021: *Villavicencio: Identificación predial de 80.335 predios
*Popayán: Identificación predial de 81.923 predios 
*Arauquita: Se continúa con el proceso de identificación predial de 240 predios. Este proceso se reanudó el 27 de septiembre
*8 municipios de Boyacá: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t>
  </si>
  <si>
    <t>Durante el mes de septiembre, se realizaron 3 caracterizaciones territoriales de los municipios de Montecristo (Bolívar), Trinidad (Casanare) y San Juan de Arama (Meta), correspondientes a 621.808,9 hectáreas.</t>
  </si>
  <si>
    <t>Al mes de septiembre fueron aprobados por OCAD - Paz, cuatro (4) proyectos de inversión para la implementación del catastro con enfoque multipropósito en los municipios de Orito, Simití, Morales y Cantagallo; con una asignación presupuestal de aproximadamente 11.700 millones de pesos. Por su parte, el IGAC continua brindando asistencia técnica a dichos municipios en la culminación del proceso de formulación de los proyectos. Adicionalmente, se brindó asistencia técnica desde el IGAC, a 16 municipios adicionales, interesados en adelantar el proceso de gestión catastral a través de la formulación de proyectos tipo con cargo al presupuesto de regalías.</t>
  </si>
  <si>
    <t>Se finalizó la elaboración de los documentos del proceso de estructuración, selección y contratación de la fábrica de software encargada de apoyar la etapa de desarrollo del SINIC/RDM. De acuerdo con lo anterior, se presentaron los Términos de Referencia (TDR) al Banco Mundial, obteniendo la aprobación por parte del banco. De esta manera, se continua con al etapa precontractual. Se dio por terminado el proceso de estructuración de los términos de Referencia (TDR) para la selección y contratación de los consultores individuales, los cuales desarrollarán actividades previas y/o complementarias a la llegada de la Fábrica de Software. De acuerdo con lo anterior, se presentaron dichos términos al Banco Mundial, obteniendo de igual manera, la aprobación por parte del Banco en mención. Se continua con el proceso de levantamiento de información para incluir nuevas funcionalidades y/o mejoras al Sistema Nacional Catastral, como actividad preparatoria al inicio de la ejecución de los contratos de fabrica de software.</t>
  </si>
  <si>
    <t>Durante el mes de septiembre se habilitaron como Gestores Catastrales a los municipios de Sabanalarga-Atlántico, Girardot-Cundinamarca y Sahagún-Córdoba.
Al mes de septiembre de 2021 se logró la habilitación de 31 gestores catastrales, obteniendo un avance de 155% de la meta del cuatrenio, establecida en 20 gestores catastrales habilitados.</t>
  </si>
  <si>
    <t>En el mes de Septiembre  se realizó el monitoreo automático de 526 geoservicios los cuales se encuentran operando plenamente, este monitoreo se realizó mediante el aplicativo desarrollado para la administración de geoservicios.
Así mismo, se realizó la gestión e incorporación de 13 nuevos geoservicios suministrados por diferentes entidades como el Departamento Administrativo Nacional de Estadística (DANE), Infraestructura de Datos Espaciales para el Distrito Capital (IDECA), entre otros , esto para un total de 539 geoservicios, los cuales se encuentran plenamente operando.
Para la vigencia 2021 se programó una meta de 472 geoservicios publicados y disponibles, se ha logrado generar 539 geoservicios publicados y disponibles teniendo un cumplimiento del 114,2% de lo inicialmente programado.
Lo anterior significa que para el cuatrienio se logró a la fecha  un  avance del 108% de avance.</t>
  </si>
  <si>
    <t>En el mes de septiembre se avanza en la creación del formulario para  actualizar una solicitud en el módulo alfanumérico y en el desarrollo de la funcionalidad buscador de solicitudes en el visor geográfico del Sistema de Información SIG Indígenas.
Así mismo, se realizó el curso de Fundamentos IDE a los miembros definidos por la Comisión Nacional de Territorios Indígenas – CNTI a través de la plataforma Telecentro Regional.
Por otra parte, para este mes no se presentaron incidencias por la Comisión Nacional de Territorios Indígenas - CNTI sobre fallas en el Sistema de Información Geográfica.
Para la vigencia 2021 se programó una meta del 30% de la implementación del Programa Marco de Operación del Sistema de Información Geográfica -SIG Indígena, por lo que a la fecha se lleva un avance acumulado del 23,20% de la meta programada.
Para el cuatrienio se tiene programada una meta del 100% de la implementación del Programa Marco de Operación del Sistema de Información Geográfica -SIG Indígena, por lo que a la fecha se lleva un avance acumulado del 63,20% de la meta del cuatrienio programada.</t>
  </si>
  <si>
    <t>Ejecutado</t>
  </si>
  <si>
    <t>Programado</t>
  </si>
  <si>
    <t>METAS ANUALES</t>
  </si>
  <si>
    <t>META CUATRIENIO</t>
  </si>
  <si>
    <t>AVANCE CUALITATIVO A DICIEMBRE 2022</t>
  </si>
  <si>
    <t>% CUMPLIMIENTO META CUATRIENIO</t>
  </si>
  <si>
    <t>Con corte el mes de diciembre de 2022, se generaron 73.150,607,81 ha de hectáreas con productos de cartografía básica.</t>
  </si>
  <si>
    <t>OBSERVACIONES</t>
  </si>
  <si>
    <t>Indicador de periodicidad de reporte trimestral. Se incluye la línea base en las metas anuales y del cuatrienio, la cual corresponde al 1,9%
La meta para el cuatrienio 2018-2022 definida en el Plan Nacional de Desarrollo para este indicador, es del 60%. Es decir, el 61,90% menos la línea base 1,90%.</t>
  </si>
  <si>
    <t>42,39%*</t>
  </si>
  <si>
    <t>* Nota: El porcentaje de intervención catastral final oficial tendrá una variación por cuanto se está reportando por ahora solamente el dato de conservación dado que se encuentra en proceso de consolidación final de la información de la vigencia 2022 que corresponde tanto a la gestión desarrollada por el IGAC como gestor catastral por excepción como por los otros gestores catastrales habilitados. Dicha información será reportada en el mes febrero de 2023 cuando se obtenga el reporte de los gestores con corte al mes de diciembre de la vigencia 2022. A la fecha de corte del presente informe, el área actualizada por procesos de actualización catastral, por parte del IGAC, corresponde a 9,4% (información preliminar).</t>
  </si>
  <si>
    <t>Con corte al mes de diciembre de 2022 se llevó a cabo la actualización de 48.363.971 de hectáreas correspondientes al 42,39% del total del área geográfica del país.</t>
  </si>
  <si>
    <t xml:space="preserve">Indicador de periodicidad de reporte trimestral. </t>
  </si>
  <si>
    <t xml:space="preserve">Indicador de periodicidad de reporte trimestral. Se incluye la línea base en las metas anuales y del cuatrienio, la cual corresponde al 12,5%. 
La meta para el cuatrienio 2018-2022 definida en el Plan Nacional de Desarrollo para este indicador, es del 60%. Es decir, el 72,50% menos la línea base 12,50% </t>
  </si>
  <si>
    <t>26,99%**</t>
  </si>
  <si>
    <t>** Nota: La información reportada en el presente informe es preliminar, el porcentaje de intervención catastral final oficial de los municipios PDET tendrá una variación, por cuanto se está reportando por ahora solamente el dato de conservación, dado que se encuentra en proceso la consolidación final de la información de la vigencia 2022 que corresponde tanto a la gestión desarrollada por el IGAC como gestor catastral por excepción como por los otros gestores catastrales habilitados. Dicha información será reportada en el mes febrero cuando se obtenga el reporte de los gestores, con corte al mes de diciembre de la vigencia 2022.</t>
  </si>
  <si>
    <t>Con corte al mes de diciembre de 2022 se logró un avance acumulado del 26,99% del área total de los municipios PDET con catastro actualizado, que corresponde a 10.550.289 de hectáreas.</t>
  </si>
  <si>
    <t>Al cierre del periodo de gobierno 2018-2022, se habilitaron un total de 45 gestores catastrales, obteniendo un avance de 225 % de la meta del cuatrienio, establecida en 20 gestores catastrales habilitados. Durante la vigencia 2022, se habilitaron en total 10 gestores catastrales.</t>
  </si>
  <si>
    <t>Meta transformacional</t>
  </si>
  <si>
    <t>Indicador que hace parte de los compromisos con los grupos étnicos en el marco del Plan Nacional de Desarrollo</t>
  </si>
  <si>
    <t>Con corte el mes de diciembre de 2022 se logró un cubrimiento de 107.153.704,35 de hectáreas del territorio del país con caracterizaciones territoriales.</t>
  </si>
  <si>
    <t>Con relación a la herramienta transitoria para el reporte y entrega periódica de información catastral a nivel nacional, por parte de los gestores catastrales, se registró el cargue de la quinta (5) entrega contemplada en la resolución 315 del 2022.
Respecto a SINIC, se realizaron pruebas de usuario final de 12 historias de usuario.
En cuanto a los requerimientos que contemplan 6 procesos de negocio que cubre el sistema, para el primer producto mínimo viable (PMV1) se realizó el desarrollo de los requerimientos de administración de gestores catastrales, administración de periodos y grupos de reporte, recepción de información catastral y validaciones de estructura y temáticas de la información; dichos requerimientos se encuentran en pruebas de usuario final y técnica.   Para el segundo producto mínimo viable (PMV2) se encuentran en desarrollo los siguientes requerimientos: reporte de estado de entrega de información catastral y entrega de XTF a RDM, se planea que estos sean finalizados en el primer semestre del año 2023.
Para el año 2022 donde se contempló el desarrollo del (PMV1) Y (PMV2) como cumplimiento del 100% de la meta, se presenta un avance del 87,28%.</t>
  </si>
  <si>
    <t>Debido a las herramientas que se han desarrollado para agilizar el monitoreo de los geoservicios se logró ampliar la meta del cuatrienio 2018-2022 del Plan Nacional de Desarrollo, de 250 geoservicios publicados y disponibles a 500 geoservicios publicados y disponibles en el Portal Geográfico Nacional – PGN.</t>
  </si>
  <si>
    <t>En el mes de diciembre de 2022 se entregó la versión final del robot de captura de nuevos geoservicios para la ICDE, desplegado en producción. Este descubrió 3.372 nuevos geoservicios para un total de 5.132 dispuestos en el sitio web https://www.icde.gov.co/geoservicio.
Es de aclarar que de los 5.132 geoservicios dispuestos, 1.760 se encuentran operando plenamente.  
Durante el periodo de gobierno 2018-2022, se logró un avance del 352% frente la meta establecida para el cuatrienio, de 500 geoservicios, cerrando la vigencia 2022 con 1.760 geoservicios operando plenamente.</t>
  </si>
  <si>
    <t>Porcentaje de implementación del programa marco de operación del Sistema de Información Geográfico -SIG (SIG Indígena)</t>
  </si>
  <si>
    <t>Al mes de diciembre de 2022 se obtuvieron los siguientes avances:
Se realizó la implementación del sistema en la infraestructura de producción dispuesta por la CNTI (Comisión Nacional de Territorios Indígenas).
Se realizó soporte y se generó el código fuente final y archivos de despliegue del sistema:
 http://172.17.3.152:8080/VISORSIGINDIGENA/
• Participación en la sesión autónoma de la CNTI, en la cual se inició el proceso de sensibilización de la IDE (Infraestructura de Datos Espaciales) indígena.
Por otra parte, se brindó soporte y mantenimiento permanente a la plataforma tecnológica del sistema de información dando solución a las incidencias presentadas durante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</si>
</sst>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0.0%"/>
    <numFmt numFmtId="165" formatCode="_-* #,##0_-;\-* #,##0_-;_-* &quot;-&quot;??_-;_-@_-"/>
    <numFmt numFmtId="166" formatCode="_-* #,##0.0_-;\-* #,##0.0_-;_-* &quot;-&quot;??_-;_-@_-"/>
  </numFmts>
  <fonts count="27"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6"/>
      <color theme="1"/>
      <name val="Arial"/>
      <family val="2"/>
    </font>
    <font>
      <b/>
      <sz val="14"/>
      <color theme="1"/>
      <name val="Arial"/>
      <family val="2"/>
    </font>
    <font>
      <sz val="14"/>
      <color theme="1"/>
      <name val="Arial"/>
      <family val="2"/>
    </font>
    <font>
      <sz val="8"/>
      <name val="Calibri"/>
      <family val="2"/>
      <scheme val="minor"/>
    </font>
    <font>
      <sz val="16"/>
      <color theme="1"/>
      <name val="Arial"/>
      <family val="2"/>
    </font>
    <font>
      <sz val="11"/>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sz val="14"/>
      <name val="Arial"/>
      <family val="2"/>
    </font>
    <font>
      <b/>
      <sz val="48"/>
      <color theme="1"/>
      <name val="Arial"/>
      <family val="2"/>
    </font>
    <font>
      <b/>
      <sz val="16"/>
      <name val="Arial"/>
      <family val="2"/>
    </font>
    <font>
      <b/>
      <sz val="20"/>
      <color theme="1"/>
      <name val="Arial"/>
      <family val="2"/>
    </font>
    <font>
      <b/>
      <sz val="22"/>
      <color theme="1"/>
      <name val="Arial"/>
      <family val="2"/>
    </font>
    <font>
      <b/>
      <sz val="16"/>
      <color theme="0"/>
      <name val="Arial"/>
      <family val="2"/>
    </font>
    <font>
      <b/>
      <sz val="18"/>
      <color theme="1"/>
      <name val="Arial"/>
      <family val="2"/>
    </font>
    <font>
      <b/>
      <sz val="24"/>
      <color theme="1"/>
      <name val="Arial"/>
      <family val="2"/>
    </font>
    <font>
      <b/>
      <sz val="12"/>
      <color indexed="81"/>
      <name val="Tahoma"/>
      <family val="2"/>
    </font>
    <font>
      <sz val="12"/>
      <color indexed="81"/>
      <name val="Tahoma"/>
      <family val="2"/>
    </font>
    <font>
      <sz val="11"/>
      <color theme="1"/>
      <name val="Arial"/>
      <family val="2"/>
    </font>
    <font>
      <sz val="12"/>
      <color rgb="FFFF0000"/>
      <name val="Arial"/>
      <family val="2"/>
    </font>
    <font>
      <sz val="1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indexed="64"/>
      </right>
      <top style="medium">
        <color indexed="64"/>
      </top>
      <bottom/>
      <diagonal/>
    </border>
    <border>
      <left/>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287">
    <xf numFmtId="0" fontId="0" fillId="0" borderId="0" xfId="0"/>
    <xf numFmtId="0" fontId="2" fillId="0" borderId="0" xfId="0" applyFont="1"/>
    <xf numFmtId="0" fontId="6" fillId="3" borderId="1" xfId="0" applyFont="1" applyFill="1" applyBorder="1" applyAlignment="1">
      <alignment horizontal="center" vertical="center"/>
    </xf>
    <xf numFmtId="9" fontId="6" fillId="0" borderId="1" xfId="1" applyFont="1" applyFill="1" applyBorder="1" applyAlignment="1">
      <alignment horizontal="center" vertical="center"/>
    </xf>
    <xf numFmtId="9" fontId="6" fillId="3" borderId="1" xfId="0"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xf>
    <xf numFmtId="0" fontId="6" fillId="0" borderId="9" xfId="0" applyFont="1" applyBorder="1" applyAlignment="1">
      <alignment horizontal="justify" vertical="center" wrapText="1"/>
    </xf>
    <xf numFmtId="0" fontId="6" fillId="3" borderId="1" xfId="0" applyFont="1" applyFill="1" applyBorder="1" applyAlignment="1">
      <alignment horizontal="left" vertical="center" wrapText="1" readingOrder="1"/>
    </xf>
    <xf numFmtId="1" fontId="6" fillId="0" borderId="1" xfId="1" applyNumberFormat="1" applyFont="1" applyFill="1" applyBorder="1" applyAlignment="1">
      <alignment horizontal="center" vertical="center"/>
    </xf>
    <xf numFmtId="164" fontId="6" fillId="3" borderId="1" xfId="1" applyNumberFormat="1" applyFont="1" applyFill="1" applyBorder="1" applyAlignment="1">
      <alignment horizontal="center" vertical="center"/>
    </xf>
    <xf numFmtId="0" fontId="6" fillId="0" borderId="1" xfId="0" applyFont="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6" fillId="0" borderId="1" xfId="0" applyFont="1" applyBorder="1" applyAlignment="1">
      <alignment horizontal="center" vertical="center" wrapText="1"/>
    </xf>
    <xf numFmtId="0" fontId="6" fillId="0" borderId="9" xfId="0" applyFont="1" applyBorder="1" applyAlignment="1">
      <alignment vertical="center" wrapText="1"/>
    </xf>
    <xf numFmtId="0" fontId="6" fillId="0" borderId="3" xfId="0" applyFont="1" applyBorder="1" applyAlignment="1">
      <alignment vertical="center" wrapText="1"/>
    </xf>
    <xf numFmtId="1" fontId="6"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6" fillId="0" borderId="1" xfId="0" applyFont="1" applyBorder="1" applyAlignment="1">
      <alignment vertical="center" wrapText="1"/>
    </xf>
    <xf numFmtId="9" fontId="6" fillId="0" borderId="1" xfId="0" applyNumberFormat="1" applyFont="1" applyBorder="1" applyAlignment="1">
      <alignment horizontal="center" vertical="center"/>
    </xf>
    <xf numFmtId="9" fontId="6" fillId="3" borderId="14"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justify" vertical="center" wrapText="1"/>
    </xf>
    <xf numFmtId="9" fontId="6" fillId="0" borderId="9"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6"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Border="1" applyAlignment="1">
      <alignment vertical="center" wrapText="1"/>
    </xf>
    <xf numFmtId="0" fontId="2" fillId="3" borderId="17" xfId="0" applyFont="1" applyFill="1" applyBorder="1" applyAlignment="1">
      <alignment horizontal="justify" vertical="center" wrapText="1"/>
    </xf>
    <xf numFmtId="0" fontId="2" fillId="0" borderId="1" xfId="0" applyFont="1" applyBorder="1" applyAlignment="1">
      <alignment vertical="center" wrapText="1"/>
    </xf>
    <xf numFmtId="0" fontId="6" fillId="3" borderId="9" xfId="0" applyFont="1" applyFill="1" applyBorder="1" applyAlignment="1">
      <alignment horizontal="center" vertical="center"/>
    </xf>
    <xf numFmtId="9" fontId="6" fillId="0" borderId="9" xfId="1" applyFont="1" applyFill="1" applyBorder="1" applyAlignment="1">
      <alignment horizontal="center" vertical="center"/>
    </xf>
    <xf numFmtId="0" fontId="6" fillId="3" borderId="14" xfId="0" applyFont="1" applyFill="1" applyBorder="1" applyAlignment="1">
      <alignment horizontal="left" vertical="center" wrapText="1"/>
    </xf>
    <xf numFmtId="164" fontId="6" fillId="0" borderId="9" xfId="1" applyNumberFormat="1" applyFont="1" applyFill="1" applyBorder="1" applyAlignment="1">
      <alignment horizontal="center" vertical="center"/>
    </xf>
    <xf numFmtId="164" fontId="6" fillId="3" borderId="9" xfId="1" applyNumberFormat="1" applyFont="1" applyFill="1" applyBorder="1" applyAlignment="1">
      <alignment horizontal="center" vertical="center"/>
    </xf>
    <xf numFmtId="0" fontId="2" fillId="3" borderId="14"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3" borderId="1" xfId="0" applyFont="1" applyFill="1" applyBorder="1" applyAlignment="1">
      <alignment vertical="center" wrapText="1"/>
    </xf>
    <xf numFmtId="1" fontId="6"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9" fontId="2" fillId="0" borderId="0" xfId="1" applyFont="1" applyBorder="1"/>
    <xf numFmtId="164" fontId="8" fillId="3" borderId="14" xfId="0" applyNumberFormat="1" applyFont="1" applyFill="1" applyBorder="1" applyAlignment="1">
      <alignment horizontal="center" vertical="center"/>
    </xf>
    <xf numFmtId="9" fontId="8"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xf numFmtId="4" fontId="9" fillId="0" borderId="0" xfId="0" applyNumberFormat="1" applyFont="1"/>
    <xf numFmtId="0" fontId="2" fillId="0" borderId="1" xfId="0" applyFont="1" applyBorder="1" applyAlignment="1">
      <alignment horizontal="left" vertical="center" wrapText="1"/>
    </xf>
    <xf numFmtId="42" fontId="2" fillId="0" borderId="0" xfId="4" applyFont="1" applyBorder="1"/>
    <xf numFmtId="9" fontId="2" fillId="0" borderId="0" xfId="0" applyNumberFormat="1" applyFont="1"/>
    <xf numFmtId="0" fontId="2" fillId="0" borderId="1" xfId="0" applyFont="1" applyBorder="1" applyAlignment="1">
      <alignment horizontal="left" vertical="top" wrapText="1"/>
    </xf>
    <xf numFmtId="3" fontId="10" fillId="0" borderId="0" xfId="0" applyNumberFormat="1" applyFont="1"/>
    <xf numFmtId="10" fontId="2" fillId="0" borderId="0" xfId="1" applyNumberFormat="1" applyFont="1" applyFill="1"/>
    <xf numFmtId="9" fontId="2" fillId="3" borderId="1" xfId="0" applyNumberFormat="1" applyFont="1" applyFill="1" applyBorder="1" applyAlignment="1">
      <alignment horizontal="right" vertical="center" wrapText="1"/>
    </xf>
    <xf numFmtId="0" fontId="6" fillId="3" borderId="11" xfId="0" applyFont="1" applyFill="1" applyBorder="1" applyAlignment="1">
      <alignment horizontal="left" vertical="center" wrapText="1"/>
    </xf>
    <xf numFmtId="0" fontId="2" fillId="0" borderId="1" xfId="0" applyFont="1" applyBorder="1" applyAlignment="1">
      <alignment horizontal="justify" vertical="top" wrapText="1"/>
    </xf>
    <xf numFmtId="0" fontId="2" fillId="0" borderId="0" xfId="0" applyFont="1" applyAlignment="1">
      <alignment horizontal="center"/>
    </xf>
    <xf numFmtId="43" fontId="6" fillId="0" borderId="3" xfId="3" applyFont="1" applyFill="1" applyBorder="1" applyAlignment="1">
      <alignment horizontal="right" vertical="center"/>
    </xf>
    <xf numFmtId="43" fontId="6" fillId="0" borderId="2" xfId="3" applyFont="1" applyFill="1" applyBorder="1" applyAlignment="1">
      <alignment horizontal="right" vertical="center"/>
    </xf>
    <xf numFmtId="165" fontId="6" fillId="0" borderId="1" xfId="3" applyNumberFormat="1" applyFont="1" applyFill="1" applyBorder="1" applyAlignment="1">
      <alignment horizontal="right" vertical="center"/>
    </xf>
    <xf numFmtId="165" fontId="6" fillId="0" borderId="2" xfId="3" applyNumberFormat="1" applyFont="1" applyFill="1" applyBorder="1" applyAlignment="1">
      <alignment horizontal="right" vertical="center"/>
    </xf>
    <xf numFmtId="9" fontId="6" fillId="0" borderId="1" xfId="1" applyFont="1" applyFill="1" applyBorder="1" applyAlignment="1">
      <alignment horizontal="right" vertical="center"/>
    </xf>
    <xf numFmtId="0" fontId="6" fillId="0" borderId="1" xfId="0" applyFont="1" applyBorder="1" applyAlignment="1">
      <alignment horizontal="right" vertical="center"/>
    </xf>
    <xf numFmtId="9" fontId="6" fillId="0" borderId="1" xfId="0" applyNumberFormat="1" applyFont="1" applyBorder="1" applyAlignment="1">
      <alignment horizontal="right" vertical="center"/>
    </xf>
    <xf numFmtId="164" fontId="6" fillId="0" borderId="9" xfId="1" applyNumberFormat="1" applyFont="1" applyFill="1" applyBorder="1" applyAlignment="1">
      <alignment horizontal="right" vertical="center"/>
    </xf>
    <xf numFmtId="164" fontId="6" fillId="0" borderId="1" xfId="1" applyNumberFormat="1" applyFont="1" applyFill="1" applyBorder="1" applyAlignment="1">
      <alignment horizontal="right" vertical="center"/>
    </xf>
    <xf numFmtId="43" fontId="6" fillId="0" borderId="1" xfId="3" applyFont="1" applyFill="1" applyBorder="1" applyAlignment="1">
      <alignment horizontal="right" vertical="center"/>
    </xf>
    <xf numFmtId="1" fontId="6" fillId="0" borderId="1" xfId="0" applyNumberFormat="1" applyFont="1" applyBorder="1" applyAlignment="1">
      <alignment horizontal="right" vertical="center"/>
    </xf>
    <xf numFmtId="1" fontId="6" fillId="0" borderId="2" xfId="0" applyNumberFormat="1" applyFont="1" applyBorder="1" applyAlignment="1">
      <alignment horizontal="right" vertical="center"/>
    </xf>
    <xf numFmtId="0" fontId="6" fillId="0" borderId="2" xfId="0" applyFont="1" applyBorder="1" applyAlignment="1">
      <alignment horizontal="right" vertical="center"/>
    </xf>
    <xf numFmtId="165" fontId="6" fillId="0" borderId="9" xfId="3" applyNumberFormat="1" applyFont="1" applyFill="1" applyBorder="1" applyAlignment="1">
      <alignment horizontal="right" vertical="center"/>
    </xf>
    <xf numFmtId="0" fontId="2" fillId="3" borderId="1" xfId="0" applyFont="1" applyFill="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6" fillId="3" borderId="9" xfId="0" applyNumberFormat="1" applyFont="1" applyFill="1" applyBorder="1" applyAlignment="1">
      <alignment horizontal="center" vertical="center"/>
    </xf>
    <xf numFmtId="9" fontId="6" fillId="3" borderId="1" xfId="1" applyFont="1" applyFill="1" applyBorder="1" applyAlignment="1">
      <alignment horizontal="center" vertical="center"/>
    </xf>
    <xf numFmtId="9" fontId="6" fillId="3" borderId="1" xfId="0" applyNumberFormat="1" applyFont="1" applyFill="1" applyBorder="1" applyAlignment="1">
      <alignment horizontal="center" vertical="center"/>
    </xf>
    <xf numFmtId="9" fontId="6" fillId="3" borderId="2" xfId="0" applyNumberFormat="1" applyFont="1" applyFill="1" applyBorder="1" applyAlignment="1">
      <alignment horizontal="center" vertical="center"/>
    </xf>
    <xf numFmtId="10" fontId="6" fillId="3" borderId="1" xfId="0" applyNumberFormat="1" applyFont="1" applyFill="1" applyBorder="1" applyAlignment="1">
      <alignment horizontal="center" vertical="center"/>
    </xf>
    <xf numFmtId="10" fontId="6" fillId="3" borderId="9"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9" fontId="6" fillId="3" borderId="11" xfId="0" applyNumberFormat="1" applyFont="1" applyFill="1" applyBorder="1" applyAlignment="1">
      <alignment horizontal="center" vertical="center"/>
    </xf>
    <xf numFmtId="10" fontId="6" fillId="3" borderId="11" xfId="0" applyNumberFormat="1" applyFont="1" applyFill="1" applyBorder="1" applyAlignment="1">
      <alignment horizontal="center" vertical="center"/>
    </xf>
    <xf numFmtId="9" fontId="6" fillId="3" borderId="17" xfId="0" applyNumberFormat="1" applyFont="1" applyFill="1" applyBorder="1" applyAlignment="1">
      <alignment horizontal="center" vertical="center"/>
    </xf>
    <xf numFmtId="164" fontId="6" fillId="3" borderId="11" xfId="0" applyNumberFormat="1" applyFont="1" applyFill="1" applyBorder="1" applyAlignment="1">
      <alignment horizontal="center" vertical="center"/>
    </xf>
    <xf numFmtId="0" fontId="6" fillId="3" borderId="17" xfId="0" applyFont="1" applyFill="1" applyBorder="1" applyAlignment="1">
      <alignment horizontal="right" vertical="center" wrapText="1"/>
    </xf>
    <xf numFmtId="9" fontId="6" fillId="3" borderId="11" xfId="0" applyNumberFormat="1" applyFont="1" applyFill="1" applyBorder="1" applyAlignment="1">
      <alignment horizontal="right" vertical="center" wrapText="1"/>
    </xf>
    <xf numFmtId="0" fontId="6" fillId="0" borderId="1" xfId="0" applyFont="1" applyBorder="1" applyAlignment="1">
      <alignment horizontal="right" vertical="center" wrapText="1"/>
    </xf>
    <xf numFmtId="9" fontId="6" fillId="3" borderId="1" xfId="0" applyNumberFormat="1" applyFont="1" applyFill="1" applyBorder="1" applyAlignment="1">
      <alignment horizontal="right" vertical="center" wrapText="1"/>
    </xf>
    <xf numFmtId="0" fontId="6" fillId="3" borderId="1" xfId="0"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0" fontId="16" fillId="2" borderId="12"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6" borderId="19" xfId="0" applyFont="1" applyFill="1" applyBorder="1" applyAlignment="1">
      <alignment horizontal="center" vertical="center"/>
    </xf>
    <xf numFmtId="0" fontId="4" fillId="6" borderId="1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6" fillId="3" borderId="9" xfId="0" applyFont="1" applyFill="1" applyBorder="1" applyAlignment="1">
      <alignment horizontal="left" vertical="center" wrapText="1" readingOrder="1"/>
    </xf>
    <xf numFmtId="10" fontId="6" fillId="0" borderId="1" xfId="1" applyNumberFormat="1" applyFont="1" applyFill="1" applyBorder="1" applyAlignment="1">
      <alignment horizontal="center" vertical="center"/>
    </xf>
    <xf numFmtId="43" fontId="6" fillId="8" borderId="2" xfId="3" applyFont="1" applyFill="1" applyBorder="1" applyAlignment="1">
      <alignment horizontal="right" vertical="center"/>
    </xf>
    <xf numFmtId="164" fontId="6" fillId="0" borderId="3" xfId="1" applyNumberFormat="1" applyFont="1" applyFill="1" applyBorder="1" applyAlignment="1">
      <alignment horizontal="right" vertical="center"/>
    </xf>
    <xf numFmtId="164" fontId="6" fillId="0" borderId="2" xfId="1" applyNumberFormat="1" applyFont="1" applyFill="1" applyBorder="1" applyAlignment="1">
      <alignment horizontal="right" vertical="center"/>
    </xf>
    <xf numFmtId="43" fontId="6" fillId="0" borderId="1" xfId="3" applyFont="1" applyFill="1" applyBorder="1" applyAlignment="1">
      <alignment horizontal="center" vertical="center"/>
    </xf>
    <xf numFmtId="165" fontId="6" fillId="0" borderId="1" xfId="3" applyNumberFormat="1" applyFont="1" applyFill="1" applyBorder="1" applyAlignment="1">
      <alignment horizontal="center" vertical="center"/>
    </xf>
    <xf numFmtId="43" fontId="2" fillId="0" borderId="0" xfId="0" applyNumberFormat="1" applyFont="1"/>
    <xf numFmtId="0" fontId="2" fillId="0" borderId="0" xfId="0" applyFont="1" applyAlignment="1">
      <alignment horizontal="justify" vertical="top" wrapText="1"/>
    </xf>
    <xf numFmtId="164" fontId="6" fillId="0" borderId="2" xfId="1" applyNumberFormat="1" applyFont="1" applyFill="1" applyBorder="1" applyAlignment="1">
      <alignment horizontal="center" vertical="center"/>
    </xf>
    <xf numFmtId="164" fontId="17" fillId="3" borderId="1" xfId="0" applyNumberFormat="1" applyFont="1" applyFill="1" applyBorder="1" applyAlignment="1">
      <alignment horizontal="center" vertical="center" wrapText="1"/>
    </xf>
    <xf numFmtId="0" fontId="6" fillId="3" borderId="11" xfId="0" applyFont="1" applyFill="1" applyBorder="1" applyAlignment="1">
      <alignment horizontal="right" vertical="center" wrapText="1"/>
    </xf>
    <xf numFmtId="165" fontId="6" fillId="3" borderId="2" xfId="3"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165" fontId="6" fillId="0" borderId="1" xfId="3" applyNumberFormat="1" applyFont="1" applyFill="1" applyBorder="1" applyAlignment="1">
      <alignment horizontal="right" vertical="center" wrapText="1"/>
    </xf>
    <xf numFmtId="0" fontId="2" fillId="3" borderId="0" xfId="0" applyFont="1" applyFill="1"/>
    <xf numFmtId="9" fontId="17" fillId="3" borderId="1" xfId="1" applyFont="1" applyFill="1" applyBorder="1" applyAlignment="1">
      <alignment horizontal="center" vertical="center" wrapText="1"/>
    </xf>
    <xf numFmtId="10" fontId="6" fillId="0" borderId="1" xfId="1" applyNumberFormat="1" applyFont="1" applyFill="1" applyBorder="1" applyAlignment="1">
      <alignment horizontal="right" vertical="center"/>
    </xf>
    <xf numFmtId="10" fontId="17" fillId="3" borderId="1" xfId="0" applyNumberFormat="1" applyFont="1" applyFill="1" applyBorder="1" applyAlignment="1">
      <alignment horizontal="center" vertical="center" wrapText="1"/>
    </xf>
    <xf numFmtId="43" fontId="6" fillId="3" borderId="14" xfId="3" applyFont="1" applyFill="1" applyBorder="1" applyAlignment="1">
      <alignment horizontal="center" vertical="center" wrapText="1"/>
    </xf>
    <xf numFmtId="9" fontId="17" fillId="3" borderId="9" xfId="0" applyNumberFormat="1" applyFont="1" applyFill="1" applyBorder="1" applyAlignment="1">
      <alignment horizontal="center" vertical="center" wrapText="1"/>
    </xf>
    <xf numFmtId="9" fontId="2" fillId="0" borderId="0" xfId="1" applyFont="1" applyFill="1" applyBorder="1" applyAlignment="1">
      <alignment horizontal="justify" vertical="top" wrapText="1"/>
    </xf>
    <xf numFmtId="0" fontId="2" fillId="3" borderId="2" xfId="0" applyFont="1" applyFill="1" applyBorder="1" applyAlignment="1">
      <alignment horizontal="justify" vertical="top" wrapText="1"/>
    </xf>
    <xf numFmtId="164" fontId="17" fillId="3" borderId="2" xfId="0" applyNumberFormat="1" applyFont="1" applyFill="1" applyBorder="1" applyAlignment="1">
      <alignment horizontal="center" vertical="center" wrapText="1"/>
    </xf>
    <xf numFmtId="43" fontId="6" fillId="3" borderId="1" xfId="3" applyFont="1" applyFill="1" applyBorder="1" applyAlignment="1">
      <alignment horizontal="center" vertical="center" wrapText="1"/>
    </xf>
    <xf numFmtId="9" fontId="18" fillId="3" borderId="2" xfId="1" applyFont="1" applyFill="1" applyBorder="1" applyAlignment="1">
      <alignment horizontal="center" vertical="center" wrapText="1"/>
    </xf>
    <xf numFmtId="0" fontId="6" fillId="3" borderId="1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2" fillId="0" borderId="0" xfId="0" applyFont="1" applyAlignment="1">
      <alignment horizontal="justify" vertical="center" wrapText="1"/>
    </xf>
    <xf numFmtId="9" fontId="17" fillId="0" borderId="1" xfId="0" applyNumberFormat="1" applyFont="1" applyBorder="1" applyAlignment="1">
      <alignment horizontal="center" vertical="center" wrapText="1"/>
    </xf>
    <xf numFmtId="164" fontId="6" fillId="0" borderId="11" xfId="1" applyNumberFormat="1" applyFont="1" applyFill="1" applyBorder="1" applyAlignment="1">
      <alignment horizontal="right" vertical="center"/>
    </xf>
    <xf numFmtId="0" fontId="2" fillId="0" borderId="1" xfId="0" applyFont="1" applyBorder="1"/>
    <xf numFmtId="9" fontId="5" fillId="3" borderId="2" xfId="1" applyFont="1" applyFill="1" applyBorder="1" applyAlignment="1">
      <alignment horizontal="center" vertical="center"/>
    </xf>
    <xf numFmtId="164"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10" fontId="17" fillId="0" borderId="1" xfId="0" applyNumberFormat="1" applyFont="1" applyBorder="1" applyAlignment="1">
      <alignment horizontal="center" vertical="center" wrapText="1"/>
    </xf>
    <xf numFmtId="9" fontId="6" fillId="0" borderId="1" xfId="0" applyNumberFormat="1" applyFont="1" applyBorder="1" applyAlignment="1">
      <alignment horizontal="right" vertical="center" wrapText="1"/>
    </xf>
    <xf numFmtId="164" fontId="17" fillId="0" borderId="1" xfId="1" applyNumberFormat="1" applyFont="1" applyBorder="1" applyAlignment="1">
      <alignment horizontal="center" vertical="center" wrapText="1"/>
    </xf>
    <xf numFmtId="0" fontId="6" fillId="0" borderId="1" xfId="0" applyFont="1" applyBorder="1" applyAlignment="1">
      <alignment horizontal="left" vertical="center"/>
    </xf>
    <xf numFmtId="9" fontId="5" fillId="3" borderId="2" xfId="0" applyNumberFormat="1" applyFont="1" applyFill="1" applyBorder="1" applyAlignment="1">
      <alignment horizontal="center" vertical="center"/>
    </xf>
    <xf numFmtId="9" fontId="2" fillId="0" borderId="1" xfId="0" applyNumberFormat="1" applyFont="1" applyBorder="1" applyAlignment="1">
      <alignment horizontal="justify" vertical="center" wrapText="1"/>
    </xf>
    <xf numFmtId="0" fontId="6" fillId="3" borderId="1" xfId="0" applyFont="1" applyFill="1" applyBorder="1" applyAlignment="1">
      <alignment horizontal="justify" vertical="center" wrapText="1" readingOrder="1"/>
    </xf>
    <xf numFmtId="165" fontId="6" fillId="3" borderId="14" xfId="3" applyNumberFormat="1" applyFont="1" applyFill="1" applyBorder="1" applyAlignment="1">
      <alignment horizontal="center" vertical="center" wrapText="1"/>
    </xf>
    <xf numFmtId="43" fontId="6" fillId="0" borderId="9" xfId="3" applyFont="1" applyBorder="1" applyAlignment="1">
      <alignment vertical="center"/>
    </xf>
    <xf numFmtId="9" fontId="17" fillId="0" borderId="1" xfId="1" applyFont="1" applyBorder="1" applyAlignment="1">
      <alignment horizontal="center" vertical="center" wrapText="1"/>
    </xf>
    <xf numFmtId="164" fontId="6" fillId="3"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43" fontId="6" fillId="0" borderId="1" xfId="3" applyFont="1" applyFill="1" applyBorder="1" applyAlignment="1">
      <alignment horizontal="center" vertical="center" wrapText="1"/>
    </xf>
    <xf numFmtId="164" fontId="6" fillId="0" borderId="1" xfId="0" applyNumberFormat="1" applyFont="1" applyBorder="1" applyAlignment="1">
      <alignment horizontal="right" vertical="center" wrapText="1" indent="2"/>
    </xf>
    <xf numFmtId="10" fontId="6" fillId="0" borderId="1" xfId="0"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10" fontId="20" fillId="3" borderId="1" xfId="0" applyNumberFormat="1" applyFont="1" applyFill="1" applyBorder="1" applyAlignment="1">
      <alignment horizontal="center" vertical="center"/>
    </xf>
    <xf numFmtId="164" fontId="20" fillId="3" borderId="14" xfId="0" applyNumberFormat="1" applyFont="1" applyFill="1" applyBorder="1" applyAlignment="1">
      <alignment horizontal="center" vertical="center"/>
    </xf>
    <xf numFmtId="0" fontId="2" fillId="0" borderId="1" xfId="0" applyFont="1" applyBorder="1" applyAlignment="1">
      <alignment horizontal="center" vertical="center"/>
    </xf>
    <xf numFmtId="10" fontId="17" fillId="0" borderId="9" xfId="0" applyNumberFormat="1" applyFont="1" applyBorder="1" applyAlignment="1">
      <alignment horizontal="center" vertical="center" wrapText="1"/>
    </xf>
    <xf numFmtId="43" fontId="6" fillId="0" borderId="9" xfId="0" applyNumberFormat="1" applyFont="1" applyBorder="1" applyAlignment="1">
      <alignment horizontal="center" vertical="center" wrapText="1"/>
    </xf>
    <xf numFmtId="9" fontId="6" fillId="0" borderId="1" xfId="0" applyNumberFormat="1" applyFont="1" applyBorder="1" applyAlignment="1">
      <alignment horizontal="right" vertical="center" wrapText="1" indent="2"/>
    </xf>
    <xf numFmtId="0" fontId="6" fillId="0" borderId="3" xfId="0" applyFont="1" applyBorder="1" applyAlignment="1">
      <alignment horizontal="center" vertical="center" wrapText="1"/>
    </xf>
    <xf numFmtId="0" fontId="15" fillId="3" borderId="0" xfId="0" applyFont="1" applyFill="1" applyAlignment="1">
      <alignment horizontal="center" vertical="center" wrapText="1"/>
    </xf>
    <xf numFmtId="0" fontId="2" fillId="0" borderId="9" xfId="0" applyFont="1" applyBorder="1" applyAlignment="1">
      <alignment horizontal="center" vertical="center"/>
    </xf>
    <xf numFmtId="0" fontId="2" fillId="0" borderId="9" xfId="0" applyFont="1" applyBorder="1" applyAlignment="1">
      <alignment horizontal="justify" vertical="center" wrapText="1"/>
    </xf>
    <xf numFmtId="0" fontId="2" fillId="0" borderId="9" xfId="0" applyFont="1" applyBorder="1" applyAlignment="1">
      <alignment horizontal="justify" wrapText="1"/>
    </xf>
    <xf numFmtId="0" fontId="2" fillId="0" borderId="9" xfId="0" applyFont="1" applyBorder="1" applyAlignment="1">
      <alignment horizontal="justify" vertical="top" wrapText="1"/>
    </xf>
    <xf numFmtId="0" fontId="2" fillId="0" borderId="14" xfId="0" applyFont="1" applyBorder="1" applyAlignment="1">
      <alignment horizontal="justify" vertical="top" wrapText="1"/>
    </xf>
    <xf numFmtId="10" fontId="6" fillId="0" borderId="9" xfId="1" applyNumberFormat="1" applyFont="1" applyFill="1" applyBorder="1" applyAlignment="1">
      <alignment horizontal="right" vertical="center"/>
    </xf>
    <xf numFmtId="10" fontId="20" fillId="3" borderId="9" xfId="0" applyNumberFormat="1" applyFont="1" applyFill="1" applyBorder="1" applyAlignment="1">
      <alignment horizontal="center" vertical="center"/>
    </xf>
    <xf numFmtId="164" fontId="17" fillId="0" borderId="9" xfId="0" applyNumberFormat="1" applyFont="1" applyBorder="1" applyAlignment="1">
      <alignment horizontal="center" vertical="center" wrapText="1"/>
    </xf>
    <xf numFmtId="43" fontId="6" fillId="0" borderId="9" xfId="3"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9" borderId="19" xfId="0" applyFont="1" applyFill="1" applyBorder="1" applyAlignment="1">
      <alignment horizontal="center" vertical="center"/>
    </xf>
    <xf numFmtId="0" fontId="4" fillId="9" borderId="23"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4" borderId="19" xfId="0" applyFont="1" applyFill="1" applyBorder="1" applyAlignment="1">
      <alignment horizontal="center" vertical="center" wrapText="1"/>
    </xf>
    <xf numFmtId="9" fontId="20" fillId="3" borderId="1" xfId="0" applyNumberFormat="1" applyFont="1" applyFill="1" applyBorder="1" applyAlignment="1">
      <alignment horizontal="center" vertical="center"/>
    </xf>
    <xf numFmtId="9" fontId="17" fillId="0" borderId="1" xfId="1" applyFont="1" applyFill="1" applyBorder="1" applyAlignment="1">
      <alignment horizontal="center" vertical="center" wrapText="1"/>
    </xf>
    <xf numFmtId="0" fontId="6" fillId="0" borderId="1" xfId="0" applyFont="1" applyBorder="1" applyAlignment="1">
      <alignment horizontal="left" vertical="center" wrapText="1"/>
    </xf>
    <xf numFmtId="9" fontId="2" fillId="0" borderId="1" xfId="0" applyNumberFormat="1" applyFont="1" applyBorder="1" applyAlignment="1">
      <alignment horizontal="center" vertical="center"/>
    </xf>
    <xf numFmtId="4" fontId="6" fillId="0" borderId="30" xfId="0" applyNumberFormat="1" applyFont="1" applyBorder="1" applyAlignment="1">
      <alignment horizontal="right" vertical="center"/>
    </xf>
    <xf numFmtId="4" fontId="24" fillId="0" borderId="30" xfId="0" applyNumberFormat="1" applyFont="1" applyBorder="1" applyAlignment="1">
      <alignment horizontal="right" vertical="center"/>
    </xf>
    <xf numFmtId="164" fontId="17" fillId="0" borderId="27" xfId="1" applyNumberFormat="1" applyFont="1" applyBorder="1" applyAlignment="1">
      <alignment horizontal="center" vertical="center"/>
    </xf>
    <xf numFmtId="9" fontId="6" fillId="0" borderId="9" xfId="1" applyFont="1" applyBorder="1" applyAlignment="1">
      <alignment horizontal="center" vertical="center"/>
    </xf>
    <xf numFmtId="4" fontId="6" fillId="0" borderId="9" xfId="0" applyNumberFormat="1" applyFont="1" applyBorder="1" applyAlignment="1">
      <alignment horizontal="right" vertical="center"/>
    </xf>
    <xf numFmtId="0" fontId="6" fillId="3" borderId="9" xfId="0" applyFont="1" applyFill="1" applyBorder="1" applyAlignment="1">
      <alignment horizontal="justify" vertical="center" wrapText="1" readingOrder="1"/>
    </xf>
    <xf numFmtId="165" fontId="6" fillId="3" borderId="3" xfId="3" applyNumberFormat="1" applyFont="1" applyFill="1" applyBorder="1" applyAlignment="1">
      <alignment horizontal="center" vertical="center" wrapText="1"/>
    </xf>
    <xf numFmtId="43" fontId="6" fillId="3" borderId="2" xfId="3" applyFont="1" applyFill="1" applyBorder="1" applyAlignment="1">
      <alignment horizontal="center" vertical="center" wrapText="1"/>
    </xf>
    <xf numFmtId="4" fontId="6" fillId="0" borderId="1" xfId="0" applyNumberFormat="1" applyFont="1" applyBorder="1" applyAlignment="1">
      <alignment horizontal="right" vertical="center"/>
    </xf>
    <xf numFmtId="165" fontId="6" fillId="3" borderId="1" xfId="3" applyNumberFormat="1" applyFont="1" applyFill="1" applyBorder="1" applyAlignment="1">
      <alignment horizontal="center" vertical="center" wrapText="1"/>
    </xf>
    <xf numFmtId="4" fontId="6" fillId="0" borderId="26" xfId="0" applyNumberFormat="1" applyFont="1" applyBorder="1" applyAlignment="1">
      <alignment horizontal="right" vertical="center"/>
    </xf>
    <xf numFmtId="4" fontId="24" fillId="0" borderId="26" xfId="0" applyNumberFormat="1" applyFont="1" applyBorder="1" applyAlignment="1">
      <alignment horizontal="right" vertical="center"/>
    </xf>
    <xf numFmtId="164" fontId="17" fillId="0" borderId="1" xfId="1" applyNumberFormat="1" applyFont="1" applyBorder="1" applyAlignment="1">
      <alignment horizontal="center" vertical="center"/>
    </xf>
    <xf numFmtId="9" fontId="6" fillId="0" borderId="1" xfId="1" applyFont="1" applyBorder="1" applyAlignment="1">
      <alignment horizontal="center" vertical="center"/>
    </xf>
    <xf numFmtId="0" fontId="0" fillId="0" borderId="26" xfId="0" applyBorder="1" applyAlignment="1">
      <alignment horizontal="left" vertical="center" wrapText="1"/>
    </xf>
    <xf numFmtId="43" fontId="6" fillId="0" borderId="1" xfId="3" applyFont="1" applyBorder="1" applyAlignment="1">
      <alignment horizontal="left" vertical="center" wrapText="1"/>
    </xf>
    <xf numFmtId="9" fontId="2" fillId="0" borderId="1" xfId="0" applyNumberFormat="1" applyFont="1" applyBorder="1" applyAlignment="1">
      <alignment horizontal="right" vertical="center" wrapText="1"/>
    </xf>
    <xf numFmtId="0" fontId="6" fillId="0" borderId="14" xfId="0" applyFont="1" applyBorder="1" applyAlignment="1">
      <alignment horizontal="center" vertical="center" wrapText="1"/>
    </xf>
    <xf numFmtId="0" fontId="6" fillId="0" borderId="14" xfId="0" applyFont="1" applyBorder="1" applyAlignment="1">
      <alignment horizontal="right" vertical="center" wrapText="1"/>
    </xf>
    <xf numFmtId="0" fontId="2" fillId="3" borderId="1" xfId="0" applyFont="1" applyFill="1" applyBorder="1" applyAlignment="1">
      <alignment horizontal="justify" vertical="center" wrapText="1" readingOrder="1"/>
    </xf>
    <xf numFmtId="0" fontId="2" fillId="0" borderId="27" xfId="0" applyFont="1" applyBorder="1" applyAlignment="1">
      <alignment horizontal="left" vertical="center" wrapText="1"/>
    </xf>
    <xf numFmtId="9" fontId="6" fillId="0" borderId="1" xfId="1" applyFont="1" applyBorder="1" applyAlignment="1">
      <alignment horizontal="center" vertical="center" wrapText="1"/>
    </xf>
    <xf numFmtId="9" fontId="6" fillId="0" borderId="14" xfId="1" applyFont="1" applyBorder="1" applyAlignment="1">
      <alignment horizontal="center" vertical="center" wrapText="1"/>
    </xf>
    <xf numFmtId="0" fontId="19" fillId="4" borderId="8" xfId="0" applyFont="1" applyFill="1" applyBorder="1" applyAlignment="1">
      <alignment horizontal="center" vertical="center" wrapText="1"/>
    </xf>
    <xf numFmtId="10" fontId="2" fillId="0" borderId="1" xfId="0" applyNumberFormat="1" applyFont="1" applyBorder="1" applyAlignment="1">
      <alignment vertical="center"/>
    </xf>
    <xf numFmtId="43" fontId="6" fillId="0" borderId="9" xfId="0" applyNumberFormat="1" applyFont="1" applyBorder="1" applyAlignment="1">
      <alignment horizontal="center" vertical="center"/>
    </xf>
    <xf numFmtId="0" fontId="19" fillId="5" borderId="4" xfId="0" applyFont="1" applyFill="1" applyBorder="1" applyAlignment="1">
      <alignment horizontal="center" vertical="center" wrapText="1"/>
    </xf>
    <xf numFmtId="0" fontId="19" fillId="12" borderId="4" xfId="0" applyFont="1" applyFill="1" applyBorder="1" applyAlignment="1">
      <alignment horizontal="center" vertical="center" wrapText="1"/>
    </xf>
    <xf numFmtId="166" fontId="6" fillId="0" borderId="1" xfId="3"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16" fillId="2" borderId="10" xfId="0" applyFont="1" applyFill="1" applyBorder="1" applyAlignment="1">
      <alignment horizontal="center" vertical="center" wrapText="1"/>
    </xf>
    <xf numFmtId="0" fontId="25" fillId="0" borderId="0" xfId="0" applyFont="1"/>
    <xf numFmtId="0" fontId="26" fillId="0" borderId="9" xfId="0" applyFont="1" applyBorder="1" applyAlignment="1">
      <alignment horizontal="center" vertical="center"/>
    </xf>
    <xf numFmtId="0" fontId="14" fillId="0" borderId="9" xfId="0" applyFont="1" applyBorder="1" applyAlignment="1">
      <alignment vertical="center" wrapText="1"/>
    </xf>
    <xf numFmtId="0" fontId="14" fillId="3" borderId="1" xfId="0" applyFont="1" applyFill="1" applyBorder="1" applyAlignment="1">
      <alignment horizontal="justify" vertical="center" wrapText="1"/>
    </xf>
    <xf numFmtId="0" fontId="26" fillId="0" borderId="1" xfId="0" applyFont="1" applyBorder="1" applyAlignment="1">
      <alignment horizontal="center" vertical="center"/>
    </xf>
    <xf numFmtId="0" fontId="14" fillId="3" borderId="1" xfId="0" applyFont="1" applyFill="1" applyBorder="1" applyAlignment="1">
      <alignment horizontal="left" vertical="center" wrapText="1" readingOrder="1"/>
    </xf>
    <xf numFmtId="0" fontId="14" fillId="3" borderId="1" xfId="0" applyFont="1" applyFill="1" applyBorder="1" applyAlignment="1">
      <alignment horizontal="center" vertical="center"/>
    </xf>
    <xf numFmtId="164" fontId="14" fillId="0" borderId="1" xfId="1" applyNumberFormat="1" applyFont="1" applyFill="1" applyBorder="1" applyAlignment="1">
      <alignment horizontal="center" vertical="center"/>
    </xf>
    <xf numFmtId="9" fontId="14" fillId="0" borderId="1" xfId="1" applyFont="1" applyFill="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justify" vertical="center" wrapText="1"/>
    </xf>
    <xf numFmtId="10" fontId="14" fillId="0" borderId="1" xfId="1" applyNumberFormat="1" applyFont="1" applyFill="1" applyBorder="1" applyAlignment="1">
      <alignment horizontal="center" vertical="center"/>
    </xf>
    <xf numFmtId="0" fontId="14" fillId="0" borderId="1" xfId="0" applyFont="1" applyBorder="1" applyAlignment="1">
      <alignment horizontal="left" vertical="center" wrapText="1"/>
    </xf>
    <xf numFmtId="0" fontId="14" fillId="3"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vertical="center" wrapText="1"/>
    </xf>
    <xf numFmtId="0" fontId="14" fillId="3" borderId="1" xfId="0" applyFont="1" applyFill="1" applyBorder="1" applyAlignment="1">
      <alignment vertical="center" wrapText="1"/>
    </xf>
    <xf numFmtId="1" fontId="14" fillId="0" borderId="1" xfId="0" applyNumberFormat="1" applyFont="1" applyBorder="1" applyAlignment="1">
      <alignment horizontal="center" vertical="center" wrapText="1"/>
    </xf>
    <xf numFmtId="1" fontId="14" fillId="0" borderId="3" xfId="0" applyNumberFormat="1" applyFont="1" applyBorder="1" applyAlignment="1">
      <alignment horizontal="center" vertical="center" wrapText="1"/>
    </xf>
    <xf numFmtId="0" fontId="14" fillId="0" borderId="1" xfId="0" applyFont="1" applyBorder="1" applyAlignment="1">
      <alignment vertical="center" wrapText="1"/>
    </xf>
    <xf numFmtId="9" fontId="14" fillId="0" borderId="1" xfId="0" applyNumberFormat="1" applyFont="1" applyBorder="1" applyAlignment="1">
      <alignment horizontal="center" vertical="center"/>
    </xf>
    <xf numFmtId="0" fontId="16" fillId="2" borderId="21" xfId="0" applyFont="1" applyFill="1" applyBorder="1" applyAlignment="1">
      <alignment horizontal="center" vertical="center" wrapText="1"/>
    </xf>
    <xf numFmtId="0" fontId="16" fillId="2" borderId="33" xfId="0" applyFont="1" applyFill="1" applyBorder="1" applyAlignment="1">
      <alignment horizontal="center" vertical="center" wrapText="1"/>
    </xf>
    <xf numFmtId="10" fontId="14" fillId="0" borderId="9" xfId="1" applyNumberFormat="1" applyFont="1" applyFill="1" applyBorder="1" applyAlignment="1">
      <alignment horizontal="center" vertical="center"/>
    </xf>
    <xf numFmtId="10" fontId="14" fillId="0" borderId="1" xfId="0" applyNumberFormat="1" applyFont="1" applyBorder="1" applyAlignment="1">
      <alignment horizontal="center" vertical="center"/>
    </xf>
    <xf numFmtId="10" fontId="2" fillId="0" borderId="0" xfId="0" applyNumberFormat="1" applyFont="1"/>
    <xf numFmtId="0" fontId="2" fillId="0" borderId="1" xfId="0" applyFont="1" applyBorder="1" applyAlignment="1">
      <alignment wrapText="1"/>
    </xf>
    <xf numFmtId="0" fontId="14" fillId="0" borderId="1" xfId="0" applyFont="1" applyBorder="1" applyAlignment="1">
      <alignment horizontal="justify" vertical="center" wrapText="1"/>
    </xf>
    <xf numFmtId="9" fontId="14" fillId="0" borderId="1" xfId="1" applyFont="1" applyBorder="1" applyAlignment="1">
      <alignment horizontal="center" vertical="center" wrapText="1"/>
    </xf>
    <xf numFmtId="0" fontId="6" fillId="0" borderId="1" xfId="0" applyFont="1" applyBorder="1" applyAlignment="1">
      <alignment horizontal="justify"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2" fillId="0" borderId="0" xfId="0" applyFont="1"/>
    <xf numFmtId="0" fontId="16" fillId="2" borderId="4"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7" fillId="6"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29" xfId="0" applyFont="1" applyFill="1" applyBorder="1" applyAlignment="1">
      <alignment horizontal="center" vertical="center"/>
    </xf>
    <xf numFmtId="0" fontId="17" fillId="6" borderId="2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16" fillId="2" borderId="36" xfId="0" applyFont="1" applyFill="1" applyBorder="1" applyAlignment="1">
      <alignment horizontal="center" vertical="center" wrapText="1"/>
    </xf>
    <xf numFmtId="0" fontId="2" fillId="0" borderId="0" xfId="0" applyFont="1" applyAlignment="1">
      <alignment horizontal="justify"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15" xfId="0" applyFont="1" applyFill="1" applyBorder="1" applyAlignment="1">
      <alignment horizontal="center" vertical="center" wrapText="1"/>
    </xf>
    <xf numFmtId="9" fontId="14" fillId="0" borderId="1" xfId="1" applyNumberFormat="1" applyFont="1" applyFill="1" applyBorder="1" applyAlignment="1">
      <alignment horizontal="center" vertical="center"/>
    </xf>
    <xf numFmtId="0" fontId="6" fillId="0" borderId="1" xfId="0" applyFont="1" applyBorder="1" applyAlignment="1">
      <alignment vertical="center"/>
    </xf>
  </cellXfs>
  <cellStyles count="5">
    <cellStyle name="Millares" xfId="3" builtinId="3"/>
    <cellStyle name="Moneda [0]" xfId="4" builtinId="7"/>
    <cellStyle name="Normal" xfId="0" builtinId="0"/>
    <cellStyle name="Normal 7" xfId="2" xr:uid="{00000000-0005-0000-0000-000003000000}"/>
    <cellStyle name="Porcentaje" xfId="1" builtinId="5"/>
  </cellStyles>
  <dxfs count="210">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71</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188756018"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9DA70BEA-E6D9-4B6A-86F1-9430E17B2D8B}"/>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64</xdr:col>
      <xdr:colOff>227399</xdr:colOff>
      <xdr:row>1</xdr:row>
      <xdr:rowOff>1562018</xdr:rowOff>
    </xdr:to>
    <xdr:sp macro="" textlink="">
      <xdr:nvSpPr>
        <xdr:cNvPr id="5" name="Text Box 21">
          <a:extLst>
            <a:ext uri="{FF2B5EF4-FFF2-40B4-BE49-F238E27FC236}">
              <a16:creationId xmlns:a16="http://schemas.microsoft.com/office/drawing/2014/main" id="{38052C46-3E22-4DDA-8845-1CF223BFCF06}"/>
            </a:ext>
          </a:extLst>
        </xdr:cNvPr>
        <xdr:cNvSpPr txBox="1">
          <a:spLocks noChangeArrowheads="1"/>
        </xdr:cNvSpPr>
      </xdr:nvSpPr>
      <xdr:spPr bwMode="auto">
        <a:xfrm>
          <a:off x="1219200" y="2876550"/>
          <a:ext cx="2779274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0</xdr:colOff>
      <xdr:row>0</xdr:row>
      <xdr:rowOff>206375</xdr:rowOff>
    </xdr:from>
    <xdr:ext cx="1714500" cy="1943100"/>
    <xdr:pic>
      <xdr:nvPicPr>
        <xdr:cNvPr id="2" name="image1.png" title="Imagen">
          <a:extLst>
            <a:ext uri="{FF2B5EF4-FFF2-40B4-BE49-F238E27FC236}">
              <a16:creationId xmlns:a16="http://schemas.microsoft.com/office/drawing/2014/main" id="{DB7E4360-1A99-4086-B225-A41505DFE243}"/>
            </a:ext>
          </a:extLst>
        </xdr:cNvPr>
        <xdr:cNvPicPr preferRelativeResize="0"/>
      </xdr:nvPicPr>
      <xdr:blipFill>
        <a:blip xmlns:r="http://schemas.openxmlformats.org/officeDocument/2006/relationships" r:embed="rId1" cstate="print"/>
        <a:stretch>
          <a:fillRect/>
        </a:stretch>
      </xdr:blipFill>
      <xdr:spPr>
        <a:xfrm>
          <a:off x="30613350" y="206375"/>
          <a:ext cx="1714500" cy="1943100"/>
        </a:xfrm>
        <a:prstGeom prst="rect">
          <a:avLst/>
        </a:prstGeom>
        <a:noFill/>
      </xdr:spPr>
    </xdr:pic>
    <xdr:clientData fLocksWithSheet="0"/>
  </xdr:oneCellAnchor>
  <xdr:twoCellAnchor editAs="oneCell">
    <xdr:from>
      <xdr:col>2</xdr:col>
      <xdr:colOff>1912260</xdr:colOff>
      <xdr:row>1</xdr:row>
      <xdr:rowOff>599621</xdr:rowOff>
    </xdr:from>
    <xdr:to>
      <xdr:col>2</xdr:col>
      <xdr:colOff>3360060</xdr:colOff>
      <xdr:row>1</xdr:row>
      <xdr:rowOff>2383500</xdr:rowOff>
    </xdr:to>
    <xdr:pic>
      <xdr:nvPicPr>
        <xdr:cNvPr id="3" name="Imagen 2">
          <a:extLst>
            <a:ext uri="{FF2B5EF4-FFF2-40B4-BE49-F238E27FC236}">
              <a16:creationId xmlns:a16="http://schemas.microsoft.com/office/drawing/2014/main" id="{06A05C79-7F21-46D1-8B48-0A122C898002}"/>
            </a:ext>
          </a:extLst>
        </xdr:cNvPr>
        <xdr:cNvPicPr>
          <a:picLocks noChangeAspect="1"/>
        </xdr:cNvPicPr>
      </xdr:nvPicPr>
      <xdr:blipFill>
        <a:blip xmlns:r="http://schemas.openxmlformats.org/officeDocument/2006/relationships" r:embed="rId2"/>
        <a:stretch>
          <a:fillRect/>
        </a:stretch>
      </xdr:blipFill>
      <xdr:spPr>
        <a:xfrm>
          <a:off x="5586189" y="2867478"/>
          <a:ext cx="1447800" cy="1783879"/>
        </a:xfrm>
        <a:prstGeom prst="rect">
          <a:avLst/>
        </a:prstGeom>
      </xdr:spPr>
    </xdr:pic>
    <xdr:clientData/>
  </xdr:twoCellAnchor>
  <xdr:twoCellAnchor>
    <xdr:from>
      <xdr:col>1</xdr:col>
      <xdr:colOff>457200</xdr:colOff>
      <xdr:row>1</xdr:row>
      <xdr:rowOff>609600</xdr:rowOff>
    </xdr:from>
    <xdr:to>
      <xdr:col>18</xdr:col>
      <xdr:colOff>0</xdr:colOff>
      <xdr:row>1</xdr:row>
      <xdr:rowOff>1562018</xdr:rowOff>
    </xdr:to>
    <xdr:sp macro="" textlink="">
      <xdr:nvSpPr>
        <xdr:cNvPr id="4" name="Text Box 21">
          <a:extLst>
            <a:ext uri="{FF2B5EF4-FFF2-40B4-BE49-F238E27FC236}">
              <a16:creationId xmlns:a16="http://schemas.microsoft.com/office/drawing/2014/main" id="{6AD12D93-3A6E-449A-BA7D-756CF3B7C25B}"/>
            </a:ext>
          </a:extLst>
        </xdr:cNvPr>
        <xdr:cNvSpPr txBox="1">
          <a:spLocks noChangeArrowheads="1"/>
        </xdr:cNvSpPr>
      </xdr:nvSpPr>
      <xdr:spPr bwMode="auto">
        <a:xfrm>
          <a:off x="1219200" y="2876550"/>
          <a:ext cx="2777369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twoCellAnchor editAs="oneCell">
    <xdr:from>
      <xdr:col>0</xdr:col>
      <xdr:colOff>22679</xdr:colOff>
      <xdr:row>1</xdr:row>
      <xdr:rowOff>861786</xdr:rowOff>
    </xdr:from>
    <xdr:to>
      <xdr:col>2</xdr:col>
      <xdr:colOff>1870224</xdr:colOff>
      <xdr:row>1</xdr:row>
      <xdr:rowOff>2199822</xdr:rowOff>
    </xdr:to>
    <xdr:pic>
      <xdr:nvPicPr>
        <xdr:cNvPr id="5" name="Imagen 4" descr="Imagen que contiene Texto&#10;&#10;Descripción generada automáticamente">
          <a:extLst>
            <a:ext uri="{FF2B5EF4-FFF2-40B4-BE49-F238E27FC236}">
              <a16:creationId xmlns:a16="http://schemas.microsoft.com/office/drawing/2014/main" id="{4B73A823-714C-4C1E-A27C-7FD4732726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79" y="3129643"/>
          <a:ext cx="5521474" cy="1338036"/>
        </a:xfrm>
        <a:prstGeom prst="rect">
          <a:avLst/>
        </a:prstGeom>
      </xdr:spPr>
    </xdr:pic>
    <xdr:clientData/>
  </xdr:twoCellAnchor>
  <xdr:twoCellAnchor editAs="oneCell">
    <xdr:from>
      <xdr:col>0</xdr:col>
      <xdr:colOff>0</xdr:colOff>
      <xdr:row>1</xdr:row>
      <xdr:rowOff>2234636</xdr:rowOff>
    </xdr:from>
    <xdr:to>
      <xdr:col>3</xdr:col>
      <xdr:colOff>0</xdr:colOff>
      <xdr:row>1</xdr:row>
      <xdr:rowOff>2744107</xdr:rowOff>
    </xdr:to>
    <xdr:pic>
      <xdr:nvPicPr>
        <xdr:cNvPr id="6" name="Imagen 5">
          <a:extLst>
            <a:ext uri="{FF2B5EF4-FFF2-40B4-BE49-F238E27FC236}">
              <a16:creationId xmlns:a16="http://schemas.microsoft.com/office/drawing/2014/main" id="{F4C96589-74B4-4759-87C1-C362E5D83E5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flipV="1">
          <a:off x="0" y="4502493"/>
          <a:ext cx="7529286" cy="50947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5"/>
  <sheetViews>
    <sheetView showGridLines="0" topLeftCell="A2" zoomScale="50" zoomScaleNormal="50" workbookViewId="0">
      <pane xSplit="3" ySplit="3" topLeftCell="CZ11" activePane="bottomRight" state="frozen"/>
      <selection activeCell="A2" sqref="A2"/>
      <selection pane="topRight" activeCell="C2" sqref="C2"/>
      <selection pane="bottomLeft" activeCell="A4" sqref="A4"/>
      <selection pane="bottomRight" activeCell="DC11" sqref="DC11"/>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1" style="1" hidden="1" customWidth="1"/>
    <col min="17" max="19" width="25.5703125" style="1" hidden="1" customWidth="1"/>
    <col min="20" max="20" width="31.7109375" style="1" hidden="1" customWidth="1"/>
    <col min="21" max="21" width="72.7109375" style="1" hidden="1" customWidth="1"/>
    <col min="22" max="22" width="35.7109375" style="1" hidden="1" customWidth="1"/>
    <col min="23" max="25" width="20.5703125" style="59" hidden="1" customWidth="1"/>
    <col min="26" max="26" width="28.140625" style="59" hidden="1" customWidth="1"/>
    <col min="27" max="27" width="28" style="59" hidden="1" customWidth="1"/>
    <col min="28" max="28" width="32.7109375" style="59" hidden="1" customWidth="1"/>
    <col min="29" max="29" width="71" style="1" hidden="1" customWidth="1"/>
    <col min="30" max="31" width="32.7109375" style="1" hidden="1" customWidth="1"/>
    <col min="32" max="32" width="72.7109375" style="1" hidden="1" customWidth="1"/>
    <col min="33" max="33" width="34" style="1" hidden="1" customWidth="1"/>
    <col min="34" max="34" width="30.7109375" style="1" hidden="1" customWidth="1"/>
    <col min="35" max="35" width="102.42578125" style="1" hidden="1" customWidth="1"/>
    <col min="36" max="36" width="25.7109375" style="1" hidden="1" customWidth="1"/>
    <col min="37" max="37" width="27.42578125" style="1" hidden="1" customWidth="1"/>
    <col min="38" max="38" width="112" style="1" hidden="1" customWidth="1"/>
    <col min="39" max="39" width="34.85546875" style="1" hidden="1" customWidth="1"/>
    <col min="40" max="40" width="36.5703125" style="1" hidden="1" customWidth="1"/>
    <col min="41" max="41" width="87.5703125" style="1" hidden="1" customWidth="1"/>
    <col min="42" max="43" width="31.42578125" style="1" hidden="1" customWidth="1"/>
    <col min="44" max="44" width="134.28515625" style="1" hidden="1" customWidth="1"/>
    <col min="45" max="45" width="36.42578125" style="1" hidden="1" customWidth="1"/>
    <col min="46" max="46" width="28.28515625" style="1" hidden="1" customWidth="1"/>
    <col min="47" max="47" width="98.7109375" style="1" hidden="1" customWidth="1"/>
    <col min="48" max="48" width="40" style="1" hidden="1" customWidth="1"/>
    <col min="49" max="49" width="45.42578125" style="1" hidden="1" customWidth="1"/>
    <col min="50" max="50" width="98.7109375" style="1" hidden="1" customWidth="1"/>
    <col min="51" max="51" width="50" style="1" hidden="1" customWidth="1"/>
    <col min="52" max="52" width="38.140625" style="1" hidden="1" customWidth="1"/>
    <col min="53" max="53" width="98.7109375" style="1" hidden="1" customWidth="1"/>
    <col min="54" max="54" width="25" style="1" hidden="1" customWidth="1"/>
    <col min="55" max="55" width="34.7109375" style="1" hidden="1" customWidth="1"/>
    <col min="56" max="56" width="26.28515625" style="1" hidden="1" customWidth="1"/>
    <col min="57" max="57" width="26.140625" style="1" hidden="1" customWidth="1"/>
    <col min="58" max="58" width="24.7109375" style="1" hidden="1" customWidth="1"/>
    <col min="59" max="60" width="36.42578125" style="1" hidden="1" customWidth="1"/>
    <col min="61" max="61" width="81.42578125" style="1" hidden="1" customWidth="1"/>
    <col min="62" max="62" width="32.5703125" style="1" hidden="1" customWidth="1"/>
    <col min="63" max="63" width="23.140625" style="1" customWidth="1"/>
    <col min="64" max="64" width="28.85546875" style="1" hidden="1" customWidth="1"/>
    <col min="65" max="65" width="27.7109375" style="1" customWidth="1"/>
    <col min="66" max="66" width="28.28515625" style="1" hidden="1" customWidth="1"/>
    <col min="67" max="70" width="31.140625" style="1" hidden="1" customWidth="1"/>
    <col min="71" max="71" width="68.5703125" style="1" hidden="1" customWidth="1"/>
    <col min="72" max="77" width="36.5703125" style="1" hidden="1" customWidth="1"/>
    <col min="78" max="78" width="55.140625" style="1" hidden="1" customWidth="1"/>
    <col min="79" max="84" width="43.28515625" style="1" hidden="1" customWidth="1"/>
    <col min="85" max="85" width="90.85546875" style="1" hidden="1" customWidth="1"/>
    <col min="86" max="89" width="43.28515625" style="1" hidden="1" customWidth="1"/>
    <col min="90" max="91" width="27.85546875" style="1" customWidth="1"/>
    <col min="92" max="92" width="167.28515625" style="1" customWidth="1"/>
    <col min="93" max="95" width="27.85546875" style="1" customWidth="1"/>
    <col min="96" max="96" width="29.85546875" style="1" hidden="1" customWidth="1"/>
    <col min="97" max="97" width="30.5703125" style="1" customWidth="1"/>
    <col min="98" max="98" width="28" style="1" customWidth="1"/>
    <col min="99" max="99" width="126.42578125" style="1" customWidth="1"/>
    <col min="100" max="100" width="33.42578125" style="1" customWidth="1"/>
    <col min="101" max="101" width="37.7109375" style="1" customWidth="1"/>
    <col min="102" max="102" width="40.85546875" style="1" customWidth="1"/>
    <col min="103" max="103" width="30.85546875" style="1" hidden="1" customWidth="1"/>
    <col min="104" max="104" width="22.5703125" style="1" customWidth="1"/>
    <col min="105" max="105" width="22" style="1" customWidth="1"/>
    <col min="106" max="106" width="94.28515625" style="1" customWidth="1"/>
    <col min="107" max="107" width="30.28515625" style="1" customWidth="1"/>
    <col min="108" max="108" width="26.85546875" style="1" customWidth="1"/>
    <col min="109" max="109" width="25.140625" style="1" customWidth="1"/>
    <col min="110" max="110" width="37.42578125" style="1" hidden="1" customWidth="1"/>
    <col min="111" max="16384" width="11.42578125" style="1"/>
  </cols>
  <sheetData>
    <row r="1" spans="1:110" ht="178.5" customHeight="1" thickBot="1" x14ac:dyDescent="0.25">
      <c r="B1" s="254" t="s">
        <v>27</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109" t="s">
        <v>137</v>
      </c>
      <c r="CM1" s="109"/>
      <c r="CN1" s="109"/>
      <c r="CO1" s="109"/>
      <c r="CP1" s="109"/>
      <c r="CQ1" s="109"/>
      <c r="CR1" s="1" t="s">
        <v>138</v>
      </c>
    </row>
    <row r="2" spans="1:110" s="162" customFormat="1" ht="178.5" customHeight="1" thickBot="1" x14ac:dyDescent="0.3"/>
    <row r="3" spans="1:110" ht="44.25" customHeight="1" thickBot="1" x14ac:dyDescent="0.25">
      <c r="A3" s="247" t="s">
        <v>218</v>
      </c>
      <c r="B3" s="253" t="s">
        <v>0</v>
      </c>
      <c r="C3" s="251" t="s">
        <v>8</v>
      </c>
      <c r="D3" s="268" t="s">
        <v>1</v>
      </c>
      <c r="E3" s="268" t="s">
        <v>65</v>
      </c>
      <c r="F3" s="268" t="s">
        <v>166</v>
      </c>
      <c r="G3" s="250" t="s">
        <v>2</v>
      </c>
      <c r="H3" s="250"/>
      <c r="I3" s="250"/>
      <c r="J3" s="250"/>
      <c r="K3" s="259" t="s">
        <v>19</v>
      </c>
      <c r="L3" s="257" t="s">
        <v>44</v>
      </c>
      <c r="M3" s="259" t="s">
        <v>77</v>
      </c>
      <c r="N3" s="261" t="s">
        <v>182</v>
      </c>
      <c r="O3" s="261" t="s">
        <v>183</v>
      </c>
      <c r="P3" s="266" t="s">
        <v>136</v>
      </c>
      <c r="Q3" s="266"/>
      <c r="R3" s="267"/>
      <c r="S3" s="267"/>
      <c r="T3" s="266"/>
      <c r="U3" s="267"/>
      <c r="V3" s="266"/>
      <c r="W3" s="262" t="s">
        <v>109</v>
      </c>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2"/>
      <c r="BC3" s="263"/>
      <c r="BD3" s="264"/>
      <c r="BE3" s="264"/>
      <c r="BF3" s="265"/>
      <c r="BG3" s="262"/>
      <c r="BH3" s="262"/>
      <c r="BI3" s="265"/>
      <c r="BJ3" s="262"/>
      <c r="BK3" s="271" t="s">
        <v>223</v>
      </c>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3"/>
    </row>
    <row r="4" spans="1:110" ht="79.5" customHeight="1" thickBot="1" x14ac:dyDescent="0.25">
      <c r="A4" s="248"/>
      <c r="B4" s="253"/>
      <c r="C4" s="252"/>
      <c r="D4" s="270"/>
      <c r="E4" s="270"/>
      <c r="F4" s="269"/>
      <c r="G4" s="94">
        <v>2019</v>
      </c>
      <c r="H4" s="94">
        <v>2020</v>
      </c>
      <c r="I4" s="94">
        <v>2021</v>
      </c>
      <c r="J4" s="94">
        <v>2022</v>
      </c>
      <c r="K4" s="260"/>
      <c r="L4" s="258"/>
      <c r="M4" s="260"/>
      <c r="N4" s="258"/>
      <c r="O4" s="258"/>
      <c r="P4" s="95" t="s">
        <v>141</v>
      </c>
      <c r="Q4" s="96" t="s">
        <v>140</v>
      </c>
      <c r="R4" s="96" t="s">
        <v>132</v>
      </c>
      <c r="S4" s="96" t="s">
        <v>147</v>
      </c>
      <c r="T4" s="96" t="s">
        <v>164</v>
      </c>
      <c r="U4" s="96" t="s">
        <v>11</v>
      </c>
      <c r="V4" s="96" t="s">
        <v>165</v>
      </c>
      <c r="W4" s="98" t="s">
        <v>142</v>
      </c>
      <c r="X4" s="97" t="s">
        <v>133</v>
      </c>
      <c r="Y4" s="97" t="s">
        <v>134</v>
      </c>
      <c r="Z4" s="98" t="s">
        <v>66</v>
      </c>
      <c r="AA4" s="98" t="s">
        <v>31</v>
      </c>
      <c r="AB4" s="98" t="s">
        <v>10</v>
      </c>
      <c r="AC4" s="99" t="s">
        <v>32</v>
      </c>
      <c r="AD4" s="98" t="s">
        <v>33</v>
      </c>
      <c r="AE4" s="98" t="s">
        <v>34</v>
      </c>
      <c r="AF4" s="99" t="s">
        <v>35</v>
      </c>
      <c r="AG4" s="98" t="s">
        <v>51</v>
      </c>
      <c r="AH4" s="98" t="s">
        <v>52</v>
      </c>
      <c r="AI4" s="100" t="s">
        <v>53</v>
      </c>
      <c r="AJ4" s="101" t="s">
        <v>67</v>
      </c>
      <c r="AK4" s="98" t="s">
        <v>68</v>
      </c>
      <c r="AL4" s="98" t="s">
        <v>69</v>
      </c>
      <c r="AM4" s="101" t="s">
        <v>78</v>
      </c>
      <c r="AN4" s="98" t="s">
        <v>79</v>
      </c>
      <c r="AO4" s="98" t="s">
        <v>87</v>
      </c>
      <c r="AP4" s="98" t="s">
        <v>90</v>
      </c>
      <c r="AQ4" s="98" t="s">
        <v>89</v>
      </c>
      <c r="AR4" s="172" t="s">
        <v>88</v>
      </c>
      <c r="AS4" s="98" t="s">
        <v>98</v>
      </c>
      <c r="AT4" s="98" t="s">
        <v>99</v>
      </c>
      <c r="AU4" s="172" t="s">
        <v>100</v>
      </c>
      <c r="AV4" s="98" t="s">
        <v>110</v>
      </c>
      <c r="AW4" s="98" t="s">
        <v>111</v>
      </c>
      <c r="AX4" s="172" t="s">
        <v>112</v>
      </c>
      <c r="AY4" s="98" t="s">
        <v>123</v>
      </c>
      <c r="AZ4" s="98" t="s">
        <v>121</v>
      </c>
      <c r="BA4" s="172" t="s">
        <v>122</v>
      </c>
      <c r="BB4" s="172" t="s">
        <v>185</v>
      </c>
      <c r="BC4" s="172" t="s">
        <v>135</v>
      </c>
      <c r="BD4" s="173" t="s">
        <v>132</v>
      </c>
      <c r="BE4" s="173" t="s">
        <v>147</v>
      </c>
      <c r="BF4" s="173" t="s">
        <v>145</v>
      </c>
      <c r="BG4" s="98" t="s">
        <v>146</v>
      </c>
      <c r="BH4" s="98" t="s">
        <v>144</v>
      </c>
      <c r="BI4" s="173" t="s">
        <v>139</v>
      </c>
      <c r="BJ4" s="98" t="s">
        <v>143</v>
      </c>
      <c r="BK4" s="174" t="s">
        <v>154</v>
      </c>
      <c r="BL4" s="175" t="s">
        <v>155</v>
      </c>
      <c r="BM4" s="175" t="s">
        <v>160</v>
      </c>
      <c r="BN4" s="175" t="s">
        <v>161</v>
      </c>
      <c r="BO4" s="176" t="s">
        <v>156</v>
      </c>
      <c r="BP4" s="176" t="s">
        <v>158</v>
      </c>
      <c r="BQ4" s="177" t="s">
        <v>157</v>
      </c>
      <c r="BR4" s="177" t="s">
        <v>169</v>
      </c>
      <c r="BS4" s="177" t="s">
        <v>159</v>
      </c>
      <c r="BT4" s="177" t="s">
        <v>193</v>
      </c>
      <c r="BU4" s="177" t="s">
        <v>186</v>
      </c>
      <c r="BV4" s="177" t="s">
        <v>187</v>
      </c>
      <c r="BW4" s="177" t="s">
        <v>194</v>
      </c>
      <c r="BX4" s="178" t="s">
        <v>179</v>
      </c>
      <c r="BY4" s="178" t="s">
        <v>169</v>
      </c>
      <c r="BZ4" s="178" t="s">
        <v>180</v>
      </c>
      <c r="CA4" s="179" t="s">
        <v>205</v>
      </c>
      <c r="CB4" s="179" t="s">
        <v>188</v>
      </c>
      <c r="CC4" s="179" t="s">
        <v>189</v>
      </c>
      <c r="CD4" s="179" t="s">
        <v>194</v>
      </c>
      <c r="CE4" s="180" t="s">
        <v>206</v>
      </c>
      <c r="CF4" s="180" t="s">
        <v>169</v>
      </c>
      <c r="CG4" s="180" t="s">
        <v>207</v>
      </c>
      <c r="CH4" s="180" t="s">
        <v>193</v>
      </c>
      <c r="CI4" s="180" t="s">
        <v>186</v>
      </c>
      <c r="CJ4" s="180" t="s">
        <v>187</v>
      </c>
      <c r="CK4" s="180" t="s">
        <v>194</v>
      </c>
      <c r="CL4" s="181" t="s">
        <v>220</v>
      </c>
      <c r="CM4" s="181" t="s">
        <v>169</v>
      </c>
      <c r="CN4" s="181" t="s">
        <v>222</v>
      </c>
      <c r="CO4" s="209" t="s">
        <v>193</v>
      </c>
      <c r="CP4" s="209" t="s">
        <v>186</v>
      </c>
      <c r="CQ4" s="209" t="s">
        <v>187</v>
      </c>
      <c r="CR4" s="209" t="s">
        <v>194</v>
      </c>
      <c r="CS4" s="212" t="s">
        <v>235</v>
      </c>
      <c r="CT4" s="212" t="s">
        <v>169</v>
      </c>
      <c r="CU4" s="212" t="s">
        <v>236</v>
      </c>
      <c r="CV4" s="212" t="s">
        <v>193</v>
      </c>
      <c r="CW4" s="212" t="s">
        <v>186</v>
      </c>
      <c r="CX4" s="212" t="s">
        <v>187</v>
      </c>
      <c r="CY4" s="212" t="s">
        <v>194</v>
      </c>
      <c r="CZ4" s="213" t="s">
        <v>245</v>
      </c>
      <c r="DA4" s="213" t="s">
        <v>169</v>
      </c>
      <c r="DB4" s="213" t="s">
        <v>246</v>
      </c>
      <c r="DC4" s="213" t="s">
        <v>193</v>
      </c>
      <c r="DD4" s="213" t="s">
        <v>186</v>
      </c>
      <c r="DE4" s="213" t="s">
        <v>187</v>
      </c>
      <c r="DF4" s="213" t="s">
        <v>194</v>
      </c>
    </row>
    <row r="5" spans="1:110" ht="207.75" customHeight="1" x14ac:dyDescent="0.2">
      <c r="A5" s="163">
        <v>1</v>
      </c>
      <c r="B5" s="14" t="s">
        <v>18</v>
      </c>
      <c r="C5" s="102" t="s">
        <v>191</v>
      </c>
      <c r="D5" s="31" t="s">
        <v>3</v>
      </c>
      <c r="E5" s="22" t="s">
        <v>63</v>
      </c>
      <c r="F5" s="38" t="s">
        <v>162</v>
      </c>
      <c r="G5" s="32">
        <v>0.03</v>
      </c>
      <c r="H5" s="32">
        <v>0.23</v>
      </c>
      <c r="I5" s="32">
        <v>0.5</v>
      </c>
      <c r="J5" s="32">
        <v>0.6</v>
      </c>
      <c r="K5" s="33" t="s">
        <v>224</v>
      </c>
      <c r="L5" s="38" t="s">
        <v>45</v>
      </c>
      <c r="M5" s="20">
        <v>0.6</v>
      </c>
      <c r="N5" s="145">
        <v>68457962</v>
      </c>
      <c r="O5" s="145">
        <v>114174800</v>
      </c>
      <c r="P5" s="34">
        <v>0.03</v>
      </c>
      <c r="Q5" s="35">
        <v>0.03</v>
      </c>
      <c r="R5" s="121">
        <v>3820715.53</v>
      </c>
      <c r="S5" s="121">
        <v>3820715.53</v>
      </c>
      <c r="T5" s="77">
        <f t="shared" ref="T5:T10" si="0">Q5/P5</f>
        <v>1</v>
      </c>
      <c r="U5" s="75" t="s">
        <v>12</v>
      </c>
      <c r="V5" s="122">
        <f>Q5/M5</f>
        <v>0.05</v>
      </c>
      <c r="W5" s="67">
        <v>0.23</v>
      </c>
      <c r="X5" s="105"/>
      <c r="Y5" s="105"/>
      <c r="Z5" s="60">
        <v>20253667.789999999</v>
      </c>
      <c r="AA5" s="60">
        <v>0</v>
      </c>
      <c r="AB5" s="77">
        <f>AA5/20%</f>
        <v>0</v>
      </c>
      <c r="AC5" s="39" t="s">
        <v>20</v>
      </c>
      <c r="AD5" s="60">
        <v>34421</v>
      </c>
      <c r="AE5" s="82">
        <f>AD5/Z5</f>
        <v>1.6994946474334367E-3</v>
      </c>
      <c r="AF5" s="39" t="s">
        <v>40</v>
      </c>
      <c r="AG5" s="73">
        <v>101437</v>
      </c>
      <c r="AH5" s="83">
        <f>AG5/Z5</f>
        <v>5.0083274324309434E-3</v>
      </c>
      <c r="AI5" s="36" t="s">
        <v>54</v>
      </c>
      <c r="AJ5" s="73">
        <v>102037</v>
      </c>
      <c r="AK5" s="83">
        <f>AJ5/Z5</f>
        <v>5.0379516963529698E-3</v>
      </c>
      <c r="AL5" s="164" t="s">
        <v>70</v>
      </c>
      <c r="AM5" s="73">
        <v>1805376</v>
      </c>
      <c r="AN5" s="83">
        <f>AM5/Z5</f>
        <v>8.913822517081979E-2</v>
      </c>
      <c r="AO5" s="164" t="s">
        <v>82</v>
      </c>
      <c r="AP5" s="73">
        <v>4784680</v>
      </c>
      <c r="AQ5" s="83">
        <f>AP5/Z5</f>
        <v>0.23623770517073345</v>
      </c>
      <c r="AR5" s="165" t="s">
        <v>92</v>
      </c>
      <c r="AS5" s="186">
        <v>6037259.96</v>
      </c>
      <c r="AT5" s="83">
        <f>+AS5/Z5</f>
        <v>0.29808230403486835</v>
      </c>
      <c r="AU5" s="165" t="s">
        <v>103</v>
      </c>
      <c r="AV5" s="186">
        <v>7415231.2000000002</v>
      </c>
      <c r="AW5" s="83">
        <f>+AV5/Z5</f>
        <v>0.36611794351940441</v>
      </c>
      <c r="AX5" s="166" t="s">
        <v>117</v>
      </c>
      <c r="AY5" s="187">
        <v>7918051.8399999999</v>
      </c>
      <c r="AZ5" s="45">
        <f>+AY5/Z5</f>
        <v>0.39094409576074124</v>
      </c>
      <c r="BA5" s="167" t="s">
        <v>129</v>
      </c>
      <c r="BB5" s="168">
        <v>0.1176</v>
      </c>
      <c r="BC5" s="110"/>
      <c r="BD5" s="146">
        <v>26242218.77</v>
      </c>
      <c r="BE5" s="146">
        <v>13418129</v>
      </c>
      <c r="BF5" s="77">
        <f t="shared" ref="BF5:BF10" si="1">BB5/W5</f>
        <v>0.51130434782608691</v>
      </c>
      <c r="BG5" s="123"/>
      <c r="BH5" s="110"/>
      <c r="BI5" s="131" t="s">
        <v>167</v>
      </c>
      <c r="BJ5" s="188">
        <f t="shared" ref="BJ5:BJ10" si="2">BB5/M5</f>
        <v>0.19600000000000001</v>
      </c>
      <c r="BK5" s="189">
        <f>I5</f>
        <v>0.5</v>
      </c>
      <c r="BL5" s="190"/>
      <c r="BM5" s="190">
        <f>O5*50/100</f>
        <v>57087400</v>
      </c>
      <c r="BN5" s="190"/>
      <c r="BO5" s="190"/>
      <c r="BP5" s="166"/>
      <c r="BQ5" s="190">
        <v>77801</v>
      </c>
      <c r="BR5" s="169">
        <f>BQ5/BM5</f>
        <v>1.36284013635233E-3</v>
      </c>
      <c r="BS5" s="191" t="s">
        <v>170</v>
      </c>
      <c r="BT5" s="158">
        <f>BB5/M5</f>
        <v>0.19600000000000001</v>
      </c>
      <c r="BU5" s="190">
        <v>13495930.109999999</v>
      </c>
      <c r="BV5" s="158">
        <f>BU5/O5</f>
        <v>0.11820410554693329</v>
      </c>
      <c r="BW5" s="158">
        <f>+BU5/N5</f>
        <v>0.19714186218397795</v>
      </c>
      <c r="BX5" s="190">
        <v>31966</v>
      </c>
      <c r="BY5" s="169">
        <f>BX5/BM5</f>
        <v>5.5994842995126773E-4</v>
      </c>
      <c r="BZ5" s="191" t="s">
        <v>184</v>
      </c>
      <c r="CA5" s="158">
        <f>BB5/M5</f>
        <v>0.19600000000000001</v>
      </c>
      <c r="CB5" s="190">
        <f>+BU5+BX5</f>
        <v>13527896.109999999</v>
      </c>
      <c r="CC5" s="158">
        <f>CB5/O5</f>
        <v>0.11848407976190893</v>
      </c>
      <c r="CD5" s="158">
        <f>CB5/N5</f>
        <v>0.19760880567843955</v>
      </c>
      <c r="CE5" s="192">
        <v>57741.22</v>
      </c>
      <c r="CF5" s="169">
        <f t="shared" ref="CF5:CF10" si="3">CE5/BM5</f>
        <v>1.0114529651026321E-3</v>
      </c>
      <c r="CG5" s="191" t="s">
        <v>208</v>
      </c>
      <c r="CH5" s="170">
        <f>BB5/M5</f>
        <v>0.19600000000000001</v>
      </c>
      <c r="CI5" s="171">
        <f>+CE5+CB5</f>
        <v>13585637.33</v>
      </c>
      <c r="CJ5" s="158">
        <f>CI5/O5</f>
        <v>0.11898980624446025</v>
      </c>
      <c r="CK5" s="158">
        <f>CI5/N5</f>
        <v>0.19845226081956691</v>
      </c>
      <c r="CL5" s="171">
        <v>2982242.13</v>
      </c>
      <c r="CM5" s="155">
        <f>CL5/BM5</f>
        <v>5.2239936133017091E-2</v>
      </c>
      <c r="CN5" s="191" t="s">
        <v>221</v>
      </c>
      <c r="CO5" s="138">
        <f>BB5/M5</f>
        <v>0.19600000000000001</v>
      </c>
      <c r="CP5" s="151">
        <f>(23568379)+(CL5)</f>
        <v>26550621.129999999</v>
      </c>
      <c r="CQ5" s="138">
        <f>CP5/O5</f>
        <v>0.23254361846922436</v>
      </c>
      <c r="CR5" s="138">
        <f>CP5/N5</f>
        <v>0.38783832229770437</v>
      </c>
      <c r="CS5" s="171">
        <v>424609.13</v>
      </c>
      <c r="CT5" s="169">
        <f>CS5/BM5</f>
        <v>7.4378782358278713E-3</v>
      </c>
      <c r="CU5" s="191" t="s">
        <v>237</v>
      </c>
      <c r="CV5" s="158">
        <f>BB5/M5</f>
        <v>0.19600000000000001</v>
      </c>
      <c r="CW5" s="211">
        <f>CS5+CP5</f>
        <v>26975230.259999998</v>
      </c>
      <c r="CX5" s="158">
        <f>CW5/O5</f>
        <v>0.23626255758713829</v>
      </c>
      <c r="CY5" s="158">
        <f>CW5/N5</f>
        <v>0.3940408021495001</v>
      </c>
      <c r="CZ5" s="211">
        <v>0</v>
      </c>
      <c r="DA5" s="182">
        <f t="shared" ref="DA5:DA10" si="4">CZ5/BM5</f>
        <v>0</v>
      </c>
      <c r="DB5" s="191" t="s">
        <v>247</v>
      </c>
      <c r="DC5" s="158">
        <f>(16.66-1.9)/(61.9-1.9)</f>
        <v>0.246</v>
      </c>
      <c r="DD5" s="211">
        <f>+CZ5+CW5</f>
        <v>26975230.259999998</v>
      </c>
      <c r="DE5" s="158">
        <f>DD5/O5</f>
        <v>0.23626255758713829</v>
      </c>
      <c r="DF5" s="158">
        <f>DD5/N5</f>
        <v>0.3940408021495001</v>
      </c>
    </row>
    <row r="6" spans="1:110" ht="409.5" customHeight="1" x14ac:dyDescent="0.2">
      <c r="A6" s="157">
        <v>2</v>
      </c>
      <c r="B6" s="14" t="s">
        <v>18</v>
      </c>
      <c r="C6" s="7" t="s">
        <v>148</v>
      </c>
      <c r="D6" s="2" t="s">
        <v>3</v>
      </c>
      <c r="E6" s="22" t="s">
        <v>62</v>
      </c>
      <c r="F6" s="22" t="s">
        <v>162</v>
      </c>
      <c r="G6" s="5">
        <v>8.5000000000000006E-2</v>
      </c>
      <c r="H6" s="5">
        <v>0.20100000000000001</v>
      </c>
      <c r="I6" s="5">
        <v>0.35099999999999998</v>
      </c>
      <c r="J6" s="3">
        <v>0.6</v>
      </c>
      <c r="K6" s="57" t="s">
        <v>225</v>
      </c>
      <c r="L6" s="37" t="s">
        <v>46</v>
      </c>
      <c r="M6" s="20">
        <v>0.6</v>
      </c>
      <c r="N6" s="108">
        <v>68457962</v>
      </c>
      <c r="O6" s="145">
        <v>114174800</v>
      </c>
      <c r="P6" s="5">
        <f t="shared" ref="P6:P11" si="5">+G6</f>
        <v>8.5000000000000006E-2</v>
      </c>
      <c r="Q6" s="5">
        <v>2.3E-2</v>
      </c>
      <c r="R6" s="107">
        <v>5818927</v>
      </c>
      <c r="S6" s="107">
        <v>2564383.61</v>
      </c>
      <c r="T6" s="78">
        <f t="shared" si="0"/>
        <v>0.27058823529411763</v>
      </c>
      <c r="U6" s="76" t="s">
        <v>152</v>
      </c>
      <c r="V6" s="112">
        <f>Q6/M6</f>
        <v>3.8333333333333337E-2</v>
      </c>
      <c r="W6" s="68">
        <v>0.20100000000000001</v>
      </c>
      <c r="X6" s="106">
        <v>6.2E-2</v>
      </c>
      <c r="Y6" s="63">
        <v>3256070</v>
      </c>
      <c r="Z6" s="63">
        <v>13763388</v>
      </c>
      <c r="AA6" s="61">
        <v>0</v>
      </c>
      <c r="AB6" s="79">
        <f t="shared" ref="AB6:AB12" si="6">AA6/Z6</f>
        <v>0</v>
      </c>
      <c r="AC6" s="11" t="s">
        <v>21</v>
      </c>
      <c r="AD6" s="61">
        <v>0</v>
      </c>
      <c r="AE6" s="79">
        <f>AD6/Z6</f>
        <v>0</v>
      </c>
      <c r="AF6" s="11" t="s">
        <v>41</v>
      </c>
      <c r="AG6" s="63">
        <v>0</v>
      </c>
      <c r="AH6" s="84">
        <f t="shared" ref="AH6:AH12" si="7">AG6/Z6</f>
        <v>0</v>
      </c>
      <c r="AI6" s="36" t="s">
        <v>61</v>
      </c>
      <c r="AJ6" s="62">
        <v>0</v>
      </c>
      <c r="AK6" s="87">
        <f t="shared" ref="AK6:AK12" si="8">AJ6/Z6</f>
        <v>0</v>
      </c>
      <c r="AL6" s="43" t="s">
        <v>71</v>
      </c>
      <c r="AM6" s="62">
        <v>0</v>
      </c>
      <c r="AN6" s="87">
        <f>AM6/Z6</f>
        <v>0</v>
      </c>
      <c r="AO6" s="43" t="s">
        <v>81</v>
      </c>
      <c r="AP6" s="73">
        <v>0</v>
      </c>
      <c r="AQ6" s="83">
        <f>AP6/Z6</f>
        <v>0</v>
      </c>
      <c r="AR6" s="43" t="s">
        <v>94</v>
      </c>
      <c r="AS6" s="73">
        <v>0</v>
      </c>
      <c r="AT6" s="83">
        <v>0</v>
      </c>
      <c r="AU6" s="43" t="s">
        <v>105</v>
      </c>
      <c r="AV6" s="73">
        <v>0</v>
      </c>
      <c r="AW6" s="83">
        <v>0</v>
      </c>
      <c r="AX6" s="58" t="s">
        <v>119</v>
      </c>
      <c r="AY6" s="73">
        <v>0</v>
      </c>
      <c r="AZ6" s="45">
        <v>0</v>
      </c>
      <c r="BA6" s="58" t="s">
        <v>127</v>
      </c>
      <c r="BB6" s="111">
        <v>0.154</v>
      </c>
      <c r="BC6" s="114">
        <v>17560383</v>
      </c>
      <c r="BD6" s="63">
        <f>114000000*20.1/100</f>
        <v>22914000</v>
      </c>
      <c r="BE6" s="193">
        <v>17560382.690000001</v>
      </c>
      <c r="BF6" s="135">
        <f t="shared" si="1"/>
        <v>0.76616915422885568</v>
      </c>
      <c r="BG6" s="111">
        <f>W6-BB6</f>
        <v>4.7000000000000014E-2</v>
      </c>
      <c r="BH6" s="78">
        <f>M6-BB6</f>
        <v>0.44599999999999995</v>
      </c>
      <c r="BI6" s="124" t="s">
        <v>198</v>
      </c>
      <c r="BJ6" s="125">
        <f t="shared" si="2"/>
        <v>0.25666666666666665</v>
      </c>
      <c r="BK6" s="133">
        <v>0.35099999999999998</v>
      </c>
      <c r="BL6" s="134"/>
      <c r="BM6" s="114">
        <f>O6*BK6</f>
        <v>40075354.799999997</v>
      </c>
      <c r="BN6" s="114"/>
      <c r="BO6" s="106"/>
      <c r="BP6" s="106"/>
      <c r="BQ6" s="106">
        <v>0</v>
      </c>
      <c r="BR6" s="155">
        <v>0</v>
      </c>
      <c r="BS6" s="43" t="s">
        <v>177</v>
      </c>
      <c r="BT6" s="138">
        <f>BB6/M6</f>
        <v>0.25666666666666665</v>
      </c>
      <c r="BU6" s="114">
        <v>17560383</v>
      </c>
      <c r="BV6" s="115">
        <f>BU6/O6</f>
        <v>0.15380261668949716</v>
      </c>
      <c r="BW6" s="138">
        <f>BU6/N6</f>
        <v>0.25651337677858421</v>
      </c>
      <c r="BX6" s="194">
        <v>0</v>
      </c>
      <c r="BY6" s="155">
        <f>BX6/BM6</f>
        <v>0</v>
      </c>
      <c r="BZ6" s="144" t="s">
        <v>199</v>
      </c>
      <c r="CA6" s="115">
        <f>BB6/M7</f>
        <v>0.25666666666666665</v>
      </c>
      <c r="CB6" s="114">
        <v>17560383</v>
      </c>
      <c r="CC6" s="115">
        <f>BU6/O6</f>
        <v>0.15380261668949716</v>
      </c>
      <c r="CD6" s="138">
        <f>CB6/N6</f>
        <v>0.25651337677858421</v>
      </c>
      <c r="CE6" s="114">
        <v>0</v>
      </c>
      <c r="CF6" s="155">
        <f t="shared" si="3"/>
        <v>0</v>
      </c>
      <c r="CG6" s="144" t="s">
        <v>210</v>
      </c>
      <c r="CH6" s="138">
        <f>BB6/M6</f>
        <v>0.25666666666666665</v>
      </c>
      <c r="CI6" s="195">
        <v>17560383</v>
      </c>
      <c r="CJ6" s="115">
        <f>CI6/O6</f>
        <v>0.15380261668949716</v>
      </c>
      <c r="CK6" s="138">
        <f>CB6/N6</f>
        <v>0.25651337677858421</v>
      </c>
      <c r="CL6" s="195">
        <v>0</v>
      </c>
      <c r="CM6" s="155">
        <f t="shared" ref="CM6:CM12" si="9">CL6/BM6</f>
        <v>0</v>
      </c>
      <c r="CN6" s="144" t="s">
        <v>226</v>
      </c>
      <c r="CO6" s="138">
        <f>BB6/M6</f>
        <v>0.25666666666666665</v>
      </c>
      <c r="CP6" s="195">
        <v>17560383</v>
      </c>
      <c r="CQ6" s="138">
        <f>CI6/O6</f>
        <v>0.15380261668949716</v>
      </c>
      <c r="CR6" s="138">
        <f>CB6/N6</f>
        <v>0.25651337677858421</v>
      </c>
      <c r="CS6" s="195">
        <v>0</v>
      </c>
      <c r="CT6" s="155">
        <f>CS6/BM6</f>
        <v>0</v>
      </c>
      <c r="CU6" s="7" t="s">
        <v>238</v>
      </c>
      <c r="CV6" s="138">
        <f>CB6/N6</f>
        <v>0.25651337677858421</v>
      </c>
      <c r="CW6" s="195">
        <v>17560383</v>
      </c>
      <c r="CX6" s="138">
        <f>CI6/O6</f>
        <v>0.15380261668949716</v>
      </c>
      <c r="CY6" s="138">
        <f>CB6/N6</f>
        <v>0.25651337677858421</v>
      </c>
      <c r="CZ6" s="134">
        <v>0</v>
      </c>
      <c r="DA6" s="182">
        <f t="shared" si="4"/>
        <v>0</v>
      </c>
      <c r="DB6" s="191" t="s">
        <v>248</v>
      </c>
      <c r="DC6" s="158">
        <f>CB6/N6</f>
        <v>0.25651337677858421</v>
      </c>
      <c r="DD6" s="195">
        <v>17560383</v>
      </c>
      <c r="DE6" s="158">
        <f>CI6/O6</f>
        <v>0.15380261668949716</v>
      </c>
      <c r="DF6" s="158">
        <f>CB6/N6</f>
        <v>0.25651337677858421</v>
      </c>
    </row>
    <row r="7" spans="1:110" ht="231" customHeight="1" x14ac:dyDescent="0.2">
      <c r="A7" s="157">
        <v>3</v>
      </c>
      <c r="B7" s="14" t="s">
        <v>18</v>
      </c>
      <c r="C7" s="7" t="s">
        <v>192</v>
      </c>
      <c r="D7" s="10" t="s">
        <v>3</v>
      </c>
      <c r="E7" s="22" t="s">
        <v>63</v>
      </c>
      <c r="F7" s="22" t="s">
        <v>162</v>
      </c>
      <c r="G7" s="3">
        <v>0.23</v>
      </c>
      <c r="H7" s="3">
        <v>0.37</v>
      </c>
      <c r="I7" s="3">
        <v>0.49</v>
      </c>
      <c r="J7" s="3">
        <v>0.6</v>
      </c>
      <c r="K7" s="33" t="s">
        <v>224</v>
      </c>
      <c r="L7" s="22" t="s">
        <v>47</v>
      </c>
      <c r="M7" s="4">
        <v>0.6</v>
      </c>
      <c r="N7" s="145">
        <v>68457962</v>
      </c>
      <c r="O7" s="145">
        <v>114174800</v>
      </c>
      <c r="P7" s="5">
        <f t="shared" si="5"/>
        <v>0.23</v>
      </c>
      <c r="Q7" s="5">
        <v>0.23</v>
      </c>
      <c r="R7" s="107">
        <v>26242218.77</v>
      </c>
      <c r="S7" s="107">
        <v>11980143.35</v>
      </c>
      <c r="T7" s="79">
        <f t="shared" si="0"/>
        <v>1</v>
      </c>
      <c r="U7" s="11" t="s">
        <v>15</v>
      </c>
      <c r="V7" s="112">
        <f>Q7/M7</f>
        <v>0.38333333333333336</v>
      </c>
      <c r="W7" s="68">
        <v>0.37</v>
      </c>
      <c r="X7" s="68"/>
      <c r="Y7" s="68"/>
      <c r="Z7" s="69">
        <v>15973524.470000001</v>
      </c>
      <c r="AA7" s="69">
        <v>12368</v>
      </c>
      <c r="AB7" s="81">
        <f>AA7/Z7</f>
        <v>7.7428121910279952E-4</v>
      </c>
      <c r="AC7" s="11" t="s">
        <v>22</v>
      </c>
      <c r="AD7" s="63">
        <v>75374</v>
      </c>
      <c r="AE7" s="81">
        <f>AD7/Z7</f>
        <v>4.7186831022521351E-3</v>
      </c>
      <c r="AF7" s="11" t="s">
        <v>39</v>
      </c>
      <c r="AG7" s="62">
        <v>43006</v>
      </c>
      <c r="AH7" s="85">
        <f t="shared" si="7"/>
        <v>2.6923300540697766E-3</v>
      </c>
      <c r="AI7" s="27" t="s">
        <v>57</v>
      </c>
      <c r="AJ7" s="62">
        <v>168576</v>
      </c>
      <c r="AK7" s="87">
        <f t="shared" si="8"/>
        <v>1.0553463032945789E-2</v>
      </c>
      <c r="AL7" s="27" t="s">
        <v>72</v>
      </c>
      <c r="AM7" s="88">
        <v>7114924.2199999997</v>
      </c>
      <c r="AN7" s="87">
        <f>AM7/Z7</f>
        <v>0.44541980909489287</v>
      </c>
      <c r="AO7" s="43" t="s">
        <v>83</v>
      </c>
      <c r="AP7" s="73">
        <v>7362927</v>
      </c>
      <c r="AQ7" s="83">
        <f>AP7/Z7</f>
        <v>0.46094567381346363</v>
      </c>
      <c r="AR7" s="43" t="s">
        <v>93</v>
      </c>
      <c r="AS7" s="196">
        <v>7362927.5</v>
      </c>
      <c r="AT7" s="83">
        <f>+AS7/Z7</f>
        <v>0.46094570511525934</v>
      </c>
      <c r="AU7" s="43" t="s">
        <v>104</v>
      </c>
      <c r="AV7" s="196">
        <v>7906008.1799999997</v>
      </c>
      <c r="AW7" s="83">
        <f>+AV7/Z7</f>
        <v>0.49494450613252788</v>
      </c>
      <c r="AX7" s="53" t="s">
        <v>118</v>
      </c>
      <c r="AY7" s="197">
        <v>8784660.1699999999</v>
      </c>
      <c r="AZ7" s="45">
        <f>+AY7/Z7</f>
        <v>0.54995127634471264</v>
      </c>
      <c r="BA7" s="53" t="s">
        <v>130</v>
      </c>
      <c r="BB7" s="68">
        <v>0.14230000000000001</v>
      </c>
      <c r="BC7" s="53"/>
      <c r="BD7" s="126">
        <v>42215743.240000002</v>
      </c>
      <c r="BE7" s="126">
        <v>16231703.439999999</v>
      </c>
      <c r="BF7" s="79">
        <f t="shared" si="1"/>
        <v>0.38459459459459461</v>
      </c>
      <c r="BG7" s="53"/>
      <c r="BH7" s="53"/>
      <c r="BI7" s="43" t="s">
        <v>168</v>
      </c>
      <c r="BJ7" s="198">
        <f t="shared" si="2"/>
        <v>0.23716666666666669</v>
      </c>
      <c r="BK7" s="199">
        <v>0.49</v>
      </c>
      <c r="BL7" s="134"/>
      <c r="BM7" s="194">
        <f>O7*49/100</f>
        <v>55945652</v>
      </c>
      <c r="BN7" s="194"/>
      <c r="BO7" s="106"/>
      <c r="BP7" s="58"/>
      <c r="BQ7" s="194">
        <v>128375.7452</v>
      </c>
      <c r="BR7" s="155">
        <f>BQ7/BM7</f>
        <v>2.2946509802048605E-3</v>
      </c>
      <c r="BS7" s="144" t="s">
        <v>171</v>
      </c>
      <c r="BT7" s="138">
        <f>BB7/M7</f>
        <v>0.23716666666666669</v>
      </c>
      <c r="BU7" s="194">
        <v>16360079.189999999</v>
      </c>
      <c r="BV7" s="138">
        <f>BU7/O7</f>
        <v>0.14328975562032953</v>
      </c>
      <c r="BW7" s="138">
        <f>+BU7/N7</f>
        <v>0.23897993326181693</v>
      </c>
      <c r="BX7" s="194">
        <v>48037</v>
      </c>
      <c r="BY7" s="155">
        <f>BX7/BM7</f>
        <v>8.5863687851917426E-4</v>
      </c>
      <c r="BZ7" s="144" t="s">
        <v>181</v>
      </c>
      <c r="CA7" s="138">
        <f>BB7/M7</f>
        <v>0.23716666666666669</v>
      </c>
      <c r="CB7" s="195">
        <f>BU7+BX7</f>
        <v>16408116.189999999</v>
      </c>
      <c r="CC7" s="138">
        <f>CB7/O7</f>
        <v>0.14371048769080391</v>
      </c>
      <c r="CD7" s="138">
        <f>CB7/N7</f>
        <v>0.23968163396392081</v>
      </c>
      <c r="CE7" s="195">
        <v>287686.40000000002</v>
      </c>
      <c r="CF7" s="155">
        <f t="shared" si="3"/>
        <v>5.1422476942444076E-3</v>
      </c>
      <c r="CG7" s="191" t="s">
        <v>209</v>
      </c>
      <c r="CH7" s="158">
        <f>BB7/M7</f>
        <v>0.23716666666666669</v>
      </c>
      <c r="CI7" s="159">
        <f>+CE7+CB7</f>
        <v>16695802.59</v>
      </c>
      <c r="CJ7" s="158">
        <f>CI7/O7</f>
        <v>0.14623018906098367</v>
      </c>
      <c r="CK7" s="158">
        <f>CI7/N7</f>
        <v>0.24388401439703974</v>
      </c>
      <c r="CL7" s="151">
        <v>6980030</v>
      </c>
      <c r="CM7" s="155">
        <f t="shared" si="9"/>
        <v>0.12476447678185965</v>
      </c>
      <c r="CN7" s="144" t="s">
        <v>227</v>
      </c>
      <c r="CO7" s="138">
        <f>BB7/M7</f>
        <v>0.23716666666666669</v>
      </c>
      <c r="CP7" s="151">
        <v>26485263.82</v>
      </c>
      <c r="CQ7" s="138">
        <f>CP7/O7</f>
        <v>0.23197118646146084</v>
      </c>
      <c r="CR7" s="138">
        <f>CP7/N7</f>
        <v>0.38688361508629193</v>
      </c>
      <c r="CS7" s="151">
        <v>2864103</v>
      </c>
      <c r="CT7" s="155">
        <f>CS7/BM7</f>
        <v>5.1194380574919388E-2</v>
      </c>
      <c r="CU7" s="7" t="s">
        <v>239</v>
      </c>
      <c r="CV7" s="138">
        <f>BB7/M7</f>
        <v>0.23716666666666669</v>
      </c>
      <c r="CW7" s="151">
        <f>CS7+CP7</f>
        <v>29349366.82</v>
      </c>
      <c r="CX7" s="115">
        <f>CP7/O7</f>
        <v>0.23197118646146084</v>
      </c>
      <c r="CY7" s="138">
        <f>CW7/N7</f>
        <v>0.42872101305031546</v>
      </c>
      <c r="CZ7" s="214">
        <v>621808.9</v>
      </c>
      <c r="DA7" s="155">
        <f t="shared" si="4"/>
        <v>1.1114516995887367E-2</v>
      </c>
      <c r="DB7" s="7" t="s">
        <v>249</v>
      </c>
      <c r="DC7" s="138">
        <f>(49.73-12.5)/(72.5-12.5)</f>
        <v>0.62049999999999994</v>
      </c>
      <c r="DD7" s="151">
        <f>+CZ7+CW7</f>
        <v>29971175.719999999</v>
      </c>
      <c r="DE7" s="138">
        <f>DD7/O7</f>
        <v>0.26250254627115616</v>
      </c>
      <c r="DF7" s="138">
        <f>DD7/N7</f>
        <v>0.43780408946442195</v>
      </c>
    </row>
    <row r="8" spans="1:110" ht="243" customHeight="1" x14ac:dyDescent="0.2">
      <c r="A8" s="157">
        <v>4</v>
      </c>
      <c r="B8" s="6" t="s">
        <v>17</v>
      </c>
      <c r="C8" s="7" t="s">
        <v>190</v>
      </c>
      <c r="D8" s="2" t="s">
        <v>3</v>
      </c>
      <c r="E8" s="22" t="s">
        <v>195</v>
      </c>
      <c r="F8" s="22" t="s">
        <v>162</v>
      </c>
      <c r="G8" s="103">
        <v>3.0999999999999999E-3</v>
      </c>
      <c r="H8" s="5">
        <v>0.19900000000000001</v>
      </c>
      <c r="I8" s="5">
        <v>0.20300000000000001</v>
      </c>
      <c r="J8" s="5">
        <v>0.59399999999999997</v>
      </c>
      <c r="K8" s="57" t="s">
        <v>225</v>
      </c>
      <c r="L8" s="22" t="s">
        <v>46</v>
      </c>
      <c r="M8" s="4">
        <v>1</v>
      </c>
      <c r="N8" s="108">
        <v>39084775.049999997</v>
      </c>
      <c r="O8" s="108">
        <v>39084775.049999997</v>
      </c>
      <c r="P8" s="5">
        <f t="shared" si="5"/>
        <v>3.0999999999999999E-3</v>
      </c>
      <c r="Q8" s="9">
        <v>3.0999999999999999E-3</v>
      </c>
      <c r="R8" s="107">
        <v>121595.52</v>
      </c>
      <c r="S8" s="107">
        <v>121595.52</v>
      </c>
      <c r="T8" s="79">
        <f t="shared" si="0"/>
        <v>1</v>
      </c>
      <c r="U8" s="12" t="s">
        <v>153</v>
      </c>
      <c r="V8" s="115">
        <f>Q8/M8</f>
        <v>3.0999999999999999E-3</v>
      </c>
      <c r="W8" s="119">
        <v>0.19969999999999999</v>
      </c>
      <c r="X8" s="106"/>
      <c r="Y8" s="106"/>
      <c r="Z8" s="104">
        <v>999718</v>
      </c>
      <c r="AA8" s="63">
        <v>0</v>
      </c>
      <c r="AB8" s="79">
        <f t="shared" si="6"/>
        <v>0</v>
      </c>
      <c r="AC8" s="11" t="s">
        <v>23</v>
      </c>
      <c r="AD8" s="63">
        <v>0</v>
      </c>
      <c r="AE8" s="79">
        <f>AD8/Z8</f>
        <v>0</v>
      </c>
      <c r="AF8" s="11" t="s">
        <v>42</v>
      </c>
      <c r="AG8" s="63">
        <v>0</v>
      </c>
      <c r="AH8" s="84">
        <f t="shared" si="7"/>
        <v>0</v>
      </c>
      <c r="AI8" s="27" t="s">
        <v>60</v>
      </c>
      <c r="AJ8" s="62">
        <v>0</v>
      </c>
      <c r="AK8" s="87">
        <f>AJ8/Z8</f>
        <v>0</v>
      </c>
      <c r="AL8" s="27" t="s">
        <v>60</v>
      </c>
      <c r="AM8" s="62">
        <v>0</v>
      </c>
      <c r="AN8" s="87">
        <f>+AM8/Z8</f>
        <v>0</v>
      </c>
      <c r="AO8" s="11" t="s">
        <v>60</v>
      </c>
      <c r="AP8" s="62">
        <v>0</v>
      </c>
      <c r="AQ8" s="83">
        <f>AP8/Z8</f>
        <v>0</v>
      </c>
      <c r="AR8" s="11" t="s">
        <v>60</v>
      </c>
      <c r="AS8" s="62">
        <v>0</v>
      </c>
      <c r="AT8" s="83">
        <v>0</v>
      </c>
      <c r="AU8" s="200" t="s">
        <v>106</v>
      </c>
      <c r="AV8" s="73">
        <v>0</v>
      </c>
      <c r="AW8" s="83">
        <f>+AV8/Z8</f>
        <v>0</v>
      </c>
      <c r="AX8" s="50" t="s">
        <v>115</v>
      </c>
      <c r="AY8" s="73">
        <v>0</v>
      </c>
      <c r="AZ8" s="45">
        <f>+AY8/Z8</f>
        <v>0</v>
      </c>
      <c r="BA8" s="53" t="s">
        <v>115</v>
      </c>
      <c r="BB8" s="119">
        <v>0.10440000000000001</v>
      </c>
      <c r="BC8" s="53"/>
      <c r="BD8" s="201">
        <f>39084775*19.9/100</f>
        <v>7777870.2249999996</v>
      </c>
      <c r="BE8" s="195">
        <v>4083550.05</v>
      </c>
      <c r="BF8" s="136">
        <f t="shared" si="1"/>
        <v>0.52278417626439666</v>
      </c>
      <c r="BG8" s="9">
        <f>20.3-10.3</f>
        <v>10</v>
      </c>
      <c r="BH8" s="9"/>
      <c r="BI8" s="76" t="s">
        <v>197</v>
      </c>
      <c r="BJ8" s="120">
        <f t="shared" si="2"/>
        <v>0.10440000000000001</v>
      </c>
      <c r="BK8" s="133">
        <v>0.20300000000000001</v>
      </c>
      <c r="BL8" s="134"/>
      <c r="BM8" s="108">
        <v>15829333</v>
      </c>
      <c r="BN8" s="116"/>
      <c r="BO8" s="40"/>
      <c r="BP8" s="40"/>
      <c r="BQ8" s="68" t="s">
        <v>131</v>
      </c>
      <c r="BR8" s="155">
        <v>0</v>
      </c>
      <c r="BS8" s="43" t="s">
        <v>177</v>
      </c>
      <c r="BT8" s="115">
        <f>BB8/M8</f>
        <v>0.10440000000000001</v>
      </c>
      <c r="BU8" s="114">
        <f>4038252.91+121595.52</f>
        <v>4159848.43</v>
      </c>
      <c r="BV8" s="138">
        <f>BU8/N8</f>
        <v>0.10643142821414295</v>
      </c>
      <c r="BW8" s="115">
        <f>+BU8/N8</f>
        <v>0.10643142821414295</v>
      </c>
      <c r="BX8" s="194">
        <v>0</v>
      </c>
      <c r="BY8" s="155">
        <v>0</v>
      </c>
      <c r="BZ8" s="144" t="s">
        <v>200</v>
      </c>
      <c r="CA8" s="138">
        <f>10.44%+0.31%</f>
        <v>0.1075</v>
      </c>
      <c r="CB8" s="114">
        <f>4038252.91+121595.52</f>
        <v>4159848.43</v>
      </c>
      <c r="CC8" s="138">
        <f>10.44%+0.31%</f>
        <v>0.1075</v>
      </c>
      <c r="CD8" s="138">
        <f>10.44%+0.31%</f>
        <v>0.1075</v>
      </c>
      <c r="CE8" s="195">
        <v>0</v>
      </c>
      <c r="CF8" s="155">
        <v>0</v>
      </c>
      <c r="CG8" s="144" t="s">
        <v>211</v>
      </c>
      <c r="CH8" s="138">
        <f>10.44%+0.31%</f>
        <v>0.1075</v>
      </c>
      <c r="CI8" s="114">
        <f>4038252.91+121595.52</f>
        <v>4159848.43</v>
      </c>
      <c r="CJ8" s="138">
        <f>10.44%+0.31%</f>
        <v>0.1075</v>
      </c>
      <c r="CK8" s="138">
        <f>10.44%+0.31%</f>
        <v>0.1075</v>
      </c>
      <c r="CL8" s="195">
        <v>0</v>
      </c>
      <c r="CM8" s="155">
        <f t="shared" si="9"/>
        <v>0</v>
      </c>
      <c r="CN8" s="144" t="s">
        <v>228</v>
      </c>
      <c r="CO8" s="138">
        <f>10.44%+0.31%</f>
        <v>0.1075</v>
      </c>
      <c r="CP8" s="195">
        <f>4038252.91+121595.52</f>
        <v>4159848.43</v>
      </c>
      <c r="CQ8" s="138">
        <f>10.44%+0.31%</f>
        <v>0.1075</v>
      </c>
      <c r="CR8" s="138">
        <f>10.44%+0.31%</f>
        <v>0.1075</v>
      </c>
      <c r="CS8" s="195">
        <v>0</v>
      </c>
      <c r="CT8" s="155">
        <f>CS8/BM8</f>
        <v>0</v>
      </c>
      <c r="CU8" s="144" t="s">
        <v>240</v>
      </c>
      <c r="CV8" s="138">
        <f>10.44%+0.31%</f>
        <v>0.1075</v>
      </c>
      <c r="CW8" s="195">
        <f>4038252.91+121595.52</f>
        <v>4159848.43</v>
      </c>
      <c r="CX8" s="138">
        <f>10.44%+0.31%</f>
        <v>0.1075</v>
      </c>
      <c r="CY8" s="138">
        <f>10.44%+0.31%</f>
        <v>0.1075</v>
      </c>
      <c r="CZ8" s="211">
        <v>0</v>
      </c>
      <c r="DA8" s="182">
        <f t="shared" si="4"/>
        <v>0</v>
      </c>
      <c r="DB8" s="144" t="s">
        <v>250</v>
      </c>
      <c r="DC8" s="138">
        <f>10.44%+0.31%</f>
        <v>0.1075</v>
      </c>
      <c r="DD8" s="195">
        <f>4038252.91+121595.52</f>
        <v>4159848.43</v>
      </c>
      <c r="DE8" s="138">
        <f>10.44%+0.31%</f>
        <v>0.1075</v>
      </c>
      <c r="DF8" s="134"/>
    </row>
    <row r="9" spans="1:110" ht="381.75" customHeight="1" x14ac:dyDescent="0.2">
      <c r="A9" s="157">
        <v>5</v>
      </c>
      <c r="B9" s="14" t="s">
        <v>18</v>
      </c>
      <c r="C9" s="7" t="s">
        <v>9</v>
      </c>
      <c r="D9" s="10" t="s">
        <v>3</v>
      </c>
      <c r="E9" s="22" t="s">
        <v>63</v>
      </c>
      <c r="F9" s="22" t="s">
        <v>173</v>
      </c>
      <c r="G9" s="3">
        <v>0.05</v>
      </c>
      <c r="H9" s="3">
        <v>0.3</v>
      </c>
      <c r="I9" s="3">
        <v>0.6</v>
      </c>
      <c r="J9" s="3">
        <v>1</v>
      </c>
      <c r="K9" s="184" t="s">
        <v>232</v>
      </c>
      <c r="L9" s="22" t="s">
        <v>48</v>
      </c>
      <c r="M9" s="23">
        <v>1</v>
      </c>
      <c r="N9" s="23" t="s">
        <v>50</v>
      </c>
      <c r="O9" s="23" t="s">
        <v>131</v>
      </c>
      <c r="P9" s="3">
        <f t="shared" si="5"/>
        <v>0.05</v>
      </c>
      <c r="Q9" s="3">
        <v>0.05</v>
      </c>
      <c r="R9" s="3">
        <v>0.05</v>
      </c>
      <c r="S9" s="3">
        <v>0.05</v>
      </c>
      <c r="T9" s="79">
        <f t="shared" si="0"/>
        <v>1</v>
      </c>
      <c r="U9" s="12" t="s">
        <v>16</v>
      </c>
      <c r="V9" s="115">
        <f>S9/M9</f>
        <v>0.05</v>
      </c>
      <c r="W9" s="64">
        <v>0.3</v>
      </c>
      <c r="X9" s="64"/>
      <c r="Y9" s="64"/>
      <c r="Z9" s="64">
        <v>0.25</v>
      </c>
      <c r="AA9" s="64">
        <v>0.04</v>
      </c>
      <c r="AB9" s="79">
        <f>AA9/Z9</f>
        <v>0.16</v>
      </c>
      <c r="AC9" s="11" t="s">
        <v>24</v>
      </c>
      <c r="AD9" s="64">
        <v>7.0000000000000007E-2</v>
      </c>
      <c r="AE9" s="79">
        <f>AD9/Z9</f>
        <v>0.28000000000000003</v>
      </c>
      <c r="AF9" s="11" t="s">
        <v>38</v>
      </c>
      <c r="AG9" s="64">
        <v>0.11</v>
      </c>
      <c r="AH9" s="84">
        <f t="shared" si="7"/>
        <v>0.44</v>
      </c>
      <c r="AI9" s="28" t="s">
        <v>56</v>
      </c>
      <c r="AJ9" s="64">
        <v>0.14000000000000001</v>
      </c>
      <c r="AK9" s="84">
        <f t="shared" si="8"/>
        <v>0.56000000000000005</v>
      </c>
      <c r="AL9" s="27" t="s">
        <v>73</v>
      </c>
      <c r="AM9" s="89">
        <v>0.15</v>
      </c>
      <c r="AN9" s="84">
        <f>AM9/Z9</f>
        <v>0.6</v>
      </c>
      <c r="AO9" s="11" t="s">
        <v>84</v>
      </c>
      <c r="AP9" s="66">
        <v>0.15</v>
      </c>
      <c r="AQ9" s="83">
        <f>AP9/Z9</f>
        <v>0.6</v>
      </c>
      <c r="AR9" s="11" t="s">
        <v>96</v>
      </c>
      <c r="AS9" s="66">
        <v>0.15</v>
      </c>
      <c r="AT9" s="83">
        <v>0.5</v>
      </c>
      <c r="AU9" s="30" t="s">
        <v>101</v>
      </c>
      <c r="AV9" s="139">
        <v>0.15</v>
      </c>
      <c r="AW9" s="83">
        <v>0.5</v>
      </c>
      <c r="AX9" s="50" t="s">
        <v>114</v>
      </c>
      <c r="AY9" s="202">
        <v>0.15</v>
      </c>
      <c r="AZ9" s="45">
        <v>0.5</v>
      </c>
      <c r="BA9" s="53" t="s">
        <v>126</v>
      </c>
      <c r="BB9" s="64">
        <v>0.2</v>
      </c>
      <c r="BC9" s="53"/>
      <c r="BD9" s="64">
        <v>0.3</v>
      </c>
      <c r="BE9" s="64">
        <v>0.2</v>
      </c>
      <c r="BF9" s="79">
        <f t="shared" si="1"/>
        <v>0.66666666666666674</v>
      </c>
      <c r="BG9" s="53"/>
      <c r="BH9" s="53"/>
      <c r="BI9" s="58" t="s">
        <v>151</v>
      </c>
      <c r="BJ9" s="132">
        <f t="shared" si="2"/>
        <v>0.2</v>
      </c>
      <c r="BK9" s="139" t="s">
        <v>213</v>
      </c>
      <c r="BL9" s="134"/>
      <c r="BM9" s="139">
        <v>0.6</v>
      </c>
      <c r="BN9" s="139"/>
      <c r="BO9" s="139"/>
      <c r="BP9" s="139"/>
      <c r="BQ9" s="203">
        <v>0</v>
      </c>
      <c r="BR9" s="156">
        <v>0</v>
      </c>
      <c r="BS9" s="143" t="s">
        <v>172</v>
      </c>
      <c r="BT9" s="132">
        <f>BB9/M9</f>
        <v>0.2</v>
      </c>
      <c r="BU9" s="149" t="s">
        <v>131</v>
      </c>
      <c r="BV9" s="149" t="s">
        <v>131</v>
      </c>
      <c r="BW9" s="132">
        <f>BT9/M9</f>
        <v>0.2</v>
      </c>
      <c r="BX9" s="148">
        <v>0</v>
      </c>
      <c r="BY9" s="155">
        <f>BX9/60</f>
        <v>0</v>
      </c>
      <c r="BZ9" s="144" t="s">
        <v>201</v>
      </c>
      <c r="CA9" s="132">
        <f>BW9/M9</f>
        <v>0.2</v>
      </c>
      <c r="CB9" s="149" t="s">
        <v>131</v>
      </c>
      <c r="CC9" s="149" t="s">
        <v>131</v>
      </c>
      <c r="CD9" s="132">
        <f>BT9/M9</f>
        <v>0.2</v>
      </c>
      <c r="CE9" s="152">
        <v>0</v>
      </c>
      <c r="CF9" s="155">
        <f t="shared" si="3"/>
        <v>0</v>
      </c>
      <c r="CG9" s="144" t="s">
        <v>212</v>
      </c>
      <c r="CH9" s="132">
        <f>CA9/M9</f>
        <v>0.2</v>
      </c>
      <c r="CI9" s="153" t="s">
        <v>131</v>
      </c>
      <c r="CJ9" s="153" t="s">
        <v>131</v>
      </c>
      <c r="CK9" s="132">
        <f>CA9/M9</f>
        <v>0.2</v>
      </c>
      <c r="CL9" s="160">
        <v>0.21</v>
      </c>
      <c r="CM9" s="182">
        <f t="shared" si="9"/>
        <v>0.35</v>
      </c>
      <c r="CN9" s="144" t="s">
        <v>229</v>
      </c>
      <c r="CO9" s="183">
        <f>CR9/M9</f>
        <v>0.21</v>
      </c>
      <c r="CP9" s="157" t="s">
        <v>131</v>
      </c>
      <c r="CQ9" s="157" t="s">
        <v>131</v>
      </c>
      <c r="CR9" s="132">
        <v>0.21</v>
      </c>
      <c r="CS9" s="185">
        <v>0.21</v>
      </c>
      <c r="CT9" s="155">
        <f t="shared" ref="CT9:CT12" si="10">CS9/BM9</f>
        <v>0.35</v>
      </c>
      <c r="CU9" s="22" t="s">
        <v>243</v>
      </c>
      <c r="CV9" s="132">
        <f>CS9/M9</f>
        <v>0.21</v>
      </c>
      <c r="CW9" s="10" t="s">
        <v>131</v>
      </c>
      <c r="CX9" s="10" t="s">
        <v>131</v>
      </c>
      <c r="CY9" s="132">
        <v>0.21</v>
      </c>
      <c r="CZ9" s="185">
        <v>0.21</v>
      </c>
      <c r="DA9" s="182">
        <f t="shared" si="4"/>
        <v>0.35</v>
      </c>
      <c r="DB9" s="22" t="s">
        <v>251</v>
      </c>
      <c r="DC9" s="132">
        <f>CZ9/M9</f>
        <v>0.21</v>
      </c>
      <c r="DD9" s="157" t="s">
        <v>131</v>
      </c>
      <c r="DE9" s="157" t="s">
        <v>131</v>
      </c>
      <c r="DF9" s="134"/>
    </row>
    <row r="10" spans="1:110" ht="240" x14ac:dyDescent="0.2">
      <c r="A10" s="157">
        <v>6</v>
      </c>
      <c r="B10" s="14" t="s">
        <v>18</v>
      </c>
      <c r="C10" s="21" t="s">
        <v>5</v>
      </c>
      <c r="D10" s="13" t="s">
        <v>6</v>
      </c>
      <c r="E10" s="22" t="s">
        <v>196</v>
      </c>
      <c r="F10" s="22" t="s">
        <v>163</v>
      </c>
      <c r="G10" s="10">
        <v>6</v>
      </c>
      <c r="H10" s="10">
        <v>10</v>
      </c>
      <c r="I10" s="10">
        <v>17</v>
      </c>
      <c r="J10" s="10">
        <v>20</v>
      </c>
      <c r="K10" s="184" t="s">
        <v>233</v>
      </c>
      <c r="L10" s="22" t="s">
        <v>46</v>
      </c>
      <c r="M10" s="13">
        <v>20</v>
      </c>
      <c r="N10" s="13">
        <v>20</v>
      </c>
      <c r="O10" s="13" t="s">
        <v>131</v>
      </c>
      <c r="P10" s="8">
        <f t="shared" si="5"/>
        <v>6</v>
      </c>
      <c r="Q10" s="8">
        <v>8</v>
      </c>
      <c r="R10" s="8">
        <v>6</v>
      </c>
      <c r="S10" s="8">
        <v>8</v>
      </c>
      <c r="T10" s="79">
        <f t="shared" si="0"/>
        <v>1.3333333333333333</v>
      </c>
      <c r="U10" s="11" t="s">
        <v>13</v>
      </c>
      <c r="V10" s="118">
        <f>Q10/M10</f>
        <v>0.4</v>
      </c>
      <c r="W10" s="70">
        <v>10</v>
      </c>
      <c r="X10" s="70"/>
      <c r="Y10" s="70"/>
      <c r="Z10" s="65">
        <v>4</v>
      </c>
      <c r="AA10" s="65">
        <v>1</v>
      </c>
      <c r="AB10" s="79">
        <f>AA10/4</f>
        <v>0.25</v>
      </c>
      <c r="AC10" s="11" t="s">
        <v>25</v>
      </c>
      <c r="AD10" s="65">
        <v>2</v>
      </c>
      <c r="AE10" s="79">
        <f>AD10/4</f>
        <v>0.5</v>
      </c>
      <c r="AF10" s="11" t="s">
        <v>37</v>
      </c>
      <c r="AG10" s="65">
        <v>2</v>
      </c>
      <c r="AH10" s="84">
        <f>AG10/4</f>
        <v>0.5</v>
      </c>
      <c r="AI10" s="27" t="s">
        <v>59</v>
      </c>
      <c r="AJ10" s="70">
        <v>3</v>
      </c>
      <c r="AK10" s="84">
        <f>AJ10/4</f>
        <v>0.75</v>
      </c>
      <c r="AL10" s="30" t="s">
        <v>74</v>
      </c>
      <c r="AM10" s="90">
        <v>3</v>
      </c>
      <c r="AN10" s="84">
        <f>AM10/4</f>
        <v>0.75</v>
      </c>
      <c r="AO10" s="43" t="s">
        <v>80</v>
      </c>
      <c r="AP10" s="65">
        <v>5</v>
      </c>
      <c r="AQ10" s="83">
        <f>AP10/4</f>
        <v>1.25</v>
      </c>
      <c r="AR10" s="11" t="s">
        <v>95</v>
      </c>
      <c r="AS10" s="92">
        <v>8</v>
      </c>
      <c r="AT10" s="83">
        <f>+AS10/4</f>
        <v>2</v>
      </c>
      <c r="AU10" s="11" t="s">
        <v>107</v>
      </c>
      <c r="AV10" s="92">
        <v>8</v>
      </c>
      <c r="AW10" s="83">
        <f>+AV10/Z10</f>
        <v>2</v>
      </c>
      <c r="AX10" s="50" t="s">
        <v>116</v>
      </c>
      <c r="AY10" s="74">
        <v>9</v>
      </c>
      <c r="AZ10" s="45">
        <f>+AY10/Z10</f>
        <v>2.25</v>
      </c>
      <c r="BA10" s="53" t="s">
        <v>128</v>
      </c>
      <c r="BB10" s="70">
        <v>19</v>
      </c>
      <c r="BC10" s="53"/>
      <c r="BD10" s="70">
        <v>10</v>
      </c>
      <c r="BE10" s="70">
        <v>19</v>
      </c>
      <c r="BF10" s="137">
        <f t="shared" si="1"/>
        <v>1.9</v>
      </c>
      <c r="BG10" s="79"/>
      <c r="BH10" s="79"/>
      <c r="BI10" s="76" t="s">
        <v>178</v>
      </c>
      <c r="BJ10" s="147">
        <f t="shared" si="2"/>
        <v>0.95</v>
      </c>
      <c r="BK10" s="203">
        <v>17</v>
      </c>
      <c r="BL10" s="134"/>
      <c r="BM10" s="203">
        <v>17</v>
      </c>
      <c r="BN10" s="204"/>
      <c r="BO10" s="204"/>
      <c r="BP10" s="204"/>
      <c r="BQ10" s="203">
        <v>19</v>
      </c>
      <c r="BR10" s="155">
        <f>BQ10/BM10</f>
        <v>1.1176470588235294</v>
      </c>
      <c r="BS10" s="76" t="s">
        <v>174</v>
      </c>
      <c r="BT10" s="140">
        <f>BE10/N10</f>
        <v>0.95</v>
      </c>
      <c r="BU10" s="150" t="s">
        <v>131</v>
      </c>
      <c r="BV10" s="150" t="s">
        <v>131</v>
      </c>
      <c r="BW10" s="140">
        <f>BE10/N10</f>
        <v>0.95</v>
      </c>
      <c r="BX10" s="203">
        <v>21</v>
      </c>
      <c r="BY10" s="155">
        <f>BX10/BM10</f>
        <v>1.2352941176470589</v>
      </c>
      <c r="BZ10" s="144" t="s">
        <v>202</v>
      </c>
      <c r="CA10" s="147">
        <f>19/20</f>
        <v>0.95</v>
      </c>
      <c r="CB10" s="149" t="s">
        <v>131</v>
      </c>
      <c r="CC10" s="149" t="s">
        <v>131</v>
      </c>
      <c r="CD10" s="132">
        <f>21/20</f>
        <v>1.05</v>
      </c>
      <c r="CE10" s="204">
        <v>23</v>
      </c>
      <c r="CF10" s="155">
        <f t="shared" si="3"/>
        <v>1.3529411764705883</v>
      </c>
      <c r="CG10" s="144" t="s">
        <v>214</v>
      </c>
      <c r="CH10" s="132">
        <f>CE10/M10</f>
        <v>1.1499999999999999</v>
      </c>
      <c r="CI10" s="149" t="s">
        <v>131</v>
      </c>
      <c r="CJ10" s="149" t="s">
        <v>131</v>
      </c>
      <c r="CK10" s="132">
        <f>CE10/M10</f>
        <v>1.1499999999999999</v>
      </c>
      <c r="CL10" s="195">
        <v>27</v>
      </c>
      <c r="CM10" s="182">
        <f t="shared" si="9"/>
        <v>1.588235294117647</v>
      </c>
      <c r="CN10" s="205" t="s">
        <v>230</v>
      </c>
      <c r="CO10" s="132">
        <f>25/M10</f>
        <v>1.25</v>
      </c>
      <c r="CP10" s="157" t="s">
        <v>131</v>
      </c>
      <c r="CQ10" s="157" t="s">
        <v>131</v>
      </c>
      <c r="CR10" s="132">
        <f>CL10/M10</f>
        <v>1.35</v>
      </c>
      <c r="CS10" s="157">
        <v>28</v>
      </c>
      <c r="CT10" s="155">
        <f t="shared" si="10"/>
        <v>1.6470588235294117</v>
      </c>
      <c r="CU10" s="144" t="s">
        <v>244</v>
      </c>
      <c r="CV10" s="132">
        <f>25/M10</f>
        <v>1.25</v>
      </c>
      <c r="CW10" s="157" t="s">
        <v>131</v>
      </c>
      <c r="CX10" s="157" t="s">
        <v>131</v>
      </c>
      <c r="CY10" s="132">
        <f>CS10/M10</f>
        <v>1.4</v>
      </c>
      <c r="CZ10" s="157">
        <v>31</v>
      </c>
      <c r="DA10" s="155">
        <f t="shared" si="4"/>
        <v>1.8235294117647058</v>
      </c>
      <c r="DB10" s="144" t="s">
        <v>252</v>
      </c>
      <c r="DC10" s="132">
        <f>CZ10/M10</f>
        <v>1.55</v>
      </c>
      <c r="DD10" s="157" t="s">
        <v>131</v>
      </c>
      <c r="DE10" s="157" t="s">
        <v>131</v>
      </c>
      <c r="DF10" s="134"/>
    </row>
    <row r="11" spans="1:110" ht="365.25" customHeight="1" x14ac:dyDescent="0.2">
      <c r="A11" s="157">
        <v>7</v>
      </c>
      <c r="B11" s="15" t="s">
        <v>18</v>
      </c>
      <c r="C11" s="41" t="s">
        <v>7</v>
      </c>
      <c r="D11" s="10" t="s">
        <v>4</v>
      </c>
      <c r="E11" s="22" t="s">
        <v>63</v>
      </c>
      <c r="F11" s="22" t="s">
        <v>163</v>
      </c>
      <c r="G11" s="42">
        <v>175</v>
      </c>
      <c r="H11" s="42">
        <v>200</v>
      </c>
      <c r="I11" s="42">
        <v>225</v>
      </c>
      <c r="J11" s="24">
        <v>250</v>
      </c>
      <c r="K11" s="184" t="s">
        <v>232</v>
      </c>
      <c r="L11" s="26" t="s">
        <v>49</v>
      </c>
      <c r="M11" s="161">
        <v>500</v>
      </c>
      <c r="N11" s="161">
        <v>500</v>
      </c>
      <c r="O11" s="25" t="s">
        <v>131</v>
      </c>
      <c r="P11" s="16">
        <f t="shared" si="5"/>
        <v>175</v>
      </c>
      <c r="Q11" s="16">
        <v>185</v>
      </c>
      <c r="R11" s="16">
        <v>175</v>
      </c>
      <c r="S11" s="16">
        <v>185</v>
      </c>
      <c r="T11" s="80">
        <f>(Q11-150)/(P11-150)</f>
        <v>1.4</v>
      </c>
      <c r="U11" s="17" t="s">
        <v>14</v>
      </c>
      <c r="V11" s="127">
        <f>Q11/N11</f>
        <v>0.37</v>
      </c>
      <c r="W11" s="71">
        <v>200</v>
      </c>
      <c r="X11" s="71"/>
      <c r="Y11" s="71"/>
      <c r="Z11" s="72">
        <v>25</v>
      </c>
      <c r="AA11" s="62">
        <v>0</v>
      </c>
      <c r="AB11" s="80">
        <f>AA11/25</f>
        <v>0</v>
      </c>
      <c r="AC11" s="17" t="s">
        <v>26</v>
      </c>
      <c r="AD11" s="62">
        <v>0</v>
      </c>
      <c r="AE11" s="80">
        <f>AD11/25</f>
        <v>0</v>
      </c>
      <c r="AF11" s="17" t="s">
        <v>36</v>
      </c>
      <c r="AG11" s="62">
        <v>0</v>
      </c>
      <c r="AH11" s="86">
        <f>AG11/25</f>
        <v>0</v>
      </c>
      <c r="AI11" s="29" t="s">
        <v>58</v>
      </c>
      <c r="AJ11" s="65">
        <v>15</v>
      </c>
      <c r="AK11" s="84">
        <f>AJ11/25</f>
        <v>0.6</v>
      </c>
      <c r="AL11" s="29" t="s">
        <v>75</v>
      </c>
      <c r="AM11" s="88">
        <v>33</v>
      </c>
      <c r="AN11" s="84">
        <f>AM11/25</f>
        <v>1.32</v>
      </c>
      <c r="AO11" s="11" t="s">
        <v>86</v>
      </c>
      <c r="AP11" s="65">
        <v>55</v>
      </c>
      <c r="AQ11" s="84">
        <f>AP11/25</f>
        <v>2.2000000000000002</v>
      </c>
      <c r="AR11" s="11" t="s">
        <v>91</v>
      </c>
      <c r="AS11" s="92">
        <v>77</v>
      </c>
      <c r="AT11" s="84">
        <f>+AS11/25</f>
        <v>3.08</v>
      </c>
      <c r="AU11" s="11" t="s">
        <v>102</v>
      </c>
      <c r="AV11" s="92">
        <v>117</v>
      </c>
      <c r="AW11" s="84">
        <f>+AV11/25</f>
        <v>4.68</v>
      </c>
      <c r="AX11" s="206" t="s">
        <v>120</v>
      </c>
      <c r="AY11" s="74">
        <v>150</v>
      </c>
      <c r="AZ11" s="46">
        <f>+AY11/25</f>
        <v>6</v>
      </c>
      <c r="BA11" s="53" t="s">
        <v>124</v>
      </c>
      <c r="BB11" s="71">
        <v>372</v>
      </c>
      <c r="BC11" s="53"/>
      <c r="BD11" s="71">
        <v>200</v>
      </c>
      <c r="BE11" s="71">
        <v>372</v>
      </c>
      <c r="BF11" s="142">
        <f>(BB11-150)/(W11-150)</f>
        <v>4.4400000000000004</v>
      </c>
      <c r="BG11" s="53"/>
      <c r="BH11" s="53"/>
      <c r="BI11" s="76" t="s">
        <v>149</v>
      </c>
      <c r="BJ11" s="118">
        <f>(BE11-150)/(250-150)</f>
        <v>2.2200000000000002</v>
      </c>
      <c r="BK11" s="128">
        <v>472</v>
      </c>
      <c r="BL11" s="92"/>
      <c r="BM11" s="128">
        <v>472</v>
      </c>
      <c r="BN11" s="113"/>
      <c r="BO11" s="113"/>
      <c r="BP11" s="76"/>
      <c r="BQ11" s="203">
        <v>372</v>
      </c>
      <c r="BR11" s="155">
        <f>BQ11/BK11</f>
        <v>0.78813559322033899</v>
      </c>
      <c r="BS11" s="76" t="s">
        <v>175</v>
      </c>
      <c r="BT11" s="147">
        <f>(BE11-150)/(250-150)</f>
        <v>2.2200000000000002</v>
      </c>
      <c r="BU11" s="207" t="s">
        <v>131</v>
      </c>
      <c r="BV11" s="207" t="s">
        <v>131</v>
      </c>
      <c r="BW11" s="147">
        <f>(BE11-150)/(250-150)</f>
        <v>2.2200000000000002</v>
      </c>
      <c r="BX11" s="203">
        <v>372</v>
      </c>
      <c r="BY11" s="155">
        <f>BX11/472</f>
        <v>0.78813559322033899</v>
      </c>
      <c r="BZ11" s="144" t="s">
        <v>203</v>
      </c>
      <c r="CA11" s="147">
        <f>(BE11-150)/(250-150)</f>
        <v>2.2200000000000002</v>
      </c>
      <c r="CB11" s="149" t="s">
        <v>131</v>
      </c>
      <c r="CC11" s="149" t="s">
        <v>131</v>
      </c>
      <c r="CD11" s="132">
        <f>(BE11-150)/(250-150)</f>
        <v>2.2200000000000002</v>
      </c>
      <c r="CE11" s="204">
        <v>372</v>
      </c>
      <c r="CF11" s="155">
        <f>CE11/BK11</f>
        <v>0.78813559322033899</v>
      </c>
      <c r="CG11" s="144" t="s">
        <v>215</v>
      </c>
      <c r="CH11" s="132">
        <f>(BE11-150)/(250-150)</f>
        <v>2.2200000000000002</v>
      </c>
      <c r="CI11" s="149" t="s">
        <v>131</v>
      </c>
      <c r="CJ11" s="149" t="s">
        <v>131</v>
      </c>
      <c r="CK11" s="132">
        <f>(BE11-150)/(250-150)</f>
        <v>2.2200000000000002</v>
      </c>
      <c r="CL11" s="157">
        <v>512</v>
      </c>
      <c r="CM11" s="182">
        <f t="shared" si="9"/>
        <v>1.0847457627118644</v>
      </c>
      <c r="CN11" s="144" t="s">
        <v>231</v>
      </c>
      <c r="CO11" s="132">
        <f>(CL11-150)/(500-150)</f>
        <v>1.0342857142857143</v>
      </c>
      <c r="CP11" s="41" t="s">
        <v>131</v>
      </c>
      <c r="CQ11" s="41" t="s">
        <v>131</v>
      </c>
      <c r="CR11" s="132">
        <f>(CL11-150)/(500-150)</f>
        <v>1.0342857142857143</v>
      </c>
      <c r="CS11" s="157">
        <v>526</v>
      </c>
      <c r="CT11" s="155">
        <f t="shared" si="10"/>
        <v>1.1144067796610169</v>
      </c>
      <c r="CU11" s="144" t="s">
        <v>241</v>
      </c>
      <c r="CV11" s="132">
        <f>(CS11-150)/(500-150)</f>
        <v>1.0742857142857143</v>
      </c>
      <c r="CW11" s="157" t="s">
        <v>131</v>
      </c>
      <c r="CX11" s="157" t="s">
        <v>131</v>
      </c>
      <c r="CY11" s="132">
        <f>(CS11-150)/(500-150)</f>
        <v>1.0742857142857143</v>
      </c>
      <c r="CZ11" s="157">
        <v>539</v>
      </c>
      <c r="DA11" s="155">
        <f>CZ11/BK11</f>
        <v>1.1419491525423728</v>
      </c>
      <c r="DB11" s="144" t="s">
        <v>253</v>
      </c>
      <c r="DC11" s="132">
        <f>(539-150)/(500-150)</f>
        <v>1.1114285714285714</v>
      </c>
      <c r="DD11" s="157" t="s">
        <v>131</v>
      </c>
      <c r="DE11" s="157" t="s">
        <v>131</v>
      </c>
      <c r="DF11" s="134"/>
    </row>
    <row r="12" spans="1:110" ht="402.75" customHeight="1" x14ac:dyDescent="0.2">
      <c r="A12" s="157">
        <v>8</v>
      </c>
      <c r="B12" s="18" t="s">
        <v>217</v>
      </c>
      <c r="C12" s="18" t="s">
        <v>28</v>
      </c>
      <c r="D12" s="10" t="s">
        <v>3</v>
      </c>
      <c r="E12" s="22" t="s">
        <v>64</v>
      </c>
      <c r="F12" s="141" t="s">
        <v>162</v>
      </c>
      <c r="G12" s="19">
        <v>0.1</v>
      </c>
      <c r="H12" s="19">
        <v>0.3</v>
      </c>
      <c r="I12" s="19">
        <v>0.3</v>
      </c>
      <c r="J12" s="19">
        <v>0.3</v>
      </c>
      <c r="K12" s="184" t="s">
        <v>234</v>
      </c>
      <c r="L12" s="22" t="s">
        <v>49</v>
      </c>
      <c r="M12" s="19">
        <v>1</v>
      </c>
      <c r="N12" s="19">
        <v>1</v>
      </c>
      <c r="O12" s="19" t="s">
        <v>131</v>
      </c>
      <c r="P12" s="19">
        <v>0.1</v>
      </c>
      <c r="Q12" s="19">
        <v>0.1</v>
      </c>
      <c r="R12" s="19">
        <v>0.1</v>
      </c>
      <c r="S12" s="19">
        <v>0.1</v>
      </c>
      <c r="T12" s="79">
        <f>Q12/P12</f>
        <v>1</v>
      </c>
      <c r="U12" s="11" t="s">
        <v>29</v>
      </c>
      <c r="V12" s="129">
        <f>S12/M12</f>
        <v>0.1</v>
      </c>
      <c r="W12" s="66">
        <v>0.3</v>
      </c>
      <c r="X12" s="66"/>
      <c r="Y12" s="66"/>
      <c r="Z12" s="66">
        <v>0.3</v>
      </c>
      <c r="AA12" s="66">
        <v>0.01</v>
      </c>
      <c r="AB12" s="80">
        <f t="shared" si="6"/>
        <v>3.3333333333333333E-2</v>
      </c>
      <c r="AC12" s="11" t="s">
        <v>30</v>
      </c>
      <c r="AD12" s="64">
        <v>0.02</v>
      </c>
      <c r="AE12" s="79">
        <f>AD12/Z12</f>
        <v>6.6666666666666666E-2</v>
      </c>
      <c r="AF12" s="11" t="s">
        <v>43</v>
      </c>
      <c r="AG12" s="64">
        <v>0.05</v>
      </c>
      <c r="AH12" s="79">
        <f t="shared" si="7"/>
        <v>0.16666666666666669</v>
      </c>
      <c r="AI12" s="11" t="s">
        <v>55</v>
      </c>
      <c r="AJ12" s="66">
        <v>0.06</v>
      </c>
      <c r="AK12" s="79">
        <f t="shared" si="8"/>
        <v>0.2</v>
      </c>
      <c r="AL12" s="11" t="s">
        <v>76</v>
      </c>
      <c r="AM12" s="91">
        <v>0.09</v>
      </c>
      <c r="AN12" s="79">
        <f>AM12/Z12</f>
        <v>0.3</v>
      </c>
      <c r="AO12" s="11" t="s">
        <v>85</v>
      </c>
      <c r="AP12" s="91">
        <v>0.16</v>
      </c>
      <c r="AQ12" s="84">
        <f>AP12/Z12</f>
        <v>0.53333333333333333</v>
      </c>
      <c r="AR12" s="11" t="s">
        <v>97</v>
      </c>
      <c r="AS12" s="91">
        <v>0.21</v>
      </c>
      <c r="AT12" s="84">
        <f>+AS12/Z12</f>
        <v>0.7</v>
      </c>
      <c r="AU12" s="11" t="s">
        <v>108</v>
      </c>
      <c r="AV12" s="93">
        <v>0.23499999999999999</v>
      </c>
      <c r="AW12" s="84">
        <f>+AV12/Z12</f>
        <v>0.78333333333333333</v>
      </c>
      <c r="AX12" s="11" t="s">
        <v>113</v>
      </c>
      <c r="AY12" s="56">
        <v>0.27</v>
      </c>
      <c r="AZ12" s="46">
        <f>+AY12/Z12</f>
        <v>0.90000000000000013</v>
      </c>
      <c r="BA12" s="76" t="s">
        <v>125</v>
      </c>
      <c r="BB12" s="66">
        <v>0.3</v>
      </c>
      <c r="BC12" s="76"/>
      <c r="BD12" s="66">
        <v>0.3</v>
      </c>
      <c r="BE12" s="66">
        <v>0.3</v>
      </c>
      <c r="BF12" s="142">
        <f>BE12/BD12</f>
        <v>1</v>
      </c>
      <c r="BG12" s="76"/>
      <c r="BH12" s="76"/>
      <c r="BI12" s="76" t="s">
        <v>150</v>
      </c>
      <c r="BJ12" s="118">
        <f>(BE12+Q12)</f>
        <v>0.4</v>
      </c>
      <c r="BK12" s="130">
        <v>0.3</v>
      </c>
      <c r="BL12" s="89"/>
      <c r="BM12" s="130">
        <v>0.3</v>
      </c>
      <c r="BN12" s="89"/>
      <c r="BO12" s="113"/>
      <c r="BP12" s="76"/>
      <c r="BQ12" s="208">
        <v>0.01</v>
      </c>
      <c r="BR12" s="155">
        <f>BQ12/BK12</f>
        <v>3.3333333333333333E-2</v>
      </c>
      <c r="BS12" s="76" t="s">
        <v>176</v>
      </c>
      <c r="BT12" s="129">
        <f>BE12+Q12</f>
        <v>0.4</v>
      </c>
      <c r="BU12" s="4" t="s">
        <v>131</v>
      </c>
      <c r="BV12" s="4" t="s">
        <v>131</v>
      </c>
      <c r="BW12" s="129">
        <f>BE12+Q12+BQ12</f>
        <v>0.41000000000000003</v>
      </c>
      <c r="BX12" s="148">
        <v>1.4999999999999999E-2</v>
      </c>
      <c r="BY12" s="155">
        <f>BX12/BM12</f>
        <v>0.05</v>
      </c>
      <c r="BZ12" s="144" t="s">
        <v>204</v>
      </c>
      <c r="CA12" s="129">
        <f>BE12+Q12</f>
        <v>0.4</v>
      </c>
      <c r="CB12" s="149" t="s">
        <v>131</v>
      </c>
      <c r="CC12" s="149" t="s">
        <v>131</v>
      </c>
      <c r="CD12" s="138">
        <f>BE12+Q12+BQ12+BX12</f>
        <v>0.42500000000000004</v>
      </c>
      <c r="CE12" s="154">
        <v>2.5000000000000001E-2</v>
      </c>
      <c r="CF12" s="155">
        <f>CE12/BK12</f>
        <v>8.3333333333333343E-2</v>
      </c>
      <c r="CG12" s="144" t="s">
        <v>216</v>
      </c>
      <c r="CH12" s="132">
        <f>CA12</f>
        <v>0.4</v>
      </c>
      <c r="CI12" s="149" t="s">
        <v>131</v>
      </c>
      <c r="CJ12" s="149" t="s">
        <v>131</v>
      </c>
      <c r="CK12" s="132">
        <f>CE12+BX12+BQ12+BJ12</f>
        <v>0.45</v>
      </c>
      <c r="CL12" s="185">
        <v>0.01</v>
      </c>
      <c r="CM12" s="182">
        <f t="shared" si="9"/>
        <v>3.3333333333333333E-2</v>
      </c>
      <c r="CN12" s="144" t="s">
        <v>219</v>
      </c>
      <c r="CO12" s="132">
        <f>CA12</f>
        <v>0.4</v>
      </c>
      <c r="CP12" s="157" t="s">
        <v>131</v>
      </c>
      <c r="CQ12" s="157" t="s">
        <v>131</v>
      </c>
      <c r="CR12" s="115">
        <v>0.58199999999999996</v>
      </c>
      <c r="CS12" s="210">
        <v>3.7999999999999999E-2</v>
      </c>
      <c r="CT12" s="155">
        <f t="shared" si="10"/>
        <v>0.12666666666666668</v>
      </c>
      <c r="CU12" s="144" t="s">
        <v>242</v>
      </c>
      <c r="CV12" s="132">
        <f>CA12</f>
        <v>0.4</v>
      </c>
      <c r="CW12" s="157" t="s">
        <v>131</v>
      </c>
      <c r="CX12" s="157" t="s">
        <v>131</v>
      </c>
      <c r="CY12" s="132">
        <v>0.62</v>
      </c>
      <c r="CZ12" s="215">
        <v>1.2E-2</v>
      </c>
      <c r="DA12" s="182">
        <f>CZ12/BK12</f>
        <v>0.04</v>
      </c>
      <c r="DB12" s="144" t="s">
        <v>254</v>
      </c>
      <c r="DC12" s="132">
        <f>CA12</f>
        <v>0.4</v>
      </c>
      <c r="DD12" s="157" t="s">
        <v>131</v>
      </c>
      <c r="DE12" s="157" t="s">
        <v>131</v>
      </c>
      <c r="DF12" s="134"/>
    </row>
    <row r="13" spans="1:110" ht="17.25" customHeight="1" x14ac:dyDescent="0.2">
      <c r="B13" s="249"/>
      <c r="C13" s="249"/>
      <c r="D13" s="249"/>
      <c r="E13" s="249"/>
      <c r="AM13" s="47"/>
      <c r="AQ13" s="47"/>
      <c r="AS13" s="48"/>
      <c r="BI13" s="117"/>
      <c r="BT13" s="47"/>
      <c r="BU13" s="47"/>
      <c r="BV13" s="47"/>
      <c r="BW13" s="47"/>
      <c r="BX13" s="47"/>
      <c r="BY13" s="47"/>
      <c r="BZ13" s="47"/>
      <c r="CA13" s="47"/>
      <c r="CB13" s="47"/>
      <c r="CC13" s="47"/>
      <c r="CD13" s="47"/>
      <c r="CE13" s="47"/>
      <c r="CF13" s="47"/>
      <c r="CG13" s="47"/>
      <c r="CH13" s="47"/>
      <c r="CI13" s="47"/>
      <c r="CJ13" s="47"/>
      <c r="CK13" s="47"/>
    </row>
    <row r="14" spans="1:110" ht="23.25" hidden="1" customHeight="1" x14ac:dyDescent="0.2">
      <c r="B14" s="249"/>
      <c r="C14" s="249"/>
      <c r="K14" s="44"/>
      <c r="T14" s="1">
        <v>42180000</v>
      </c>
      <c r="V14" s="47">
        <f>U15/T14</f>
        <v>0.38481990137505928</v>
      </c>
      <c r="AQ14" s="47"/>
      <c r="AS14" s="47"/>
      <c r="AV14" s="49"/>
      <c r="BI14" s="117"/>
      <c r="BJ14" s="55"/>
      <c r="BK14" s="55"/>
      <c r="BL14" s="55"/>
      <c r="BM14" s="55"/>
      <c r="BN14" s="55"/>
    </row>
    <row r="15" spans="1:110" hidden="1" x14ac:dyDescent="0.2">
      <c r="T15" s="48">
        <v>25329445.940000001</v>
      </c>
      <c r="U15" s="48">
        <v>16231703.439999999</v>
      </c>
      <c r="V15" s="47">
        <f>U15/T15</f>
        <v>0.64082346998230466</v>
      </c>
      <c r="AS15" s="47"/>
    </row>
    <row r="16" spans="1:110" x14ac:dyDescent="0.2">
      <c r="H16" s="51"/>
    </row>
    <row r="19" spans="62:71" x14ac:dyDescent="0.2">
      <c r="BS19" s="47"/>
    </row>
    <row r="23" spans="62:71" x14ac:dyDescent="0.2">
      <c r="BJ23" s="52"/>
      <c r="BK23" s="52"/>
      <c r="BL23" s="52"/>
      <c r="BM23" s="52"/>
      <c r="BN23" s="52"/>
    </row>
    <row r="25" spans="62:71" ht="15.75" x14ac:dyDescent="0.25">
      <c r="BO25" s="54"/>
      <c r="BP25" s="54"/>
      <c r="BQ25" s="54"/>
      <c r="BR25" s="54"/>
    </row>
  </sheetData>
  <autoFilter ref="B4:CR12" xr:uid="{00000000-0009-0000-0000-000000000000}"/>
  <mergeCells count="18">
    <mergeCell ref="B1:CK1"/>
    <mergeCell ref="B13:E13"/>
    <mergeCell ref="L3:L4"/>
    <mergeCell ref="M3:M4"/>
    <mergeCell ref="N3:N4"/>
    <mergeCell ref="W3:BJ3"/>
    <mergeCell ref="P3:V3"/>
    <mergeCell ref="F3:F4"/>
    <mergeCell ref="O3:O4"/>
    <mergeCell ref="K3:K4"/>
    <mergeCell ref="D3:D4"/>
    <mergeCell ref="E3:E4"/>
    <mergeCell ref="BK3:DF3"/>
    <mergeCell ref="A3:A4"/>
    <mergeCell ref="B14:C14"/>
    <mergeCell ref="G3:J3"/>
    <mergeCell ref="C3:C4"/>
    <mergeCell ref="B3:B4"/>
  </mergeCells>
  <phoneticPr fontId="7" type="noConversion"/>
  <conditionalFormatting sqref="T5:T12 AB11:AB12">
    <cfRule type="cellIs" dxfId="209" priority="409" operator="lessThan">
      <formula>0.4</formula>
    </cfRule>
    <cfRule type="cellIs" dxfId="208" priority="410" operator="between">
      <formula>0.4</formula>
      <formula>0.799</formula>
    </cfRule>
    <cfRule type="cellIs" dxfId="207" priority="411" operator="greaterThanOrEqual">
      <formula>0.8</formula>
    </cfRule>
  </conditionalFormatting>
  <conditionalFormatting sqref="AB10">
    <cfRule type="cellIs" dxfId="206" priority="403" operator="lessThan">
      <formula>0.4</formula>
    </cfRule>
    <cfRule type="cellIs" dxfId="205" priority="404" operator="between">
      <formula>0.4</formula>
      <formula>0.799</formula>
    </cfRule>
    <cfRule type="cellIs" dxfId="204" priority="405" operator="greaterThanOrEqual">
      <formula>0.8</formula>
    </cfRule>
  </conditionalFormatting>
  <conditionalFormatting sqref="AH5:AH6">
    <cfRule type="cellIs" dxfId="203" priority="355" operator="lessThan">
      <formula>0.4</formula>
    </cfRule>
    <cfRule type="cellIs" dxfId="202" priority="356" operator="between">
      <formula>0.4</formula>
      <formula>0.799</formula>
    </cfRule>
    <cfRule type="cellIs" dxfId="201" priority="357" operator="greaterThanOrEqual">
      <formula>0.8</formula>
    </cfRule>
  </conditionalFormatting>
  <conditionalFormatting sqref="AB7:AB9">
    <cfRule type="cellIs" dxfId="200" priority="352" operator="lessThan">
      <formula>0.4</formula>
    </cfRule>
    <cfRule type="cellIs" dxfId="199" priority="353" operator="between">
      <formula>0.4</formula>
      <formula>0.799</formula>
    </cfRule>
    <cfRule type="cellIs" dxfId="198" priority="354" operator="greaterThanOrEqual">
      <formula>0.8</formula>
    </cfRule>
  </conditionalFormatting>
  <conditionalFormatting sqref="AE7:AE12">
    <cfRule type="cellIs" dxfId="197" priority="349" operator="lessThan">
      <formula>0.4</formula>
    </cfRule>
    <cfRule type="cellIs" dxfId="196" priority="350" operator="between">
      <formula>0.4</formula>
      <formula>0.799</formula>
    </cfRule>
    <cfRule type="cellIs" dxfId="195" priority="351" operator="greaterThanOrEqual">
      <formula>0.8</formula>
    </cfRule>
  </conditionalFormatting>
  <conditionalFormatting sqref="AH7:AH12">
    <cfRule type="cellIs" dxfId="194" priority="346" operator="lessThan">
      <formula>0.4</formula>
    </cfRule>
    <cfRule type="cellIs" dxfId="193" priority="347" operator="between">
      <formula>0.4</formula>
      <formula>0.799</formula>
    </cfRule>
    <cfRule type="cellIs" dxfId="192" priority="348" operator="greaterThanOrEqual">
      <formula>0.8</formula>
    </cfRule>
  </conditionalFormatting>
  <conditionalFormatting sqref="AB5:AB6">
    <cfRule type="cellIs" dxfId="191" priority="343" operator="lessThan">
      <formula>0.4</formula>
    </cfRule>
    <cfRule type="cellIs" dxfId="190" priority="344" operator="between">
      <formula>0.4</formula>
      <formula>0.799</formula>
    </cfRule>
    <cfRule type="cellIs" dxfId="189" priority="345" operator="greaterThanOrEqual">
      <formula>0.8</formula>
    </cfRule>
  </conditionalFormatting>
  <conditionalFormatting sqref="AE5:AE6">
    <cfRule type="cellIs" dxfId="188" priority="340" operator="lessThan">
      <formula>0.4</formula>
    </cfRule>
    <cfRule type="cellIs" dxfId="187" priority="341" operator="between">
      <formula>0.4</formula>
      <formula>0.799</formula>
    </cfRule>
    <cfRule type="cellIs" dxfId="186" priority="342" operator="greaterThanOrEqual">
      <formula>0.8</formula>
    </cfRule>
  </conditionalFormatting>
  <conditionalFormatting sqref="AK5:AK12">
    <cfRule type="cellIs" dxfId="185" priority="331" operator="lessThan">
      <formula>0.4</formula>
    </cfRule>
    <cfRule type="cellIs" dxfId="184" priority="332" operator="between">
      <formula>0.4</formula>
      <formula>0.799</formula>
    </cfRule>
    <cfRule type="cellIs" dxfId="183" priority="333" operator="greaterThanOrEqual">
      <formula>0.8</formula>
    </cfRule>
  </conditionalFormatting>
  <conditionalFormatting sqref="AN10">
    <cfRule type="cellIs" dxfId="182" priority="328" operator="lessThan">
      <formula>0.4</formula>
    </cfRule>
    <cfRule type="cellIs" dxfId="181" priority="329" operator="between">
      <formula>0.4</formula>
      <formula>0.799</formula>
    </cfRule>
    <cfRule type="cellIs" dxfId="180" priority="330" operator="greaterThanOrEqual">
      <formula>0.8</formula>
    </cfRule>
  </conditionalFormatting>
  <conditionalFormatting sqref="AN8">
    <cfRule type="cellIs" dxfId="179" priority="325" operator="lessThan">
      <formula>0.4</formula>
    </cfRule>
    <cfRule type="cellIs" dxfId="178" priority="326" operator="between">
      <formula>0.4</formula>
      <formula>0.799</formula>
    </cfRule>
    <cfRule type="cellIs" dxfId="177" priority="327" operator="greaterThanOrEqual">
      <formula>0.8</formula>
    </cfRule>
  </conditionalFormatting>
  <conditionalFormatting sqref="AN6:AN7">
    <cfRule type="cellIs" dxfId="176" priority="322" operator="lessThan">
      <formula>0.4</formula>
    </cfRule>
    <cfRule type="cellIs" dxfId="175" priority="323" operator="between">
      <formula>0.4</formula>
      <formula>0.799</formula>
    </cfRule>
    <cfRule type="cellIs" dxfId="174" priority="324" operator="greaterThanOrEqual">
      <formula>0.8</formula>
    </cfRule>
  </conditionalFormatting>
  <conditionalFormatting sqref="AN5">
    <cfRule type="cellIs" dxfId="173" priority="319" operator="lessThan">
      <formula>0.4</formula>
    </cfRule>
    <cfRule type="cellIs" dxfId="172" priority="320" operator="between">
      <formula>0.4</formula>
      <formula>0.799</formula>
    </cfRule>
    <cfRule type="cellIs" dxfId="171" priority="321" operator="greaterThanOrEqual">
      <formula>0.8</formula>
    </cfRule>
  </conditionalFormatting>
  <conditionalFormatting sqref="AN9">
    <cfRule type="cellIs" dxfId="170" priority="316" operator="lessThan">
      <formula>0.4</formula>
    </cfRule>
    <cfRule type="cellIs" dxfId="169" priority="317" operator="between">
      <formula>0.4</formula>
      <formula>0.799</formula>
    </cfRule>
    <cfRule type="cellIs" dxfId="168" priority="318" operator="greaterThanOrEqual">
      <formula>0.8</formula>
    </cfRule>
  </conditionalFormatting>
  <conditionalFormatting sqref="AN12">
    <cfRule type="cellIs" dxfId="167" priority="313" operator="lessThan">
      <formula>0.4</formula>
    </cfRule>
    <cfRule type="cellIs" dxfId="166" priority="314" operator="between">
      <formula>0.4</formula>
      <formula>0.799</formula>
    </cfRule>
    <cfRule type="cellIs" dxfId="165" priority="315" operator="greaterThanOrEqual">
      <formula>0.8</formula>
    </cfRule>
  </conditionalFormatting>
  <conditionalFormatting sqref="AN11">
    <cfRule type="cellIs" dxfId="164" priority="310" operator="lessThan">
      <formula>0.4</formula>
    </cfRule>
    <cfRule type="cellIs" dxfId="163" priority="311" operator="between">
      <formula>0.4</formula>
      <formula>0.799</formula>
    </cfRule>
    <cfRule type="cellIs" dxfId="162" priority="312" operator="greaterThanOrEqual">
      <formula>0.8</formula>
    </cfRule>
  </conditionalFormatting>
  <conditionalFormatting sqref="AQ11:AQ12">
    <cfRule type="cellIs" dxfId="161" priority="307" operator="lessThan">
      <formula>0.4</formula>
    </cfRule>
    <cfRule type="cellIs" dxfId="160" priority="308" operator="between">
      <formula>0.4</formula>
      <formula>0.799</formula>
    </cfRule>
    <cfRule type="cellIs" dxfId="159" priority="309" operator="greaterThanOrEqual">
      <formula>0.8</formula>
    </cfRule>
  </conditionalFormatting>
  <conditionalFormatting sqref="AQ5:AQ10">
    <cfRule type="cellIs" dxfId="158" priority="301" operator="lessThan">
      <formula>0.4</formula>
    </cfRule>
    <cfRule type="cellIs" dxfId="157" priority="302" operator="between">
      <formula>0.4</formula>
      <formula>0.799</formula>
    </cfRule>
    <cfRule type="cellIs" dxfId="156" priority="303" operator="greaterThanOrEqual">
      <formula>0.8</formula>
    </cfRule>
  </conditionalFormatting>
  <conditionalFormatting sqref="AT9">
    <cfRule type="cellIs" dxfId="155" priority="292" operator="lessThan">
      <formula>0.4</formula>
    </cfRule>
    <cfRule type="cellIs" dxfId="154" priority="293" operator="between">
      <formula>0.4</formula>
      <formula>0.799</formula>
    </cfRule>
    <cfRule type="cellIs" dxfId="153" priority="294" operator="greaterThanOrEqual">
      <formula>0.8</formula>
    </cfRule>
  </conditionalFormatting>
  <conditionalFormatting sqref="AT11">
    <cfRule type="cellIs" dxfId="152" priority="289" operator="lessThan">
      <formula>0.4</formula>
    </cfRule>
    <cfRule type="cellIs" dxfId="151" priority="290" operator="between">
      <formula>0.4</formula>
      <formula>0.799</formula>
    </cfRule>
    <cfRule type="cellIs" dxfId="150" priority="291" operator="greaterThanOrEqual">
      <formula>0.8</formula>
    </cfRule>
  </conditionalFormatting>
  <conditionalFormatting sqref="AT5">
    <cfRule type="cellIs" dxfId="149" priority="286" operator="lessThan">
      <formula>0.4</formula>
    </cfRule>
    <cfRule type="cellIs" dxfId="148" priority="287" operator="between">
      <formula>0.4</formula>
      <formula>0.799</formula>
    </cfRule>
    <cfRule type="cellIs" dxfId="147" priority="288" operator="greaterThanOrEqual">
      <formula>0.8</formula>
    </cfRule>
  </conditionalFormatting>
  <conditionalFormatting sqref="AT7">
    <cfRule type="cellIs" dxfId="146" priority="283" operator="lessThan">
      <formula>0.4</formula>
    </cfRule>
    <cfRule type="cellIs" dxfId="145" priority="284" operator="between">
      <formula>0.4</formula>
      <formula>0.799</formula>
    </cfRule>
    <cfRule type="cellIs" dxfId="144" priority="285" operator="greaterThanOrEqual">
      <formula>0.8</formula>
    </cfRule>
  </conditionalFormatting>
  <conditionalFormatting sqref="AT6">
    <cfRule type="cellIs" dxfId="143" priority="277" operator="lessThan">
      <formula>0.4</formula>
    </cfRule>
    <cfRule type="cellIs" dxfId="142" priority="278" operator="between">
      <formula>0.4</formula>
      <formula>0.799</formula>
    </cfRule>
    <cfRule type="cellIs" dxfId="141" priority="279" operator="greaterThanOrEqual">
      <formula>0.8</formula>
    </cfRule>
  </conditionalFormatting>
  <conditionalFormatting sqref="AT8">
    <cfRule type="cellIs" dxfId="140" priority="274" operator="lessThan">
      <formula>0.4</formula>
    </cfRule>
    <cfRule type="cellIs" dxfId="139" priority="275" operator="between">
      <formula>0.4</formula>
      <formula>0.799</formula>
    </cfRule>
    <cfRule type="cellIs" dxfId="138" priority="276" operator="greaterThanOrEqual">
      <formula>0.8</formula>
    </cfRule>
  </conditionalFormatting>
  <conditionalFormatting sqref="AT10">
    <cfRule type="cellIs" dxfId="137" priority="271" operator="lessThan">
      <formula>0.4</formula>
    </cfRule>
    <cfRule type="cellIs" dxfId="136" priority="272" operator="between">
      <formula>0.4</formula>
      <formula>0.799</formula>
    </cfRule>
    <cfRule type="cellIs" dxfId="135" priority="273" operator="greaterThanOrEqual">
      <formula>0.8</formula>
    </cfRule>
  </conditionalFormatting>
  <conditionalFormatting sqref="AT12">
    <cfRule type="cellIs" dxfId="134" priority="268" operator="lessThan">
      <formula>0.4</formula>
    </cfRule>
    <cfRule type="cellIs" dxfId="133" priority="269" operator="between">
      <formula>0.4</formula>
      <formula>0.799</formula>
    </cfRule>
    <cfRule type="cellIs" dxfId="132" priority="270" operator="greaterThanOrEqual">
      <formula>0.8</formula>
    </cfRule>
  </conditionalFormatting>
  <conditionalFormatting sqref="AW11">
    <cfRule type="cellIs" dxfId="131" priority="265" operator="lessThan">
      <formula>0.4</formula>
    </cfRule>
    <cfRule type="cellIs" dxfId="130" priority="266" operator="between">
      <formula>0.4</formula>
      <formula>0.799</formula>
    </cfRule>
    <cfRule type="cellIs" dxfId="129" priority="267" operator="greaterThanOrEqual">
      <formula>0.8</formula>
    </cfRule>
  </conditionalFormatting>
  <conditionalFormatting sqref="AW12">
    <cfRule type="cellIs" dxfId="128" priority="262" operator="lessThan">
      <formula>0.4</formula>
    </cfRule>
    <cfRule type="cellIs" dxfId="127" priority="263" operator="between">
      <formula>0.4</formula>
      <formula>0.799</formula>
    </cfRule>
    <cfRule type="cellIs" dxfId="126" priority="264" operator="greaterThanOrEqual">
      <formula>0.8</formula>
    </cfRule>
  </conditionalFormatting>
  <conditionalFormatting sqref="AW9">
    <cfRule type="cellIs" dxfId="125" priority="259" operator="lessThan">
      <formula>0.4</formula>
    </cfRule>
    <cfRule type="cellIs" dxfId="124" priority="260" operator="between">
      <formula>0.4</formula>
      <formula>0.799</formula>
    </cfRule>
    <cfRule type="cellIs" dxfId="123" priority="261" operator="greaterThanOrEqual">
      <formula>0.8</formula>
    </cfRule>
  </conditionalFormatting>
  <conditionalFormatting sqref="AW6">
    <cfRule type="cellIs" dxfId="122" priority="256" operator="lessThan">
      <formula>0.4</formula>
    </cfRule>
    <cfRule type="cellIs" dxfId="121" priority="257" operator="between">
      <formula>0.4</formula>
      <formula>0.799</formula>
    </cfRule>
    <cfRule type="cellIs" dxfId="120" priority="258" operator="greaterThanOrEqual">
      <formula>0.8</formula>
    </cfRule>
  </conditionalFormatting>
  <conditionalFormatting sqref="AW8">
    <cfRule type="cellIs" dxfId="119" priority="253" operator="lessThan">
      <formula>0.4</formula>
    </cfRule>
    <cfRule type="cellIs" dxfId="118" priority="254" operator="between">
      <formula>0.4</formula>
      <formula>0.799</formula>
    </cfRule>
    <cfRule type="cellIs" dxfId="117" priority="255" operator="greaterThanOrEqual">
      <formula>0.8</formula>
    </cfRule>
  </conditionalFormatting>
  <conditionalFormatting sqref="AW10">
    <cfRule type="cellIs" dxfId="116" priority="250" operator="lessThan">
      <formula>0.4</formula>
    </cfRule>
    <cfRule type="cellIs" dxfId="115" priority="251" operator="between">
      <formula>0.4</formula>
      <formula>0.799</formula>
    </cfRule>
    <cfRule type="cellIs" dxfId="114" priority="252" operator="greaterThanOrEqual">
      <formula>0.8</formula>
    </cfRule>
  </conditionalFormatting>
  <conditionalFormatting sqref="AW5">
    <cfRule type="cellIs" dxfId="113" priority="247" operator="lessThan">
      <formula>0.4</formula>
    </cfRule>
    <cfRule type="cellIs" dxfId="112" priority="248" operator="between">
      <formula>0.4</formula>
      <formula>0.799</formula>
    </cfRule>
    <cfRule type="cellIs" dxfId="111" priority="249" operator="greaterThanOrEqual">
      <formula>0.8</formula>
    </cfRule>
  </conditionalFormatting>
  <conditionalFormatting sqref="AW7">
    <cfRule type="cellIs" dxfId="110" priority="244" operator="lessThan">
      <formula>0.4</formula>
    </cfRule>
    <cfRule type="cellIs" dxfId="109" priority="245" operator="between">
      <formula>0.4</formula>
      <formula>0.799</formula>
    </cfRule>
    <cfRule type="cellIs" dxfId="108" priority="246" operator="greaterThanOrEqual">
      <formula>0.8</formula>
    </cfRule>
  </conditionalFormatting>
  <conditionalFormatting sqref="AZ11">
    <cfRule type="cellIs" dxfId="107" priority="241" operator="lessThan">
      <formula>0.4</formula>
    </cfRule>
    <cfRule type="cellIs" dxfId="106" priority="242" operator="between">
      <formula>0.4</formula>
      <formula>0.799</formula>
    </cfRule>
    <cfRule type="cellIs" dxfId="105" priority="243" operator="greaterThanOrEqual">
      <formula>0.8</formula>
    </cfRule>
  </conditionalFormatting>
  <conditionalFormatting sqref="AZ12">
    <cfRule type="cellIs" dxfId="104" priority="238" operator="lessThan">
      <formula>0.4</formula>
    </cfRule>
    <cfRule type="cellIs" dxfId="103" priority="239" operator="between">
      <formula>0.4</formula>
      <formula>0.799</formula>
    </cfRule>
    <cfRule type="cellIs" dxfId="102" priority="240" operator="greaterThanOrEqual">
      <formula>0.8</formula>
    </cfRule>
  </conditionalFormatting>
  <conditionalFormatting sqref="AZ9">
    <cfRule type="cellIs" dxfId="101" priority="235" operator="lessThan">
      <formula>0.4</formula>
    </cfRule>
    <cfRule type="cellIs" dxfId="100" priority="236" operator="between">
      <formula>0.4</formula>
      <formula>0.799</formula>
    </cfRule>
    <cfRule type="cellIs" dxfId="99" priority="237" operator="greaterThanOrEqual">
      <formula>0.8</formula>
    </cfRule>
  </conditionalFormatting>
  <conditionalFormatting sqref="AZ6">
    <cfRule type="cellIs" dxfId="98" priority="232" operator="lessThan">
      <formula>0.4</formula>
    </cfRule>
    <cfRule type="cellIs" dxfId="97" priority="233" operator="between">
      <formula>0.4</formula>
      <formula>0.799</formula>
    </cfRule>
    <cfRule type="cellIs" dxfId="96" priority="234" operator="greaterThanOrEqual">
      <formula>0.8</formula>
    </cfRule>
  </conditionalFormatting>
  <conditionalFormatting sqref="AZ8">
    <cfRule type="cellIs" dxfId="95" priority="229" operator="lessThan">
      <formula>0.4</formula>
    </cfRule>
    <cfRule type="cellIs" dxfId="94" priority="230" operator="between">
      <formula>0.4</formula>
      <formula>0.799</formula>
    </cfRule>
    <cfRule type="cellIs" dxfId="93" priority="231" operator="greaterThanOrEqual">
      <formula>0.8</formula>
    </cfRule>
  </conditionalFormatting>
  <conditionalFormatting sqref="AZ10">
    <cfRule type="cellIs" dxfId="92" priority="226" operator="lessThan">
      <formula>0.4</formula>
    </cfRule>
    <cfRule type="cellIs" dxfId="91" priority="227" operator="between">
      <formula>0.4</formula>
      <formula>0.799</formula>
    </cfRule>
    <cfRule type="cellIs" dxfId="90" priority="228" operator="greaterThanOrEqual">
      <formula>0.8</formula>
    </cfRule>
  </conditionalFormatting>
  <conditionalFormatting sqref="AZ5">
    <cfRule type="cellIs" dxfId="89" priority="223" operator="lessThan">
      <formula>0.4</formula>
    </cfRule>
    <cfRule type="cellIs" dxfId="88" priority="224" operator="between">
      <formula>0.4</formula>
      <formula>0.799</formula>
    </cfRule>
    <cfRule type="cellIs" dxfId="87" priority="225" operator="greaterThanOrEqual">
      <formula>0.8</formula>
    </cfRule>
  </conditionalFormatting>
  <conditionalFormatting sqref="AZ7">
    <cfRule type="cellIs" dxfId="86" priority="220" operator="lessThan">
      <formula>0.4</formula>
    </cfRule>
    <cfRule type="cellIs" dxfId="85" priority="221" operator="between">
      <formula>0.4</formula>
      <formula>0.799</formula>
    </cfRule>
    <cfRule type="cellIs" dxfId="84" priority="222" operator="greaterThanOrEqual">
      <formula>0.8</formula>
    </cfRule>
  </conditionalFormatting>
  <conditionalFormatting sqref="BR9">
    <cfRule type="cellIs" dxfId="83" priority="202" operator="lessThan">
      <formula>0.4</formula>
    </cfRule>
    <cfRule type="cellIs" dxfId="82" priority="203" operator="between">
      <formula>0.4</formula>
      <formula>0.799</formula>
    </cfRule>
    <cfRule type="cellIs" dxfId="81" priority="204" operator="greaterThanOrEqual">
      <formula>0.8</formula>
    </cfRule>
  </conditionalFormatting>
  <conditionalFormatting sqref="BF6 BH6">
    <cfRule type="cellIs" dxfId="80" priority="184" operator="lessThan">
      <formula>0.4</formula>
    </cfRule>
    <cfRule type="cellIs" dxfId="79" priority="185" operator="between">
      <formula>0.4</formula>
      <formula>0.799</formula>
    </cfRule>
    <cfRule type="cellIs" dxfId="78" priority="186" operator="greaterThanOrEqual">
      <formula>0.8</formula>
    </cfRule>
  </conditionalFormatting>
  <conditionalFormatting sqref="BF8:BH8">
    <cfRule type="cellIs" dxfId="77" priority="181" operator="lessThan">
      <formula>0.4</formula>
    </cfRule>
    <cfRule type="cellIs" dxfId="76" priority="182" operator="between">
      <formula>0.4</formula>
      <formula>0.799</formula>
    </cfRule>
    <cfRule type="cellIs" dxfId="75" priority="183" operator="greaterThanOrEqual">
      <formula>0.8</formula>
    </cfRule>
  </conditionalFormatting>
  <conditionalFormatting sqref="BF10:BH10">
    <cfRule type="cellIs" dxfId="74" priority="178" operator="lessThan">
      <formula>0.4</formula>
    </cfRule>
    <cfRule type="cellIs" dxfId="73" priority="179" operator="between">
      <formula>0.4</formula>
      <formula>0.799</formula>
    </cfRule>
    <cfRule type="cellIs" dxfId="72" priority="180" operator="greaterThanOrEqual">
      <formula>0.8</formula>
    </cfRule>
  </conditionalFormatting>
  <conditionalFormatting sqref="BF5 BF7">
    <cfRule type="cellIs" dxfId="71" priority="175" operator="lessThan">
      <formula>0.4</formula>
    </cfRule>
    <cfRule type="cellIs" dxfId="70" priority="176" operator="between">
      <formula>0.4</formula>
      <formula>0.799</formula>
    </cfRule>
    <cfRule type="cellIs" dxfId="69" priority="177" operator="greaterThanOrEqual">
      <formula>0.8</formula>
    </cfRule>
  </conditionalFormatting>
  <conditionalFormatting sqref="BF11">
    <cfRule type="cellIs" dxfId="68" priority="169" operator="lessThan">
      <formula>0.4</formula>
    </cfRule>
    <cfRule type="cellIs" dxfId="67" priority="170" operator="between">
      <formula>0.4</formula>
      <formula>0.799</formula>
    </cfRule>
    <cfRule type="cellIs" dxfId="66" priority="171" operator="greaterThanOrEqual">
      <formula>0.8</formula>
    </cfRule>
  </conditionalFormatting>
  <conditionalFormatting sqref="BF12">
    <cfRule type="cellIs" dxfId="65" priority="166" operator="lessThan">
      <formula>0.4</formula>
    </cfRule>
    <cfRule type="cellIs" dxfId="64" priority="167" operator="between">
      <formula>0.4</formula>
      <formula>0.799</formula>
    </cfRule>
    <cfRule type="cellIs" dxfId="63" priority="168" operator="greaterThanOrEqual">
      <formula>0.8</formula>
    </cfRule>
  </conditionalFormatting>
  <conditionalFormatting sqref="BF9">
    <cfRule type="cellIs" dxfId="62" priority="163" operator="lessThan">
      <formula>0.4</formula>
    </cfRule>
    <cfRule type="cellIs" dxfId="61" priority="164" operator="between">
      <formula>0.4</formula>
      <formula>0.799</formula>
    </cfRule>
    <cfRule type="cellIs" dxfId="60" priority="165" operator="greaterThanOrEqual">
      <formula>0.8</formula>
    </cfRule>
  </conditionalFormatting>
  <conditionalFormatting sqref="BR5 BR7">
    <cfRule type="cellIs" dxfId="59" priority="160" operator="lessThan">
      <formula>0.4</formula>
    </cfRule>
    <cfRule type="cellIs" dxfId="58" priority="161" operator="between">
      <formula>0.4</formula>
      <formula>0.799</formula>
    </cfRule>
    <cfRule type="cellIs" dxfId="57" priority="162" operator="greaterThanOrEqual">
      <formula>0.8</formula>
    </cfRule>
  </conditionalFormatting>
  <conditionalFormatting sqref="BR10">
    <cfRule type="cellIs" dxfId="56" priority="157" operator="lessThan">
      <formula>0.4</formula>
    </cfRule>
    <cfRule type="cellIs" dxfId="55" priority="158" operator="between">
      <formula>0.4</formula>
      <formula>0.799</formula>
    </cfRule>
    <cfRule type="cellIs" dxfId="54" priority="159" operator="greaterThanOrEqual">
      <formula>0.8</formula>
    </cfRule>
  </conditionalFormatting>
  <conditionalFormatting sqref="BY5 BY7">
    <cfRule type="cellIs" dxfId="53" priority="154" operator="lessThan">
      <formula>0.4</formula>
    </cfRule>
    <cfRule type="cellIs" dxfId="52" priority="155" operator="between">
      <formula>0.4</formula>
      <formula>0.799</formula>
    </cfRule>
    <cfRule type="cellIs" dxfId="51" priority="156" operator="greaterThanOrEqual">
      <formula>0.8</formula>
    </cfRule>
  </conditionalFormatting>
  <conditionalFormatting sqref="BY9">
    <cfRule type="cellIs" dxfId="50" priority="148" operator="lessThan">
      <formula>0.4</formula>
    </cfRule>
    <cfRule type="cellIs" dxfId="49" priority="149" operator="between">
      <formula>0.4</formula>
      <formula>0.799</formula>
    </cfRule>
    <cfRule type="cellIs" dxfId="48" priority="150" operator="greaterThanOrEqual">
      <formula>0.8</formula>
    </cfRule>
  </conditionalFormatting>
  <conditionalFormatting sqref="BY6 BY8">
    <cfRule type="cellIs" dxfId="47" priority="145" operator="lessThan">
      <formula>0.4</formula>
    </cfRule>
    <cfRule type="cellIs" dxfId="46" priority="146" operator="between">
      <formula>0.4</formula>
      <formula>0.799</formula>
    </cfRule>
    <cfRule type="cellIs" dxfId="45" priority="147" operator="greaterThanOrEqual">
      <formula>0.8</formula>
    </cfRule>
  </conditionalFormatting>
  <conditionalFormatting sqref="BY10">
    <cfRule type="cellIs" dxfId="44" priority="142" operator="lessThan">
      <formula>0.4</formula>
    </cfRule>
    <cfRule type="cellIs" dxfId="43" priority="143" operator="between">
      <formula>0.4</formula>
      <formula>0.799</formula>
    </cfRule>
    <cfRule type="cellIs" dxfId="42" priority="144" operator="greaterThanOrEqual">
      <formula>0.8</formula>
    </cfRule>
  </conditionalFormatting>
  <conditionalFormatting sqref="BR6">
    <cfRule type="cellIs" dxfId="41" priority="127" operator="lessThan">
      <formula>0.4</formula>
    </cfRule>
    <cfRule type="cellIs" dxfId="40" priority="128" operator="between">
      <formula>0.4</formula>
      <formula>0.799</formula>
    </cfRule>
    <cfRule type="cellIs" dxfId="39" priority="129" operator="greaterThanOrEqual">
      <formula>0.8</formula>
    </cfRule>
  </conditionalFormatting>
  <conditionalFormatting sqref="BR8">
    <cfRule type="cellIs" dxfId="38" priority="124" operator="lessThan">
      <formula>0.4</formula>
    </cfRule>
    <cfRule type="cellIs" dxfId="37" priority="125" operator="between">
      <formula>0.4</formula>
      <formula>0.799</formula>
    </cfRule>
    <cfRule type="cellIs" dxfId="36" priority="126" operator="greaterThanOrEqual">
      <formula>0.8</formula>
    </cfRule>
  </conditionalFormatting>
  <conditionalFormatting sqref="CF5:CF9">
    <cfRule type="cellIs" dxfId="35" priority="121" operator="lessThan">
      <formula>0.4</formula>
    </cfRule>
    <cfRule type="cellIs" dxfId="34" priority="122" operator="between">
      <formula>0.4</formula>
      <formula>0.799</formula>
    </cfRule>
    <cfRule type="cellIs" dxfId="33" priority="123" operator="greaterThanOrEqual">
      <formula>0.8</formula>
    </cfRule>
  </conditionalFormatting>
  <conditionalFormatting sqref="CF10">
    <cfRule type="cellIs" dxfId="32" priority="115" operator="lessThan">
      <formula>0.4</formula>
    </cfRule>
    <cfRule type="cellIs" dxfId="31" priority="116" operator="between">
      <formula>0.4</formula>
      <formula>0.799</formula>
    </cfRule>
    <cfRule type="cellIs" dxfId="30" priority="117" operator="greaterThanOrEqual">
      <formula>0.8</formula>
    </cfRule>
  </conditionalFormatting>
  <conditionalFormatting sqref="BR11">
    <cfRule type="cellIs" dxfId="29" priority="112" operator="lessThan">
      <formula>0.4</formula>
    </cfRule>
    <cfRule type="cellIs" dxfId="28" priority="113" operator="between">
      <formula>0.4</formula>
      <formula>0.799</formula>
    </cfRule>
    <cfRule type="cellIs" dxfId="27" priority="114" operator="greaterThanOrEqual">
      <formula>0.8</formula>
    </cfRule>
  </conditionalFormatting>
  <conditionalFormatting sqref="BY11">
    <cfRule type="cellIs" dxfId="26" priority="109" operator="lessThan">
      <formula>0.4</formula>
    </cfRule>
    <cfRule type="cellIs" dxfId="25" priority="110" operator="between">
      <formula>0.4</formula>
      <formula>0.799</formula>
    </cfRule>
    <cfRule type="cellIs" dxfId="24" priority="111" operator="greaterThanOrEqual">
      <formula>0.8</formula>
    </cfRule>
  </conditionalFormatting>
  <conditionalFormatting sqref="CF11">
    <cfRule type="cellIs" dxfId="23" priority="106" operator="lessThan">
      <formula>0.4</formula>
    </cfRule>
    <cfRule type="cellIs" dxfId="22" priority="107" operator="between">
      <formula>0.4</formula>
      <formula>0.799</formula>
    </cfRule>
    <cfRule type="cellIs" dxfId="21" priority="108" operator="greaterThanOrEqual">
      <formula>0.8</formula>
    </cfRule>
  </conditionalFormatting>
  <conditionalFormatting sqref="CF12">
    <cfRule type="cellIs" dxfId="20" priority="103" operator="lessThan">
      <formula>0.4</formula>
    </cfRule>
    <cfRule type="cellIs" dxfId="19" priority="104" operator="between">
      <formula>0.4</formula>
      <formula>0.799</formula>
    </cfRule>
    <cfRule type="cellIs" dxfId="18" priority="105" operator="greaterThanOrEqual">
      <formula>0.8</formula>
    </cfRule>
  </conditionalFormatting>
  <conditionalFormatting sqref="BR12">
    <cfRule type="cellIs" dxfId="17" priority="100" operator="lessThan">
      <formula>0.4</formula>
    </cfRule>
    <cfRule type="cellIs" dxfId="16" priority="101" operator="between">
      <formula>0.4</formula>
      <formula>0.799</formula>
    </cfRule>
    <cfRule type="cellIs" dxfId="15" priority="102" operator="greaterThanOrEqual">
      <formula>0.8</formula>
    </cfRule>
  </conditionalFormatting>
  <conditionalFormatting sqref="BY12">
    <cfRule type="cellIs" dxfId="14" priority="97" operator="lessThan">
      <formula>0.4</formula>
    </cfRule>
    <cfRule type="cellIs" dxfId="13" priority="98" operator="between">
      <formula>0.4</formula>
      <formula>0.799</formula>
    </cfRule>
    <cfRule type="cellIs" dxfId="12" priority="99" operator="greaterThanOrEqual">
      <formula>0.8</formula>
    </cfRule>
  </conditionalFormatting>
  <conditionalFormatting sqref="CM5:CM12">
    <cfRule type="cellIs" dxfId="11" priority="34" operator="lessThan">
      <formula>0.4</formula>
    </cfRule>
    <cfRule type="cellIs" dxfId="10" priority="35" operator="between">
      <formula>0.4</formula>
      <formula>0.799</formula>
    </cfRule>
    <cfRule type="cellIs" dxfId="9" priority="36" operator="greaterThanOrEqual">
      <formula>0.8</formula>
    </cfRule>
  </conditionalFormatting>
  <conditionalFormatting sqref="CT5:CT12">
    <cfRule type="cellIs" dxfId="8" priority="10" operator="lessThan">
      <formula>0.4</formula>
    </cfRule>
    <cfRule type="cellIs" dxfId="7" priority="11" operator="between">
      <formula>0.4</formula>
      <formula>0.799</formula>
    </cfRule>
    <cfRule type="cellIs" dxfId="6" priority="12" operator="greaterThanOrEqual">
      <formula>0.8</formula>
    </cfRule>
  </conditionalFormatting>
  <conditionalFormatting sqref="DA5:DA11">
    <cfRule type="cellIs" dxfId="5" priority="7" operator="lessThan">
      <formula>0.4</formula>
    </cfRule>
    <cfRule type="cellIs" dxfId="4" priority="8" operator="between">
      <formula>0.4</formula>
      <formula>0.799</formula>
    </cfRule>
    <cfRule type="cellIs" dxfId="3" priority="9" operator="greaterThanOrEqual">
      <formula>0.8</formula>
    </cfRule>
  </conditionalFormatting>
  <conditionalFormatting sqref="DA12">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ignoredErrors>
    <ignoredError sqref="CP8"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showGridLines="0" tabSelected="1" topLeftCell="A2" zoomScale="42" zoomScaleNormal="42" workbookViewId="0">
      <pane xSplit="3" ySplit="4" topLeftCell="D6" activePane="bottomRight" state="frozen"/>
      <selection activeCell="A2" sqref="A2"/>
      <selection pane="topRight" activeCell="C2" sqref="C2"/>
      <selection pane="bottomLeft" activeCell="A4" sqref="A4"/>
      <selection pane="bottomRight" activeCell="G7" sqref="G7"/>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28.28515625" style="1" customWidth="1"/>
    <col min="6" max="6" width="21.42578125" style="1" customWidth="1"/>
    <col min="7" max="7" width="26.140625" style="1" customWidth="1"/>
    <col min="8" max="8" width="22.5703125" style="1" customWidth="1"/>
    <col min="9" max="9" width="26" style="1" customWidth="1"/>
    <col min="10" max="10" width="21.85546875" style="1" customWidth="1"/>
    <col min="11" max="11" width="26.28515625" style="1" customWidth="1"/>
    <col min="12" max="12" width="21.5703125" style="1" customWidth="1"/>
    <col min="13" max="13" width="27.85546875" style="1" customWidth="1"/>
    <col min="14" max="14" width="22.5703125" style="1" customWidth="1"/>
    <col min="15" max="15" width="32.7109375" style="1" customWidth="1"/>
    <col min="16" max="16" width="70.5703125" style="1" customWidth="1"/>
    <col min="17" max="17" width="31.7109375" style="1" customWidth="1"/>
    <col min="18" max="18" width="37.28515625" style="1" customWidth="1"/>
    <col min="19" max="19" width="43.28515625" style="1" customWidth="1"/>
    <col min="20" max="16384" width="11.42578125" style="1"/>
  </cols>
  <sheetData>
    <row r="1" spans="1:19" ht="178.5" customHeight="1" thickBot="1" x14ac:dyDescent="0.25">
      <c r="B1" s="254" t="s">
        <v>27</v>
      </c>
      <c r="C1" s="255"/>
      <c r="D1" s="255"/>
      <c r="E1" s="255"/>
      <c r="F1" s="255"/>
      <c r="G1" s="255"/>
      <c r="H1" s="255"/>
      <c r="I1" s="255"/>
      <c r="J1" s="255"/>
      <c r="K1" s="255"/>
      <c r="L1" s="255"/>
      <c r="M1" s="255"/>
      <c r="N1" s="255"/>
      <c r="O1" s="255"/>
      <c r="P1" s="255"/>
      <c r="Q1" s="255"/>
      <c r="R1" s="255"/>
    </row>
    <row r="2" spans="1:19" s="162" customFormat="1" ht="286.5" customHeight="1" thickBot="1" x14ac:dyDescent="0.3"/>
    <row r="3" spans="1:19" s="162" customFormat="1" ht="51" customHeight="1" thickBot="1" x14ac:dyDescent="0.3">
      <c r="A3" s="282" t="s">
        <v>218</v>
      </c>
      <c r="B3" s="282" t="s">
        <v>0</v>
      </c>
      <c r="C3" s="257" t="s">
        <v>8</v>
      </c>
      <c r="D3" s="257" t="s">
        <v>1</v>
      </c>
      <c r="E3" s="279" t="s">
        <v>257</v>
      </c>
      <c r="F3" s="280"/>
      <c r="G3" s="280"/>
      <c r="H3" s="280"/>
      <c r="I3" s="280"/>
      <c r="J3" s="280"/>
      <c r="K3" s="280"/>
      <c r="L3" s="281"/>
      <c r="M3" s="261" t="s">
        <v>258</v>
      </c>
      <c r="N3" s="276"/>
      <c r="O3" s="257" t="s">
        <v>260</v>
      </c>
      <c r="P3" s="257" t="s">
        <v>259</v>
      </c>
      <c r="Q3" s="257" t="s">
        <v>19</v>
      </c>
      <c r="R3" s="257" t="s">
        <v>44</v>
      </c>
      <c r="S3" s="257" t="s">
        <v>262</v>
      </c>
    </row>
    <row r="4" spans="1:19" ht="44.25" customHeight="1" thickBot="1" x14ac:dyDescent="0.25">
      <c r="A4" s="283"/>
      <c r="B4" s="283"/>
      <c r="C4" s="274"/>
      <c r="D4" s="274"/>
      <c r="E4" s="279">
        <v>2019</v>
      </c>
      <c r="F4" s="281"/>
      <c r="G4" s="279">
        <v>2020</v>
      </c>
      <c r="H4" s="281"/>
      <c r="I4" s="279">
        <v>2021</v>
      </c>
      <c r="J4" s="281"/>
      <c r="K4" s="279">
        <v>2022</v>
      </c>
      <c r="L4" s="281"/>
      <c r="M4" s="277"/>
      <c r="N4" s="278"/>
      <c r="O4" s="274"/>
      <c r="P4" s="274"/>
      <c r="Q4" s="274"/>
      <c r="R4" s="274"/>
      <c r="S4" s="274"/>
    </row>
    <row r="5" spans="1:19" ht="79.5" customHeight="1" thickBot="1" x14ac:dyDescent="0.25">
      <c r="A5" s="284"/>
      <c r="B5" s="284"/>
      <c r="C5" s="258"/>
      <c r="D5" s="258"/>
      <c r="E5" s="216" t="s">
        <v>256</v>
      </c>
      <c r="F5" s="216" t="s">
        <v>255</v>
      </c>
      <c r="G5" s="216" t="s">
        <v>256</v>
      </c>
      <c r="H5" s="216" t="s">
        <v>255</v>
      </c>
      <c r="I5" s="216" t="s">
        <v>256</v>
      </c>
      <c r="J5" s="216" t="s">
        <v>255</v>
      </c>
      <c r="K5" s="238" t="s">
        <v>256</v>
      </c>
      <c r="L5" s="238" t="s">
        <v>255</v>
      </c>
      <c r="M5" s="238" t="s">
        <v>256</v>
      </c>
      <c r="N5" s="239" t="s">
        <v>255</v>
      </c>
      <c r="O5" s="274"/>
      <c r="P5" s="274"/>
      <c r="Q5" s="274"/>
      <c r="R5" s="274"/>
      <c r="S5" s="274"/>
    </row>
    <row r="6" spans="1:19" s="217" customFormat="1" ht="207.75" customHeight="1" x14ac:dyDescent="0.2">
      <c r="A6" s="218">
        <v>1</v>
      </c>
      <c r="B6" s="220" t="s">
        <v>18</v>
      </c>
      <c r="C6" s="220" t="s">
        <v>191</v>
      </c>
      <c r="D6" s="220" t="s">
        <v>3</v>
      </c>
      <c r="E6" s="240">
        <v>4.9000000000000002E-2</v>
      </c>
      <c r="F6" s="240">
        <v>4.9000000000000002E-2</v>
      </c>
      <c r="G6" s="240">
        <v>0.249</v>
      </c>
      <c r="H6" s="240">
        <v>0.1666</v>
      </c>
      <c r="I6" s="240">
        <v>0.51900000000000002</v>
      </c>
      <c r="J6" s="240">
        <v>0.31640000000000001</v>
      </c>
      <c r="K6" s="224">
        <v>0.61899999999999999</v>
      </c>
      <c r="L6" s="228">
        <v>0.6411</v>
      </c>
      <c r="M6" s="228">
        <v>0.61899999999999999</v>
      </c>
      <c r="N6" s="228">
        <v>0.6411</v>
      </c>
      <c r="O6" s="225">
        <v>1.03</v>
      </c>
      <c r="P6" s="220" t="s">
        <v>261</v>
      </c>
      <c r="Q6" s="220" t="s">
        <v>224</v>
      </c>
      <c r="R6" s="220" t="s">
        <v>45</v>
      </c>
      <c r="S6" s="220" t="s">
        <v>263</v>
      </c>
    </row>
    <row r="7" spans="1:19" ht="409.5" customHeight="1" x14ac:dyDescent="0.2">
      <c r="A7" s="221">
        <v>2</v>
      </c>
      <c r="B7" s="220" t="s">
        <v>18</v>
      </c>
      <c r="C7" s="220" t="s">
        <v>148</v>
      </c>
      <c r="D7" s="223" t="s">
        <v>3</v>
      </c>
      <c r="E7" s="224">
        <v>8.5000000000000006E-2</v>
      </c>
      <c r="F7" s="228">
        <v>2.2499999999999999E-2</v>
      </c>
      <c r="G7" s="228">
        <v>0.20100000000000001</v>
      </c>
      <c r="H7" s="228">
        <v>0.15390000000000001</v>
      </c>
      <c r="I7" s="228">
        <v>0.35099999999999998</v>
      </c>
      <c r="J7" s="228">
        <v>0.1953</v>
      </c>
      <c r="K7" s="285">
        <v>0.6</v>
      </c>
      <c r="L7" s="228" t="s">
        <v>264</v>
      </c>
      <c r="M7" s="225">
        <v>0.6</v>
      </c>
      <c r="N7" s="228">
        <v>0.4239</v>
      </c>
      <c r="O7" s="225">
        <v>0.71</v>
      </c>
      <c r="P7" s="220" t="s">
        <v>266</v>
      </c>
      <c r="Q7" s="230" t="s">
        <v>225</v>
      </c>
      <c r="R7" s="220" t="s">
        <v>46</v>
      </c>
      <c r="S7" s="246" t="s">
        <v>267</v>
      </c>
    </row>
    <row r="8" spans="1:19" ht="231" customHeight="1" x14ac:dyDescent="0.2">
      <c r="A8" s="221">
        <v>3</v>
      </c>
      <c r="B8" s="219" t="s">
        <v>18</v>
      </c>
      <c r="C8" s="222" t="s">
        <v>192</v>
      </c>
      <c r="D8" s="226" t="s">
        <v>3</v>
      </c>
      <c r="E8" s="224">
        <v>0.35499999999999998</v>
      </c>
      <c r="F8" s="224">
        <v>0.35499999999999998</v>
      </c>
      <c r="G8" s="224">
        <v>0.495</v>
      </c>
      <c r="H8" s="228">
        <v>0.49730000000000002</v>
      </c>
      <c r="I8" s="224">
        <v>0.61499999999999999</v>
      </c>
      <c r="J8" s="228">
        <v>0.64249999999999996</v>
      </c>
      <c r="K8" s="224">
        <v>0.72499999999999998</v>
      </c>
      <c r="L8" s="228">
        <v>0.93920000000000003</v>
      </c>
      <c r="M8" s="228">
        <v>0.72499999999999998</v>
      </c>
      <c r="N8" s="228">
        <v>0.93920000000000003</v>
      </c>
      <c r="O8" s="225">
        <v>1.3</v>
      </c>
      <c r="P8" s="220" t="s">
        <v>275</v>
      </c>
      <c r="Q8" s="230" t="s">
        <v>224</v>
      </c>
      <c r="R8" s="220" t="s">
        <v>47</v>
      </c>
      <c r="S8" s="220" t="s">
        <v>268</v>
      </c>
    </row>
    <row r="9" spans="1:19" ht="243" customHeight="1" x14ac:dyDescent="0.2">
      <c r="A9" s="221">
        <v>4</v>
      </c>
      <c r="B9" s="227" t="s">
        <v>17</v>
      </c>
      <c r="C9" s="222" t="s">
        <v>190</v>
      </c>
      <c r="D9" s="223" t="s">
        <v>3</v>
      </c>
      <c r="E9" s="228">
        <v>3.0999999999999999E-3</v>
      </c>
      <c r="F9" s="228">
        <v>3.0999999999999999E-3</v>
      </c>
      <c r="G9" s="224">
        <v>0.19900000000000001</v>
      </c>
      <c r="H9" s="228">
        <v>0.10440000000000001</v>
      </c>
      <c r="I9" s="228">
        <v>0.20319999999999999</v>
      </c>
      <c r="J9" s="228">
        <v>3.8800000000000001E-2</v>
      </c>
      <c r="K9" s="224">
        <v>0.59399999999999997</v>
      </c>
      <c r="L9" s="224">
        <v>5.0000000000000001E-3</v>
      </c>
      <c r="M9" s="225">
        <v>1</v>
      </c>
      <c r="N9" s="228" t="s">
        <v>269</v>
      </c>
      <c r="O9" s="228">
        <v>0.26989999999999997</v>
      </c>
      <c r="P9" s="220" t="s">
        <v>271</v>
      </c>
      <c r="Q9" s="230" t="s">
        <v>225</v>
      </c>
      <c r="R9" s="220" t="s">
        <v>46</v>
      </c>
      <c r="S9" s="243"/>
    </row>
    <row r="10" spans="1:19" ht="386.25" customHeight="1" x14ac:dyDescent="0.2">
      <c r="A10" s="221">
        <v>5</v>
      </c>
      <c r="B10" s="219" t="s">
        <v>18</v>
      </c>
      <c r="C10" s="222" t="s">
        <v>9</v>
      </c>
      <c r="D10" s="226" t="s">
        <v>3</v>
      </c>
      <c r="E10" s="225">
        <v>0.05</v>
      </c>
      <c r="F10" s="225">
        <v>0.05</v>
      </c>
      <c r="G10" s="225">
        <v>0.3</v>
      </c>
      <c r="H10" s="225">
        <v>0.2</v>
      </c>
      <c r="I10" s="225">
        <v>0.6</v>
      </c>
      <c r="J10" s="225">
        <v>0.27</v>
      </c>
      <c r="K10" s="225">
        <v>1</v>
      </c>
      <c r="L10" s="228">
        <v>0.87280000000000002</v>
      </c>
      <c r="M10" s="225">
        <v>1</v>
      </c>
      <c r="N10" s="228">
        <v>0.87280000000000002</v>
      </c>
      <c r="O10" s="228">
        <v>0.87280000000000002</v>
      </c>
      <c r="P10" s="244" t="s">
        <v>276</v>
      </c>
      <c r="Q10" s="220" t="s">
        <v>232</v>
      </c>
      <c r="R10" s="220" t="s">
        <v>48</v>
      </c>
      <c r="S10" s="134"/>
    </row>
    <row r="11" spans="1:19" ht="122.25" customHeight="1" x14ac:dyDescent="0.2">
      <c r="A11" s="221">
        <v>6</v>
      </c>
      <c r="B11" s="219" t="s">
        <v>18</v>
      </c>
      <c r="C11" s="230" t="s">
        <v>5</v>
      </c>
      <c r="D11" s="231" t="s">
        <v>6</v>
      </c>
      <c r="E11" s="226">
        <v>6</v>
      </c>
      <c r="F11" s="226">
        <v>8</v>
      </c>
      <c r="G11" s="226">
        <v>10</v>
      </c>
      <c r="H11" s="226">
        <v>19</v>
      </c>
      <c r="I11" s="226">
        <v>17</v>
      </c>
      <c r="J11" s="226">
        <v>34</v>
      </c>
      <c r="K11" s="226">
        <v>20</v>
      </c>
      <c r="L11" s="226">
        <v>45</v>
      </c>
      <c r="M11" s="226">
        <v>20</v>
      </c>
      <c r="N11" s="226">
        <v>45</v>
      </c>
      <c r="O11" s="237">
        <v>2.25</v>
      </c>
      <c r="P11" s="220" t="s">
        <v>272</v>
      </c>
      <c r="Q11" s="229" t="s">
        <v>233</v>
      </c>
      <c r="R11" s="220" t="s">
        <v>46</v>
      </c>
      <c r="S11" s="286" t="s">
        <v>273</v>
      </c>
    </row>
    <row r="12" spans="1:19" ht="365.25" customHeight="1" x14ac:dyDescent="0.2">
      <c r="A12" s="221">
        <v>7</v>
      </c>
      <c r="B12" s="232" t="s">
        <v>18</v>
      </c>
      <c r="C12" s="233" t="s">
        <v>7</v>
      </c>
      <c r="D12" s="226" t="s">
        <v>4</v>
      </c>
      <c r="E12" s="234">
        <v>175</v>
      </c>
      <c r="F12" s="234">
        <v>185</v>
      </c>
      <c r="G12" s="234">
        <v>200</v>
      </c>
      <c r="H12" s="234">
        <v>372</v>
      </c>
      <c r="I12" s="234">
        <v>472</v>
      </c>
      <c r="J12" s="235">
        <v>935</v>
      </c>
      <c r="K12" s="234">
        <v>500</v>
      </c>
      <c r="L12" s="234">
        <v>1760</v>
      </c>
      <c r="M12" s="234">
        <v>500</v>
      </c>
      <c r="N12" s="234">
        <v>1760</v>
      </c>
      <c r="O12" s="245">
        <v>3.52</v>
      </c>
      <c r="P12" s="220" t="s">
        <v>278</v>
      </c>
      <c r="Q12" s="220" t="s">
        <v>232</v>
      </c>
      <c r="R12" s="220" t="s">
        <v>49</v>
      </c>
      <c r="S12" s="220" t="s">
        <v>277</v>
      </c>
    </row>
    <row r="13" spans="1:19" ht="402.75" customHeight="1" x14ac:dyDescent="0.2">
      <c r="A13" s="221">
        <v>8</v>
      </c>
      <c r="B13" s="236" t="s">
        <v>217</v>
      </c>
      <c r="C13" s="236" t="s">
        <v>279</v>
      </c>
      <c r="D13" s="226" t="s">
        <v>3</v>
      </c>
      <c r="E13" s="237">
        <v>0.1</v>
      </c>
      <c r="F13" s="237">
        <v>0.1</v>
      </c>
      <c r="G13" s="237">
        <v>0.3</v>
      </c>
      <c r="H13" s="237">
        <v>0.3</v>
      </c>
      <c r="I13" s="237">
        <v>0.3</v>
      </c>
      <c r="J13" s="237">
        <v>0.3</v>
      </c>
      <c r="K13" s="237">
        <v>0.3</v>
      </c>
      <c r="L13" s="241">
        <v>0.29830000000000001</v>
      </c>
      <c r="M13" s="237">
        <v>1</v>
      </c>
      <c r="N13" s="241">
        <v>0.99829999999999997</v>
      </c>
      <c r="O13" s="241">
        <v>0.99829999999999997</v>
      </c>
      <c r="P13" s="220" t="s">
        <v>280</v>
      </c>
      <c r="Q13" s="220" t="s">
        <v>234</v>
      </c>
      <c r="R13" s="220" t="s">
        <v>49</v>
      </c>
      <c r="S13" s="220" t="s">
        <v>274</v>
      </c>
    </row>
    <row r="14" spans="1:19" ht="17.25" customHeight="1" x14ac:dyDescent="0.2">
      <c r="B14" s="249"/>
      <c r="C14" s="249"/>
      <c r="D14" s="249"/>
    </row>
    <row r="15" spans="1:19" ht="23.25" hidden="1" customHeight="1" x14ac:dyDescent="0.2">
      <c r="B15" s="249"/>
      <c r="C15" s="249"/>
      <c r="Q15" s="44"/>
    </row>
    <row r="16" spans="1:19" hidden="1" x14ac:dyDescent="0.2"/>
    <row r="17" spans="1:14" x14ac:dyDescent="0.2">
      <c r="G17" s="51"/>
      <c r="H17" s="51"/>
    </row>
    <row r="21" spans="1:14" ht="15.75" customHeight="1" x14ac:dyDescent="0.2">
      <c r="A21" s="275" t="s">
        <v>265</v>
      </c>
      <c r="B21" s="275"/>
      <c r="C21" s="275"/>
      <c r="D21" s="275"/>
      <c r="E21" s="275"/>
      <c r="F21" s="275"/>
      <c r="G21" s="275"/>
      <c r="H21" s="275"/>
      <c r="I21" s="275"/>
      <c r="J21" s="275"/>
      <c r="K21" s="275"/>
      <c r="L21" s="275"/>
      <c r="M21" s="275"/>
      <c r="N21" s="275"/>
    </row>
    <row r="22" spans="1:14" ht="61.5" customHeight="1" x14ac:dyDescent="0.2">
      <c r="A22" s="275"/>
      <c r="B22" s="275"/>
      <c r="C22" s="275"/>
      <c r="D22" s="275"/>
      <c r="E22" s="275"/>
      <c r="F22" s="275"/>
      <c r="G22" s="275"/>
      <c r="H22" s="275"/>
      <c r="I22" s="275"/>
      <c r="J22" s="275"/>
      <c r="K22" s="275"/>
      <c r="L22" s="275"/>
      <c r="M22" s="275"/>
      <c r="N22" s="275"/>
    </row>
    <row r="24" spans="1:14" ht="61.5" customHeight="1" x14ac:dyDescent="0.2">
      <c r="A24" s="275" t="s">
        <v>270</v>
      </c>
      <c r="B24" s="275"/>
      <c r="C24" s="275"/>
      <c r="D24" s="275"/>
      <c r="E24" s="275"/>
      <c r="F24" s="275"/>
      <c r="G24" s="275"/>
      <c r="H24" s="275"/>
      <c r="I24" s="275"/>
      <c r="J24" s="275"/>
      <c r="K24" s="275"/>
      <c r="L24" s="275"/>
      <c r="M24" s="275"/>
      <c r="N24" s="275"/>
    </row>
    <row r="27" spans="1:14" x14ac:dyDescent="0.2">
      <c r="H27" s="242"/>
    </row>
  </sheetData>
  <mergeCells count="20">
    <mergeCell ref="B1:R1"/>
    <mergeCell ref="E3:L3"/>
    <mergeCell ref="P3:P5"/>
    <mergeCell ref="O3:O5"/>
    <mergeCell ref="B15:C15"/>
    <mergeCell ref="E4:F4"/>
    <mergeCell ref="G4:H4"/>
    <mergeCell ref="I4:J4"/>
    <mergeCell ref="K4:L4"/>
    <mergeCell ref="B3:B5"/>
    <mergeCell ref="C3:C5"/>
    <mergeCell ref="D3:D5"/>
    <mergeCell ref="B14:D14"/>
    <mergeCell ref="S3:S5"/>
    <mergeCell ref="A21:N22"/>
    <mergeCell ref="A24:N24"/>
    <mergeCell ref="M3:N4"/>
    <mergeCell ref="Q3:Q5"/>
    <mergeCell ref="R3:R5"/>
    <mergeCell ref="A3:A5"/>
  </mergeCells>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III Trim PND_2021</vt:lpstr>
      <vt:lpstr>Seg cierre 2018-2022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2023-02-07T22:32:18Z</dcterms:modified>
</cp:coreProperties>
</file>