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Natalia Pineda\2022\IGAC\Indicadores\"/>
    </mc:Choice>
  </mc:AlternateContent>
  <xr:revisionPtr revIDLastSave="0" documentId="13_ncr:1_{BF4B0A30-DBC9-4EDC-BACC-7A7834B38536}" xr6:coauthVersionLast="47" xr6:coauthVersionMax="47" xr10:uidLastSave="{00000000-0000-0000-0000-000000000000}"/>
  <bookViews>
    <workbookView xWindow="-120" yWindow="-120" windowWidth="20730" windowHeight="11160" firstSheet="1" activeTab="1" xr2:uid="{00000000-000D-0000-FFFF-FFFF00000000}"/>
  </bookViews>
  <sheets>
    <sheet name="Seguimiento III Trim PND_2021" sheetId="1" state="hidden" r:id="rId1"/>
    <sheet name="Seguimiento IV Trim PND_20 (2)" sheetId="17" r:id="rId2"/>
    <sheet name="Hoja5" sheetId="18" r:id="rId3"/>
    <sheet name="Hoja4" sheetId="15" state="hidden" r:id="rId4"/>
    <sheet name="Rezagos Metas PND" sheetId="14" state="hidden" r:id="rId5"/>
    <sheet name="Hoja1" sheetId="11" state="hidden" r:id="rId6"/>
    <sheet name="Hoja2" sheetId="12" state="hidden" r:id="rId7"/>
    <sheet name="Hoja3" sheetId="13" state="hidden" r:id="rId8"/>
    <sheet name="Cartografía" sheetId="2" state="hidden" r:id="rId9"/>
    <sheet name="Caracterización geográfica" sheetId="4" state="hidden" r:id="rId10"/>
    <sheet name="Área con catastro actualiz" sheetId="5" state="hidden" r:id="rId11"/>
    <sheet name="SINIC" sheetId="6" state="hidden" r:id="rId12"/>
    <sheet name="Gestores habili" sheetId="7" state="hidden" r:id="rId13"/>
    <sheet name="Geoservicios" sheetId="8" state="hidden" r:id="rId14"/>
    <sheet name="PDET Actuali" sheetId="10" state="hidden" r:id="rId15"/>
  </sheets>
  <definedNames>
    <definedName name="_xlnm._FilterDatabase" localSheetId="4" hidden="1">'Rezagos Metas PND'!$A$3:$CC$11</definedName>
    <definedName name="_xlnm._FilterDatabase" localSheetId="0" hidden="1">'Seguimiento III Trim PND_2021'!$B$4:$CR$12</definedName>
    <definedName name="_xlnm._FilterDatabase" localSheetId="1" hidden="1">'Seguimiento IV Trim PND_20 (2)'!$B$4:$CS$12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P10" i="17" l="1"/>
  <c r="CN9" i="17"/>
  <c r="C1" i="18"/>
  <c r="CR7" i="17"/>
  <c r="CN6" i="17"/>
  <c r="CR5" i="17"/>
  <c r="CP5" i="17"/>
  <c r="DC5" i="1"/>
  <c r="V15" i="17"/>
  <c r="V14" i="17"/>
  <c r="CN12" i="17"/>
  <c r="CF12" i="17"/>
  <c r="CD12" i="17"/>
  <c r="CA12" i="17"/>
  <c r="CH12" i="17" s="1"/>
  <c r="BY12" i="17"/>
  <c r="BW12" i="17"/>
  <c r="BT12" i="17"/>
  <c r="BR12" i="17"/>
  <c r="BJ12" i="17"/>
  <c r="CK12" i="17" s="1"/>
  <c r="BF12" i="17"/>
  <c r="AZ12" i="17"/>
  <c r="AW12" i="17"/>
  <c r="AT12" i="17"/>
  <c r="AQ12" i="17"/>
  <c r="AN12" i="17"/>
  <c r="AK12" i="17"/>
  <c r="AH12" i="17"/>
  <c r="AE12" i="17"/>
  <c r="AB12" i="17"/>
  <c r="V12" i="17"/>
  <c r="T12" i="17"/>
  <c r="CS11" i="17"/>
  <c r="CP11" i="17"/>
  <c r="CN11" i="17"/>
  <c r="CK11" i="17"/>
  <c r="CH11" i="17"/>
  <c r="CF11" i="17"/>
  <c r="CD11" i="17"/>
  <c r="CA11" i="17"/>
  <c r="BY11" i="17"/>
  <c r="BW11" i="17"/>
  <c r="BT11" i="17"/>
  <c r="BR11" i="17"/>
  <c r="BJ11" i="17"/>
  <c r="BF11" i="17"/>
  <c r="AZ11" i="17"/>
  <c r="AW11" i="17"/>
  <c r="AT11" i="17"/>
  <c r="AQ11" i="17"/>
  <c r="AN11" i="17"/>
  <c r="AK11" i="17"/>
  <c r="AH11" i="17"/>
  <c r="AE11" i="17"/>
  <c r="AB11" i="17"/>
  <c r="V11" i="17"/>
  <c r="P11" i="17"/>
  <c r="T11" i="17" s="1"/>
  <c r="CS10" i="17"/>
  <c r="CN10" i="17"/>
  <c r="CK10" i="17"/>
  <c r="CH10" i="17"/>
  <c r="CF10" i="17"/>
  <c r="CD10" i="17"/>
  <c r="CA10" i="17"/>
  <c r="BY10" i="17"/>
  <c r="BW10" i="17"/>
  <c r="BT10" i="17"/>
  <c r="BR10" i="17"/>
  <c r="BJ10" i="17"/>
  <c r="BF10" i="17"/>
  <c r="AZ10" i="17"/>
  <c r="AW10" i="17"/>
  <c r="AT10" i="17"/>
  <c r="AQ10" i="17"/>
  <c r="AN10" i="17"/>
  <c r="AK10" i="17"/>
  <c r="AH10" i="17"/>
  <c r="AE10" i="17"/>
  <c r="AB10" i="17"/>
  <c r="V10" i="17"/>
  <c r="P10" i="17"/>
  <c r="T10" i="17" s="1"/>
  <c r="CF9" i="17"/>
  <c r="BY9" i="17"/>
  <c r="BT9" i="17"/>
  <c r="BW9" i="17" s="1"/>
  <c r="CA9" i="17" s="1"/>
  <c r="BJ9" i="17"/>
  <c r="BF9" i="17"/>
  <c r="AQ9" i="17"/>
  <c r="AN9" i="17"/>
  <c r="AK9" i="17"/>
  <c r="AH9" i="17"/>
  <c r="AE9" i="17"/>
  <c r="AB9" i="17"/>
  <c r="V9" i="17"/>
  <c r="P9" i="17"/>
  <c r="T9" i="17" s="1"/>
  <c r="CS8" i="17"/>
  <c r="CR8" i="17"/>
  <c r="CQ8" i="17"/>
  <c r="CP8" i="17"/>
  <c r="CN8" i="17"/>
  <c r="CK8" i="17"/>
  <c r="CJ8" i="17"/>
  <c r="CI8" i="17"/>
  <c r="CH8" i="17"/>
  <c r="CD8" i="17"/>
  <c r="CC8" i="17"/>
  <c r="CB8" i="17"/>
  <c r="CA8" i="17"/>
  <c r="BU8" i="17"/>
  <c r="BW8" i="17" s="1"/>
  <c r="BT8" i="17"/>
  <c r="BJ8" i="17"/>
  <c r="BG8" i="17"/>
  <c r="BF8" i="17"/>
  <c r="BD8" i="17"/>
  <c r="AZ8" i="17"/>
  <c r="AW8" i="17"/>
  <c r="AQ8" i="17"/>
  <c r="AN8" i="17"/>
  <c r="AK8" i="17"/>
  <c r="AH8" i="17"/>
  <c r="AE8" i="17"/>
  <c r="AB8" i="17"/>
  <c r="V8" i="17"/>
  <c r="P8" i="17"/>
  <c r="T8" i="17" s="1"/>
  <c r="CT7" i="17"/>
  <c r="CS7" i="17"/>
  <c r="CH7" i="17"/>
  <c r="CB7" i="17"/>
  <c r="CC7" i="17" s="1"/>
  <c r="CA7" i="17"/>
  <c r="BW7" i="17"/>
  <c r="BV7" i="17"/>
  <c r="BT7" i="17"/>
  <c r="CN7" i="17"/>
  <c r="BJ7" i="17"/>
  <c r="BF7" i="17"/>
  <c r="AZ7" i="17"/>
  <c r="AW7" i="17"/>
  <c r="AT7" i="17"/>
  <c r="AQ7" i="17"/>
  <c r="AN7" i="17"/>
  <c r="AK7" i="17"/>
  <c r="AH7" i="17"/>
  <c r="AE7" i="17"/>
  <c r="AB7" i="17"/>
  <c r="V7" i="17"/>
  <c r="P7" i="17"/>
  <c r="T7" i="17" s="1"/>
  <c r="CT6" i="17"/>
  <c r="CS6" i="17"/>
  <c r="CK6" i="17"/>
  <c r="CJ6" i="17"/>
  <c r="CH6" i="17"/>
  <c r="CD6" i="17"/>
  <c r="CC6" i="17"/>
  <c r="CA6" i="17"/>
  <c r="BW6" i="17"/>
  <c r="BV6" i="17"/>
  <c r="BT6" i="17"/>
  <c r="BJ6" i="17"/>
  <c r="BH6" i="17"/>
  <c r="BG6" i="17"/>
  <c r="BF6" i="17"/>
  <c r="BD6" i="17"/>
  <c r="AQ6" i="17"/>
  <c r="AN6" i="17"/>
  <c r="AK6" i="17"/>
  <c r="AH6" i="17"/>
  <c r="AE6" i="17"/>
  <c r="AB6" i="17"/>
  <c r="V6" i="17"/>
  <c r="P6" i="17"/>
  <c r="T6" i="17" s="1"/>
  <c r="CH5" i="17"/>
  <c r="CB5" i="17"/>
  <c r="CD5" i="17" s="1"/>
  <c r="CA5" i="17"/>
  <c r="BW5" i="17"/>
  <c r="BV5" i="17"/>
  <c r="BT5" i="17"/>
  <c r="CF5" i="17"/>
  <c r="BK5" i="17"/>
  <c r="BJ5" i="17"/>
  <c r="BF5" i="17"/>
  <c r="AZ5" i="17"/>
  <c r="AW5" i="17"/>
  <c r="AT5" i="17"/>
  <c r="AQ5" i="17"/>
  <c r="AN5" i="17"/>
  <c r="AK5" i="17"/>
  <c r="AH5" i="17"/>
  <c r="AE5" i="17"/>
  <c r="AB5" i="17"/>
  <c r="V5" i="17"/>
  <c r="T5" i="17"/>
  <c r="DC12" i="1"/>
  <c r="DA12" i="1"/>
  <c r="DC11" i="1"/>
  <c r="DA11" i="1"/>
  <c r="DC10" i="1"/>
  <c r="DA10" i="1"/>
  <c r="DC9" i="1"/>
  <c r="DA9" i="1"/>
  <c r="DE8" i="1"/>
  <c r="DD8" i="1"/>
  <c r="DC8" i="1"/>
  <c r="DA8" i="1"/>
  <c r="DF7" i="1"/>
  <c r="DE7" i="1"/>
  <c r="DD7" i="1"/>
  <c r="DC7" i="1"/>
  <c r="DA7" i="1"/>
  <c r="DF6" i="1"/>
  <c r="DE6" i="1"/>
  <c r="DC6" i="1"/>
  <c r="DA6" i="1"/>
  <c r="DF5" i="1"/>
  <c r="DE5" i="1"/>
  <c r="DD5" i="1"/>
  <c r="CV11" i="1"/>
  <c r="DA5" i="1"/>
  <c r="CY5" i="1"/>
  <c r="CX5" i="1"/>
  <c r="CY11" i="1"/>
  <c r="CY10" i="1"/>
  <c r="CV10" i="1"/>
  <c r="CV9" i="1"/>
  <c r="CT9" i="1"/>
  <c r="CT10" i="1"/>
  <c r="CT11" i="1"/>
  <c r="CT12" i="1"/>
  <c r="CY8" i="1"/>
  <c r="CX8" i="1"/>
  <c r="CW8" i="1"/>
  <c r="CV8" i="1"/>
  <c r="CT8" i="1"/>
  <c r="CX7" i="1"/>
  <c r="CW7" i="1"/>
  <c r="CY7" i="1" s="1"/>
  <c r="CV7" i="1"/>
  <c r="CY6" i="1"/>
  <c r="CV6" i="1"/>
  <c r="CX6" i="1"/>
  <c r="CV5" i="1"/>
  <c r="CI5" i="17" l="1"/>
  <c r="CK5" i="17" s="1"/>
  <c r="BY5" i="17"/>
  <c r="CN5" i="17"/>
  <c r="CD7" i="17"/>
  <c r="CI7" i="17"/>
  <c r="CJ7" i="17" s="1"/>
  <c r="CT5" i="17"/>
  <c r="CS5" i="17"/>
  <c r="CH9" i="17"/>
  <c r="CK9" i="17"/>
  <c r="BR7" i="17"/>
  <c r="CF7" i="17"/>
  <c r="BY7" i="17"/>
  <c r="CD9" i="17"/>
  <c r="CF6" i="17"/>
  <c r="CC5" i="17"/>
  <c r="BY6" i="17"/>
  <c r="BV8" i="17"/>
  <c r="BR5" i="17"/>
  <c r="CM12" i="1"/>
  <c r="CR11" i="1"/>
  <c r="CO11" i="1"/>
  <c r="CM11" i="1"/>
  <c r="CO10" i="1"/>
  <c r="CM10" i="1"/>
  <c r="CM8" i="1"/>
  <c r="CM9" i="1"/>
  <c r="CJ5" i="17" l="1"/>
  <c r="CK7" i="17"/>
  <c r="BM7" i="1"/>
  <c r="CP5" i="1"/>
  <c r="CW5" i="1" s="1"/>
  <c r="CH11" i="1"/>
  <c r="BY11" i="1"/>
  <c r="BT11" i="1"/>
  <c r="CO7" i="1"/>
  <c r="CR7" i="1"/>
  <c r="CQ7" i="1"/>
  <c r="CT7" i="1" l="1"/>
  <c r="CM7" i="1"/>
  <c r="CR5" i="1"/>
  <c r="CQ5" i="1"/>
  <c r="CO5" i="1"/>
  <c r="CR10" i="1"/>
  <c r="CR8" i="1"/>
  <c r="CQ8" i="1"/>
  <c r="CC8" i="1"/>
  <c r="CJ8" i="1"/>
  <c r="CP8" i="1"/>
  <c r="CI8" i="1"/>
  <c r="CO8" i="1"/>
  <c r="CR6" i="1"/>
  <c r="CQ6" i="1"/>
  <c r="CO6" i="1"/>
  <c r="CD12" i="1"/>
  <c r="H7" i="15"/>
  <c r="H6" i="15"/>
  <c r="H5" i="15"/>
  <c r="H4" i="15"/>
  <c r="H3" i="15"/>
  <c r="CA12" i="1"/>
  <c r="CV12" i="1" s="1"/>
  <c r="BT12" i="1"/>
  <c r="CF12" i="1"/>
  <c r="CK11" i="1"/>
  <c r="CF11" i="1"/>
  <c r="BR11" i="1"/>
  <c r="CK10" i="1"/>
  <c r="CH10" i="1"/>
  <c r="CF10" i="1"/>
  <c r="CF9" i="1"/>
  <c r="BU8" i="1"/>
  <c r="CB8" i="1"/>
  <c r="CK8" i="1"/>
  <c r="CH8" i="1"/>
  <c r="CD8" i="1"/>
  <c r="CA8" i="1"/>
  <c r="CK6" i="1"/>
  <c r="CJ6" i="1"/>
  <c r="CH7" i="1"/>
  <c r="CH6" i="1"/>
  <c r="CH5" i="1"/>
  <c r="BY10" i="1"/>
  <c r="BR10" i="1"/>
  <c r="CH12" i="1" l="1"/>
  <c r="CO12" i="1"/>
  <c r="CA10" i="1"/>
  <c r="BW10" i="1"/>
  <c r="CD11" i="1"/>
  <c r="BW12" i="1"/>
  <c r="CD10" i="1"/>
  <c r="CD6" i="1"/>
  <c r="BY12" i="1"/>
  <c r="CA11" i="1"/>
  <c r="BW11" i="1"/>
  <c r="BY9" i="1"/>
  <c r="BM5" i="1"/>
  <c r="CT5" i="1" l="1"/>
  <c r="CM5" i="1"/>
  <c r="CF5" i="1"/>
  <c r="BF8" i="1"/>
  <c r="BW8" i="1"/>
  <c r="CA6" i="1"/>
  <c r="BW6" i="1" l="1"/>
  <c r="CC6" i="1"/>
  <c r="BD6" i="1"/>
  <c r="BV8" i="1"/>
  <c r="BM6" i="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L7" i="13"/>
  <c r="L6" i="13"/>
  <c r="BF11" i="1"/>
  <c r="V11" i="1"/>
  <c r="K7" i="13"/>
  <c r="K6" i="13"/>
  <c r="K5" i="13"/>
  <c r="K4" i="13"/>
  <c r="BJ7" i="1"/>
  <c r="BF7" i="1"/>
  <c r="P4" i="12"/>
  <c r="O4" i="12"/>
  <c r="N4" i="12"/>
  <c r="M4" i="12"/>
  <c r="BK5" i="1"/>
  <c r="BJ5" i="1"/>
  <c r="I7" i="12"/>
  <c r="BF5" i="1"/>
  <c r="V7" i="1"/>
  <c r="V5" i="1"/>
  <c r="CK12" i="1" l="1"/>
  <c r="CD7" i="1"/>
  <c r="CI7" i="1"/>
  <c r="CJ5" i="1"/>
  <c r="CK5" i="1"/>
  <c r="CC7" i="1"/>
  <c r="CD9" i="1"/>
  <c r="BW9" i="1"/>
  <c r="CA9" i="1" s="1"/>
  <c r="CC5" i="1"/>
  <c r="CD5" i="1"/>
  <c r="BR7" i="1"/>
  <c r="BY7" i="1"/>
  <c r="BG8" i="1"/>
  <c r="BG6" i="1"/>
  <c r="BH6" i="1"/>
  <c r="BJ10" i="1"/>
  <c r="BF10" i="1"/>
  <c r="V10" i="1"/>
  <c r="BJ8" i="1"/>
  <c r="V8" i="1"/>
  <c r="BJ6" i="1"/>
  <c r="BF6" i="1"/>
  <c r="V6" i="1"/>
  <c r="Q5" i="14"/>
  <c r="BE4" i="14"/>
  <c r="AV4" i="14"/>
  <c r="BD8" i="14"/>
  <c r="BB8" i="14"/>
  <c r="AZ8" i="14"/>
  <c r="BD4" i="14"/>
  <c r="AZ4" i="14"/>
  <c r="CJ7" i="1" l="1"/>
  <c r="CK7" i="1"/>
  <c r="CK9" i="1"/>
  <c r="CH9" i="1"/>
  <c r="BD6" i="14"/>
  <c r="Q4" i="14"/>
  <c r="T4" i="14"/>
  <c r="W4" i="14"/>
  <c r="Z4" i="14"/>
  <c r="AC4" i="14"/>
  <c r="AF4" i="14"/>
  <c r="AI4" i="14"/>
  <c r="AL4" i="14"/>
  <c r="AO4" i="14"/>
  <c r="T5" i="14"/>
  <c r="W5" i="14"/>
  <c r="Z5" i="14"/>
  <c r="AC5" i="14"/>
  <c r="AF5" i="14"/>
  <c r="AI5" i="14"/>
  <c r="Q6" i="14"/>
  <c r="T6" i="14"/>
  <c r="W6" i="14"/>
  <c r="Z6" i="14"/>
  <c r="AC6" i="14"/>
  <c r="AF6" i="14"/>
  <c r="AI6" i="14"/>
  <c r="AL6" i="14"/>
  <c r="AO6" i="14"/>
  <c r="Q7" i="14"/>
  <c r="T7" i="14"/>
  <c r="W7" i="14"/>
  <c r="Z7" i="14"/>
  <c r="AC7" i="14"/>
  <c r="AF7" i="14"/>
  <c r="AI7" i="14"/>
  <c r="AO7" i="14"/>
  <c r="Q8" i="14"/>
  <c r="T8" i="14"/>
  <c r="W8" i="14"/>
  <c r="Z8" i="14"/>
  <c r="AC8" i="14"/>
  <c r="AF8" i="14"/>
  <c r="AI8" i="14"/>
  <c r="Q9" i="14"/>
  <c r="T9" i="14"/>
  <c r="W9" i="14"/>
  <c r="Z9" i="14"/>
  <c r="AC9" i="14"/>
  <c r="AF9" i="14"/>
  <c r="AI9" i="14"/>
  <c r="AL9" i="14"/>
  <c r="AO9" i="14"/>
  <c r="Q10" i="14"/>
  <c r="T10" i="14"/>
  <c r="W10" i="14"/>
  <c r="Z10" i="14"/>
  <c r="AC10" i="14"/>
  <c r="AF10" i="14"/>
  <c r="AI10" i="14"/>
  <c r="AL10" i="14"/>
  <c r="AO10" i="14"/>
  <c r="T11" i="14"/>
  <c r="W11" i="14"/>
  <c r="Z11" i="14"/>
  <c r="AC11" i="14"/>
  <c r="AF11" i="14"/>
  <c r="AI11" i="14"/>
  <c r="AL11" i="14"/>
  <c r="AO11" i="14"/>
  <c r="AX11" i="14"/>
  <c r="AV11" i="14"/>
  <c r="AR11" i="14"/>
  <c r="O11" i="14"/>
  <c r="AX10" i="14"/>
  <c r="AU10" i="14"/>
  <c r="AV10" i="14" s="1"/>
  <c r="AR10" i="14"/>
  <c r="M10" i="14"/>
  <c r="O10" i="14" s="1"/>
  <c r="AW9" i="14"/>
  <c r="AX9" i="14" s="1"/>
  <c r="AV9" i="14"/>
  <c r="AR9" i="14"/>
  <c r="M9" i="14"/>
  <c r="O9" i="14" s="1"/>
  <c r="AX8" i="14"/>
  <c r="AV8" i="14"/>
  <c r="M8" i="14"/>
  <c r="O8" i="14" s="1"/>
  <c r="AR7" i="14"/>
  <c r="M7" i="14"/>
  <c r="O7" i="14" s="1"/>
  <c r="AX6" i="14"/>
  <c r="AV6" i="14"/>
  <c r="AR6" i="14"/>
  <c r="M6" i="14"/>
  <c r="O6" i="14" s="1"/>
  <c r="M5" i="14"/>
  <c r="O5" i="14" s="1"/>
  <c r="AX4" i="14"/>
  <c r="AR4" i="14"/>
  <c r="O4" i="14"/>
  <c r="AT10" i="1"/>
  <c r="AQ10" i="1"/>
  <c r="AN10" i="1"/>
  <c r="AK10" i="1"/>
  <c r="AH10" i="1"/>
  <c r="AE10" i="1"/>
  <c r="AB10" i="1"/>
  <c r="AB9" i="1"/>
  <c r="AE7" i="1"/>
  <c r="AB7" i="1"/>
  <c r="AE5" i="1"/>
  <c r="AB5" i="1"/>
  <c r="T5" i="1"/>
  <c r="AE12" i="1"/>
  <c r="AT5" i="14" l="1"/>
  <c r="AN11" i="1"/>
  <c r="AZ11" i="1"/>
  <c r="AW11" i="1"/>
  <c r="AT11" i="1"/>
  <c r="AQ11" i="1"/>
  <c r="AK11" i="1"/>
  <c r="AH11" i="1"/>
  <c r="AE11" i="1"/>
  <c r="AB11" i="1"/>
  <c r="E18" i="13"/>
  <c r="E17" i="13"/>
  <c r="D16" i="13"/>
  <c r="E16" i="13" s="1"/>
  <c r="E15" i="13"/>
  <c r="H10" i="12"/>
  <c r="H22" i="13"/>
  <c r="E18" i="12"/>
  <c r="E17" i="12"/>
  <c r="D16" i="12"/>
  <c r="E15" i="12"/>
  <c r="D19" i="12" l="1"/>
  <c r="E19" i="12" s="1"/>
  <c r="I14" i="12"/>
  <c r="D19" i="13"/>
  <c r="E19" i="13" s="1"/>
  <c r="E16" i="12"/>
  <c r="AZ8" i="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J3" i="10" l="1"/>
  <c r="I3" i="8"/>
  <c r="J3" i="7"/>
  <c r="J3" i="6"/>
  <c r="J3" i="5"/>
  <c r="H3" i="4"/>
  <c r="J3" i="4" s="1"/>
  <c r="J3" i="2"/>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49C09B62-9E1C-470C-ADFE-C39D486433BC}">
      <text>
        <r>
          <rPr>
            <sz val="9"/>
            <color indexed="81"/>
            <rFont val="Tahoma"/>
            <family val="2"/>
          </rPr>
          <t xml:space="preserve">
20%</t>
        </r>
      </text>
    </comment>
    <comment ref="M11" authorId="1" shapeId="0" xr:uid="{9018FFCB-D1FF-4F6C-A81B-940EC172BC3C}">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D07C5DB3-B45C-4B70-926B-EBCBF48906B2}">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6D8465BD-DA5A-481A-956C-EA30F385E450}">
      <text>
        <r>
          <rPr>
            <sz val="9"/>
            <color indexed="81"/>
            <rFont val="Tahoma"/>
            <family val="2"/>
          </rPr>
          <t xml:space="preserve">
20%</t>
        </r>
      </text>
    </comment>
    <comment ref="M11" authorId="1" shapeId="0" xr:uid="{7F9D56BF-5E7D-467C-936B-BAE1F84715AD}">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8C13352C-8C55-4FB5-B0CA-43BF5CFD783A}">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G4" authorId="0" shapeId="0" xr:uid="{24212237-61B7-4331-ACAA-FFBD61BB5921}">
      <text>
        <r>
          <rPr>
            <sz val="9"/>
            <color indexed="81"/>
            <rFont val="Tahoma"/>
            <family val="2"/>
          </rPr>
          <t xml:space="preserve">
</t>
        </r>
        <r>
          <rPr>
            <sz val="14"/>
            <color indexed="81"/>
            <rFont val="Tahoma"/>
            <family val="2"/>
          </rPr>
          <t>27%: SOLO 2021</t>
        </r>
      </text>
    </comment>
    <comment ref="R4" authorId="0" shapeId="0" xr:uid="{BE81692E-649F-4E22-ADF0-4D0FDD882735}">
      <text>
        <r>
          <rPr>
            <sz val="9"/>
            <color indexed="81"/>
            <rFont val="Tahoma"/>
            <family val="2"/>
          </rPr>
          <t xml:space="preserve">
20%</t>
        </r>
      </text>
    </comment>
    <comment ref="AW4" authorId="0" shapeId="0" xr:uid="{C0C3FFB6-362B-4E9B-9D10-89B2DB0A373B}">
      <text>
        <r>
          <rPr>
            <b/>
            <sz val="9"/>
            <color indexed="81"/>
            <rFont val="Tahoma"/>
            <family val="2"/>
          </rPr>
          <t xml:space="preserve">XIMENA </t>
        </r>
        <r>
          <rPr>
            <sz val="9"/>
            <color indexed="81"/>
            <rFont val="Tahoma"/>
            <family val="2"/>
          </rPr>
          <t xml:space="preserve">
Ver hoja 2
</t>
        </r>
      </text>
    </comment>
    <comment ref="G6" authorId="0" shapeId="0" xr:uid="{587DF1D6-9916-41A9-905E-CC210CF12B1C}">
      <text>
        <r>
          <rPr>
            <sz val="14"/>
            <color indexed="81"/>
            <rFont val="Tahoma"/>
            <family val="2"/>
          </rPr>
          <t xml:space="preserve">
12%: SOLO 2021</t>
        </r>
      </text>
    </comment>
    <comment ref="AW6" authorId="0" shapeId="0" xr:uid="{3A792C62-AB5C-4D61-9903-14E80FA1463D}">
      <text>
        <r>
          <rPr>
            <b/>
            <sz val="9"/>
            <color indexed="81"/>
            <rFont val="Tahoma"/>
            <family val="2"/>
          </rPr>
          <t xml:space="preserve">XIMENA </t>
        </r>
        <r>
          <rPr>
            <sz val="9"/>
            <color indexed="81"/>
            <rFont val="Tahoma"/>
            <family val="2"/>
          </rPr>
          <t xml:space="preserve">
Este valor incluye base, (ver hoja 3)</t>
        </r>
      </text>
    </comment>
  </commentList>
</comments>
</file>

<file path=xl/sharedStrings.xml><?xml version="1.0" encoding="utf-8"?>
<sst xmlns="http://schemas.openxmlformats.org/spreadsheetml/2006/main" count="1143" uniqueCount="395">
  <si>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</si>
  <si>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</si>
  <si>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</si>
  <si>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</si>
  <si>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</si>
  <si>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</si>
  <si>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</si>
  <si>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</si>
  <si>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</si>
  <si>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</si>
  <si>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</si>
  <si>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</si>
  <si>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</si>
  <si>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</si>
  <si>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</si>
  <si>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</si>
  <si>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</si>
  <si>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</si>
  <si>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</si>
  <si>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</si>
  <si>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</si>
  <si>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</si>
  <si>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</si>
  <si>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</si>
  <si>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</si>
  <si>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</si>
  <si>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</si>
  <si>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</si>
  <si>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</si>
  <si>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</si>
  <si>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</si>
  <si>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</si>
  <si>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Observaciones</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</si>
  <si>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</si>
  <si>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</si>
  <si>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</si>
  <si>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</si>
  <si>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</si>
  <si>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</si>
  <si>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</si>
  <si>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</si>
  <si>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</si>
  <si>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</si>
  <si>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</si>
  <si>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</si>
  <si>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</si>
  <si>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</si>
  <si>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</si>
  <si>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</si>
  <si>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</si>
  <si>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</si>
  <si>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</si>
  <si>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</si>
  <si>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</si>
  <si>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</si>
  <si>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</si>
  <si>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</si>
  <si>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</si>
  <si>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</si>
  <si>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</si>
  <si>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</si>
  <si>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</si>
  <si>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</si>
  <si>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</si>
  <si>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</si>
  <si>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</si>
  <si>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</si>
  <si>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</si>
  <si>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</si>
  <si>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</si>
  <si>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</si>
  <si>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</si>
  <si>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</si>
  <si>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</si>
  <si>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</si>
  <si>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</si>
  <si>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</si>
  <si>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</si>
  <si>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</si>
  <si>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</si>
  <si>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</si>
  <si>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</si>
  <si>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</si>
  <si>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</si>
  <si>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</si>
  <si>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</si>
  <si>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</si>
  <si>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</si>
  <si>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</si>
  <si>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</si>
  <si>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</si>
  <si>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</si>
  <si>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</si>
  <si>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</si>
  <si>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</si>
  <si>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</si>
  <si>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</si>
  <si>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</si>
  <si>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</si>
  <si>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</si>
  <si>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</si>
  <si>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</si>
  <si>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</si>
  <si>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</si>
  <si>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</si>
  <si>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</si>
  <si>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</si>
  <si>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</si>
  <si>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</si>
  <si>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</si>
  <si>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</si>
  <si>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</si>
  <si>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</si>
  <si>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</si>
  <si>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</si>
  <si>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</si>
  <si>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</si>
  <si>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</si>
  <si>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</si>
  <si>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</si>
  <si>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</si>
  <si>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</si>
  <si>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</si>
  <si>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</si>
  <si>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</si>
  <si>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</si>
  <si>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</si>
  <si>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</si>
  <si>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</si>
  <si>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</si>
  <si>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</si>
  <si>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</si>
  <si>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</si>
  <si>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</si>
  <si>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</si>
  <si>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</si>
  <si>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</si>
  <si>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</si>
  <si>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</si>
  <si>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</si>
  <si>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</si>
  <si>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</si>
  <si>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</si>
  <si>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</si>
  <si>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</si>
  <si>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</si>
  <si>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</si>
  <si>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</si>
  <si>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</si>
  <si>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</si>
  <si>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</si>
  <si>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</si>
  <si>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</si>
  <si>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</si>
  <si>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</si>
  <si>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</si>
  <si>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 de avance de meta a Diciembre de 2020</t>
  </si>
  <si>
    <t>Avance cualitativo a Diciembre</t>
  </si>
  <si>
    <t xml:space="preserve">Avance cuantitativo a Diciembre 2020 </t>
  </si>
  <si>
    <t>Avance cuantitativo acumulado vigencias 2019-2020</t>
  </si>
  <si>
    <t>AÑO</t>
  </si>
  <si>
    <t>META</t>
  </si>
  <si>
    <t>EJECUTADO</t>
  </si>
  <si>
    <t>ACUMULADO</t>
  </si>
  <si>
    <t>%</t>
  </si>
  <si>
    <t>Área (ha)</t>
  </si>
  <si>
    <t>Línea base</t>
  </si>
  <si>
    <t>CARTOGRAFÍA</t>
  </si>
  <si>
    <t>Año</t>
  </si>
  <si>
    <t>Meta</t>
  </si>
  <si>
    <t>Avance</t>
  </si>
  <si>
    <t>% Avance</t>
  </si>
  <si>
    <t>Meta real</t>
  </si>
  <si>
    <t>Línea Base</t>
  </si>
  <si>
    <t>-</t>
  </si>
  <si>
    <t>Ene-Dic 2019</t>
  </si>
  <si>
    <t>Ene-Dic 2020</t>
  </si>
  <si>
    <t>Ene-Dic 2021</t>
  </si>
  <si>
    <t>Ene-Dic 2022</t>
  </si>
  <si>
    <t>2018-2022</t>
  </si>
  <si>
    <t>12.5%</t>
  </si>
  <si>
    <t>10.5%</t>
  </si>
  <si>
    <t>CARACTERIZACIÓN</t>
  </si>
  <si>
    <r>
      <rPr>
        <b/>
        <sz val="12"/>
        <color theme="1"/>
        <rFont val="Arial"/>
        <family val="2"/>
      </rPr>
      <t>Para la vigencia 2020, respecto a la implementación del Sistema Nacional de Información de Catastro Multipróposito, se logró un porcentaje  de cumplimiento del 15% y un acumulado para las vigencias 2019-2020 del 20%</t>
    </r>
    <r>
      <rPr>
        <sz val="12"/>
        <color theme="1"/>
        <rFont val="Arial"/>
        <family val="2"/>
      </rPr>
      <t>.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r>
  </si>
  <si>
    <r>
      <t xml:space="preserve">5% (Año 2019) + 15%(Año 2020)= </t>
    </r>
    <r>
      <rPr>
        <b/>
        <sz val="12"/>
        <color theme="1"/>
        <rFont val="Arial"/>
        <family val="2"/>
      </rPr>
      <t>20% (Acumulado)</t>
    </r>
  </si>
  <si>
    <r>
      <t>8 (Año 2019) + 11 (Año 2020) =</t>
    </r>
    <r>
      <rPr>
        <b/>
        <sz val="12"/>
        <color theme="1"/>
        <rFont val="Arial"/>
        <family val="2"/>
      </rPr>
      <t xml:space="preserve"> 19 (Acumulado)</t>
    </r>
  </si>
  <si>
    <r>
      <t xml:space="preserve">Se emitió acto administrativo de Habilitación al Municipio de Sincelejo-Sucre, mediante Resolución 1030 del 10 de  diciembre de 2020.
Se emitió acto administrativo de Habilitación al Municipio de Sesquilé-Cundinamarca, mediante Resolución 1057 del 16 de  diciembre de 2020.
De acuerdo con lo anterior, en diciembre se habilitaron 2 gestores catastrales, quedando a la fecha 19 gestores catastrales habilitados.
</t>
    </r>
    <r>
      <rPr>
        <b/>
        <sz val="12"/>
        <color theme="1"/>
        <rFont val="Arial"/>
        <family val="2"/>
      </rPr>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r>
  </si>
  <si>
    <t>Se estima que los Gestores catastrales entregarán la información el 20 de enero , una vez se realice la revisión  en el sistema nacional catastral con el fin de obtener la información del área geográfica con catastro actualizado y reportar las cifras finales corte diciembre 2020</t>
  </si>
  <si>
    <t>Ver Observación en "Avance Cualitativo a Diciembre"</t>
  </si>
  <si>
    <t>% avance acumulado
vigencias 2019 -2020</t>
  </si>
  <si>
    <t>Este indicador se debe revisar con DNP para verificar si es de tipo acumulación o suma</t>
  </si>
  <si>
    <r>
      <t xml:space="preserve">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t>
    </r>
    <r>
      <rPr>
        <b/>
        <sz val="12"/>
        <color theme="1"/>
        <rFont val="Arial"/>
        <family val="2"/>
      </rPr>
      <t>Por otra parte, para la vigencia 2020 se programó una meta del 30% de implementación del programa marco de operación del sistema de información Geográfico -SIG Indígena, la cual se cumplió al 100%</t>
    </r>
    <r>
      <rPr>
        <sz val="12"/>
        <color theme="1"/>
        <rFont val="Arial"/>
        <family val="2"/>
      </rPr>
      <t xml:space="preserve"> desarrollando las siguientes etapas: 1.) Planeación del proyecto vigencia 2020 (8%), 2.) Análisis de nuevas funcionalidades para el SIG indígenas (9%),3.) Transferencia de Conocimiento (10%) y 4.) Soporte de funcionamiento del SIG Indígenas (3%)         
        </t>
    </r>
  </si>
  <si>
    <t>Pendiente</t>
  </si>
  <si>
    <t>REZAGO 2019</t>
  </si>
  <si>
    <t>REZAGO 2020</t>
  </si>
  <si>
    <t>SIN REZAGO</t>
  </si>
  <si>
    <t>REZAGO CUATRIENIO</t>
  </si>
  <si>
    <t>NUEVA META 2021</t>
  </si>
  <si>
    <t>REZAGO 2020 (ha)</t>
  </si>
  <si>
    <t>REZAGO CUATRIENIO (ha)</t>
  </si>
  <si>
    <t>N/A</t>
  </si>
  <si>
    <t>PENDIENTE PARA CUMPLIR CUATRIENIO</t>
  </si>
  <si>
    <t>CUMPLIDA</t>
  </si>
  <si>
    <t>NUEVA META 2021 (ha)</t>
  </si>
  <si>
    <t>REZAGO METAS</t>
  </si>
  <si>
    <t>Para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acumulado a la fecha de 13.418.129 ha.
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 Lo anterior suma un cumplimiento acumulado 2019-2020 del 64,18% respecto a la meta del 23%,</t>
  </si>
  <si>
    <t>3% (Año 2019)+11,76%(Año 2020)= 14,76% ( acumulado)
El avance acumulado 2019 -2020  en ha es de 17.238.844,5, sin embargo teniendo en cuenta que para el año 2019 se registro el 3% equivalente a 3.422.898,1 ha y no se tuvo en cuenta el real ejecutado: 3.820.715,52 ha; se toma el valor total de 16.841.027,10 ( 13.418.129+3.422.898,1)
Ver hoja 2</t>
  </si>
  <si>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 Lo anterior suma un cumplimiento acumulado 2019-2020 del 100,62% respecto a la meta del 37%,</t>
  </si>
  <si>
    <t>12,5% (Línea Base) + 10,5% (Año 2019) +14,23% (Año 2020)= 37,23% (Acumulado)
Ver hoja 3</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</si>
  <si>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25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Lo anterior suma un cumplimiento acumulado 2019-2020 de 372 geoservicios, con  respecto a la meta de 200, cumpliendo en un 186%,</t>
  </si>
  <si>
    <t>185(Año 2019) + 187 (Año 2020)= 372 (Acumulado)</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</si>
  <si>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</si>
  <si>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</si>
  <si>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</si>
  <si>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</si>
  <si>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</si>
  <si>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</si>
  <si>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</si>
  <si>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</si>
  <si>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</si>
  <si>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</si>
  <si>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</si>
  <si>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</si>
  <si>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</si>
  <si>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</si>
  <si>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</si>
  <si>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</si>
  <si>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</si>
  <si>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LB</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</si>
  <si>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</si>
  <si>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</si>
  <si>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</si>
  <si>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</si>
  <si>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</si>
  <si>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</si>
  <si>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</si>
  <si>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</si>
  <si>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</si>
  <si>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</si>
  <si>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</si>
  <si>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</si>
  <si>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</si>
  <si>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</si>
  <si>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</si>
  <si>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</si>
  <si>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</si>
  <si>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</si>
  <si>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El avance acumulado a 2020 fue de 10,32% con  la actualización de 4.038.252 hectáreas.</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</si>
  <si>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</si>
  <si>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</si>
  <si>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</si>
  <si>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</si>
  <si>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</si>
  <si>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</si>
  <si>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</si>
  <si>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</si>
  <si>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</si>
  <si>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</si>
  <si>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</si>
  <si>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</si>
  <si>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</si>
  <si>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</si>
  <si>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</si>
  <si>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</si>
  <si>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</si>
  <si>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</si>
  <si>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</si>
  <si>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</si>
  <si>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</si>
  <si>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</si>
  <si>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</si>
  <si>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</si>
  <si>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</si>
  <si>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</si>
  <si>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</si>
  <si>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</si>
  <si>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</si>
  <si>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</si>
  <si>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</si>
  <si>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</si>
  <si>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</si>
  <si>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</si>
  <si>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</si>
  <si>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</si>
  <si>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</si>
  <si>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</si>
  <si>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</si>
  <si>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</si>
  <si>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</si>
  <si>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</si>
  <si>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</si>
  <si>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</si>
  <si>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</si>
  <si>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</si>
  <si>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</si>
  <si>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</si>
  <si>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</si>
  <si>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</si>
  <si>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</si>
  <si>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</si>
  <si>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Mide el número de entidades públicas nacionales o territoriales, incluyendo, entre otros, esquemas asociativos de entidades territoriales, que sean habilitados como gestores catastrales para la prestación del servicio catastral.</t>
  </si>
  <si>
    <t>Mide el número de geoservicios publicados y disponibles en el Portal Geografico Nacional - PGN por las entidades productoras del orden nacinal y territorial de utilidad para la toma de decisiones que promueven el desarrollo regional.</t>
  </si>
  <si>
    <t>Mide el porcentaje de avance de la implementación del programa marco de operaciòn del Sistema de Informaciòn Geogràfico - SIG Indìgena a partir de las actividades de análisis, diseño, desarrollo,aseguramiento de calidad, puesta en producción y operación del Sistema</t>
  </si>
  <si>
    <t xml:space="preserve">Mide el porcentaje del área geográfica con productos cartográficos generados a diferentes escalas para su uso en  proyectos de intervención territorial como el Catastro Multipróposito y los POT </t>
  </si>
  <si>
    <t>Mide el total del área geográfica que cuenta con un catastro actualizado, incluidos  el área geográfica bajo jurisdicción del IGAC y de los gestores catastrales habilitados.</t>
  </si>
  <si>
    <t>Mide el porcentaje de cubrimiento con caracterización y análisis geográfico del territorio nacional, para generar estudios y metodologías geográficas como herramientas para apoyar la gestión del desarrollo territorial, así como para proyectos tales como el barrido predial masivo en los municipio donde se implementará el catastro multipropósito</t>
  </si>
  <si>
    <t>Mide el área de los municipios PDET a los cuales se les ha realizado actualización de la información catastral, incluyendo el área los municipios PDET que se encuentran bajo jurisdicción del IGAC y de los Gestores Catastrales.</t>
  </si>
  <si>
    <t>Mide el porcentaje de avance de la implementación del Sistema de Información de Catastro Multipropósito a partir de las actividades de análisis, diseño, desarrollo,aseguramiento de calidad, puesta en producción y operación del Sistema.</t>
  </si>
  <si>
    <t>OBJETIVO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</si>
  <si>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</si>
  <si>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</si>
  <si>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</si>
  <si>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</si>
  <si>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</si>
  <si>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</si>
  <si>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</si>
  <si>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</si>
  <si>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</si>
  <si>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</si>
  <si>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</si>
  <si>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</si>
  <si>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</si>
  <si>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</si>
  <si>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</si>
  <si>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</si>
  <si>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</si>
  <si>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</si>
  <si>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</si>
  <si>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</si>
  <si>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</si>
  <si>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</si>
  <si>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</si>
  <si>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</si>
  <si>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</si>
  <si>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</si>
  <si>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</si>
  <si>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</si>
  <si>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</si>
  <si>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</si>
  <si>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</si>
  <si>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</si>
  <si>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</si>
  <si>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</si>
  <si>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</si>
  <si>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</si>
  <si>
    <t>Para el mes de mayo se continuó con el procesamiento de la información secundaria del segundo grupo de 11 municipios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</si>
  <si>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Para el mes de junio, se finalizó la caracterización territorial de los municipios de Mahates, María La Baja (Bolívar), Morales y Piendamó (Cauca), correspondiente a 168.576 ha. Así mismo, se continuó con el procesamiento de la información secundaria de algunos municipios de Risaralda y, parte de los municipios de Cauca y Bolívar, de los 100 municipios priorizados </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</si>
  <si>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Así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</si>
  <si>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Se avanzó en la caracterización territorial de diez (10) municipios: Rioviejo y San Martín de Loba en el departamento de Bolívar; Palmito, Los Palmitos y San Onofre en Sucre, y Almaguer, Cajibío, Mercaderes, Piamonte y Sucre en Cauca, se adelantó en el análisis de POT para los mismos municipios.
A la fecha se continua con un total acumulado treinta y dos (32) caracterizaciones territoriales correspondiente a 7.362.927,50 ha.
Así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</si>
  <si>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 xml:space="preserve">Se finalizó la caracterización territorial de diez (10) municipios: Rioviejo y San Martín de Loba en el departamento de Bolívar; Palmito, Los Palmitos y San Onofre en el departamento de Sucre, y Almaguer, Cajibío, Mercaderes, Piamonte y Sucre en el  departamento del Cauca, correspondiente a 543.080,68 ha, para un total acumulado a la fecha de cuarenta y dos (42) caracterizaciones territoriales correspondiente a 7.906.008,18 ha.
Así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 garzón en el departamento de Putumayo. Se continuó con la gestión y procesamiento de información de municipios priorizados, en donde se ha presentado una respuesta tardía por parte de los municipios de Villa garzón, San Miguel, Mocoa, San Miguel y Valle del Guamuez (departamento de Putumayo) en cuanto a los POTs, POMCA, veredas y barrios, generando un leve avance al programado. </t>
  </si>
  <si>
    <t>Se finalizó la caracterización territorial de diez (10) municipios: Guachené, Inzá, Padilla, Santa Rosa y Florencia en el Departamento del Cauca; Mocoa, San Miguel, Valle del Guamuez y Villa garzón en Putumayo y Topaipí en Cundinamarca, correspondiente a 878.651,99 ha, para un total acumulado a la fecha de cincuenta  y dos (52) caracterizaciones territoriales correspondiente a 8.784.660,17 ha.
Así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</si>
  <si>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Para el mes de diciembre, se finalizó la caracterización territorial de cuarenta y tres (43) municipios: Gachancipá, Florencia, Albania, Belén de los Andaquies, El Doncello, El Paujil, La Montañita, Milán, Morelia, San José de Fragua, Valparaíso, San Vicente del Caguán, La Macarena, Puerto Gaitán, Planadas. Boavita, Covarachía, Cuítiva, Iza, Tipacoque, Chimá, Momil, Purísima de la Concepción, San Andrés de Sotavento, Tuchín, Aracataca, Fundación, Cabuyaro, Cumbitara, El Rosario, Leiva, Chalán, Morroa, Tolú viejo. Agustín Codazzi, Astrea, Becerril, El Paso, Manaure balcón del Cesar, Puebo Bello, San Diego, Tamalameque, Dibulla, correspondiente a 7.447.043,27 ha, para un total en la vigencia 2020 de 16.231.703,44 ha y 95 caracterizaciones.</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</si>
  <si>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Así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ejecutó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</si>
  <si>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Durante el mes de octubre se generó la primera versión del Modelo de Aplicación SINIC bajo el estándar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</si>
  <si>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Con corte a Diciembre 31 de 2020, respecto a la implementación del Sistema Nacional de Información de Catastro Multipropósito,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</si>
  <si>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realizaron reuniones con  los Gestores Catastrales, la Superintendencia de Notariado y Registro, y el Departamento Nacional de Planeación; con el propósito de definir el alcance del Sistema Nacional de Información de Catastro Multipropósito SINIC, con relación a las  funcionalidades del mismo, requeridas para el ejercicio de las funciones de inspección, vigilancia y control que hacen parte del servicio público catastral.</t>
  </si>
  <si>
    <t>A junio de 2020 se cuenta con la habilitación de 3 Gestores Catastrales nuevos, los cuales se suman a los 8 gestores de la vigencia 2019.
*MASORA. Resolucion_307_2020
 *Municipio de SOACHA. Resolución 377 2-04-2020 SOACHA
 *Área Metropolitana de Barranquilla - AMB". Resolución No. 602 del 25-06-2020
 Adicionalmente se revisaron las solicitudes de Habilitación como Gestores Catastrales de Fusagasugá y de la Gobernación de Cundinamarca, emitiendo para esta ultima la Resolución No. 585 del 23-06-2020, " Por medio de la cual se da inicio al tramite de habilitación como gestor catastral al Departamento de Cundinamarca". 
Se atendieron solicitudes de prorroga para Distrito de Santa Marta, Municipios de Sesquilé y Planeta Rica.
Por ultimo, se atendió la solicitud de exclusión del municipio de Palmira- Valle del Cauca, mediante resolución Resolución No. 609 del 30-06-2020 " Por medio de la cual se aclara la Resolución No. 444 de 6 de mayo del 2020".</t>
  </si>
  <si>
    <t>Se revisaron los ajustes de las propuestas de Habilitación de Valle de Aburrá y del municipio de Fusagasugá, validando el cumplimiento de las condiciones jurídicas, técnicas, económicas y financieras. Por lo anterior, se dio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</si>
  <si>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inicio al trámite de Habilitación como Gestores Catastrales: mediante Resolución 729/2020 al Distrito de Santa Marta y por Resolución 751/2020  al municipio de San José de Cúcuta.
</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</si>
  <si>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geoservicios se encuentran operando plenamente  y 10 geoservicios  se encuentran operando parcialmente.
Así mismo, se realizó la incorporación de 21 nuevos geoservicios correspondientes a las siguientes entidades: CAR Cundinamarca, Corpoboyacá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Geográfico Nacional de los cuales 313 geoservicios se encuentran operando plenamente y 22 geoservicios se encuentran operando parcialmente. </t>
  </si>
  <si>
    <t>En el mes de diciembre se realizó el monitoreo automático de los geoservicios del Portal Geográfico Nacional mediante la herramienta libre GeoHealthCheck optimizando el seguimiento de 335 geoservicios, de estos geoservicios se identifica que 320 geoservicios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</si>
  <si>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Porcentaje de implementación del programa marco de operación del sistema de información Geográfico -SIG (SIG Indígena)</t>
  </si>
  <si>
    <t>Al mes de marzo se elaboraron las condiciones de contratación para el personal que desarrollará las actividades programadas para el Sistema de Información Geográfico -SIG (indígena) y se realizó la revisión de hojas de vida del personal requerido.</t>
  </si>
  <si>
    <t>En el mes de agosto se validó el plan de gestión y cronograma de actividades por parte de la Comisión Nacional de Territorios Indígenas - CNTI.
Se realizaron dos jornadas de levantamiento de requerimientos con la Comisión Nacional de Territorios Indígenas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Indígenas - CNTI y se generó la primera versión de la capacitación.
Así mismo, se realizó la instalación del sistema en la infraestructura suministrada por la Comisión Nacional de Territorios Indígenas - CNT y se realizó la entrega de la documentación existente de la fase I del proyecto, el sistema de información se encuentra en pruebas de aceptación por parte de la CNT.</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</si>
  <si>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indígenas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indígenas (CNTI). </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</si>
  <si>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Indígenas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</si>
  <si>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Indígenas - CNTI.
Así mismo se realizó con éxito el curso de fundamentos de la información geográfica para pueblos indígenas con la participación de 20 personas de diferentes comunidades indígenas y personal de la  Comisión Nacional de Territorios Indígenas - CNTI.
Por otra parte, se revisaron las incidencias reportadas por la Comisión Nacional de Territorios Indígenas - CNTI y se generó un plan de trabajo con el fin de atender las incidencias encontradas durante el mes de diciembre.
</t>
  </si>
  <si>
    <t>En el mes de febrero se realizó la elaboración del Plan de Gestión del Proyecto SIG-Indígena Fase II y del cronograma de actividades del Proyecto.
Así mismo, se envió comunicado a la Comisión Nacional de Territorios Indígenas - CNTI con el fin de programar una reunión para la revisión y aprobación del plan de gestión y cronograma de actividades del proyecto SIG-Indígena Fase II.</t>
  </si>
  <si>
    <t>Rezago %área actualizada</t>
  </si>
  <si>
    <t>Avance físico total territorio nacional</t>
  </si>
  <si>
    <t>%Avance total territorio nacional</t>
  </si>
  <si>
    <t>Avance físico total territorio nacional acumulado</t>
  </si>
  <si>
    <t>%Avance total territorio nacional acumulado</t>
  </si>
  <si>
    <t>Para el año 2019 se generaron 3.820.715,53 productos de Cartografía básica a escalas medianas, que equivalen al 3% del área geográfica con cartografía básica a las escalas y con la temporalidad adecuadas, del total del área geográfica continental e insular del país. Se generaron los siguientes productos: -Productos cartográficos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</si>
  <si>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En el mes de abril, se generaron 34.421,34 ha de ortoimágenes del municipio de María la Baja, Boyacá. Se aerotriangularon 96.969 ha del municipio de Río Blanco y la zona del tablazo, y se restituyeron 4.688 ha de esta última zona. Así mismo, se realizó la edición del Modelo Digital de Superficie en la zona limítrofe de Amazonas correspondiente a 900.000 ha aproximadamente y, se gestionaron con la Fuerza Aérea Colombiana 223.500 ha con cubrimiento parcial de 24 municipios.</t>
  </si>
  <si>
    <t xml:space="preserve">En el mes de mayo,  se generó Ortofotomosaico parcial para 67.016 ha (32,77%) del municipio de Rioblanco (Tolima) y se aerotriangularon 64.304 ha (63%) del municipio de Ataco (Tolima). Así mismo, se gestionaron e incorporaron al Banco Nacional de Imágenes 16.000 ha aproximadamente del municipio de Chaparral (Tolima) gestionadas con la Fuerza Aérea Colombiana; 3.376,47 ha (ortofotomosaicos) de 6 municipios de Risaralda (Balboa, Belén de Umbría, Marsella, la Celia, Apia, Santuario) gestionadas con la Federación Nacional de Cafeteros y, con el avión del IGAC se tomaron 1.829 ha del municipio de la Plata (Huila). </t>
  </si>
  <si>
    <t xml:space="preserve">Al mes de junio de 2020 se generaron un total de 102.037,34 ha, así: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Cáceres- Antioquia. De otra parte, se gestionaron insumos cartográficos con la FAC de 16.000 ha aproximadamente del municipio de Chaparral (Tolima), 223.500 ha con cubrimiento parcial de 24 municipios y 557.212 ha de imágenes ADS para 7 municipios; con la Federación Nacional de Cafeteros  3.376,47 ha (ortofotomosaicos) de 6 municipios de Risaralda (Balboa, Belén de Umbría, Marsella, la Celia, Apia, Santuario); 435.891 ha Policía Nacional para 3 Municipios, con el avión del IGAC se tomaron 599,120 ha de 21 municipios y, se hizo captura con rpas(dron) de  1.536 ha para 11 Municipios.
Adicionalmente, se realizó la validación de la base de datos rural (73.000 has.) del municipio de Monterrey, Casanare.
</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</si>
  <si>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Montería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Así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Policía Nacional y la Unidad  Nacional de Gestión del Riesgo y Desastres-UNGRD de municipios de los departamentos de Nariño, Cauca, Santander, Bolívar y Cundinamarca. </t>
  </si>
  <si>
    <t>Para el mes de agosto, se generaron ortoimágenes para 1.146.437,03 ha de los municipios de Cáceres (Antioquia) y Guática, Santuario y Belén de umbría (Risaralda), Ataco (Tolima), Valencia (Córdoba), Algarrobo (Magdalena), San Cristóbal y Turbaco (Bolívar), Piendamó, Tunia, Caldono, Santander De Quilichao, Caloto, Guachené, Padilla, Villa Rica, Puerto Tejada, Totoró, Jambaló, Silvia, Popayán (Cauca).Unguía (Chocó), San Carlos y Planeta Rica (Córdoba),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Aérea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satélite alta resolución, a escala 1:50.000 en los municipios de la cruz, remolino, sitio nuevo, Sabanalarga, piñon y campo de la cruz (Magdalena).</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</si>
  <si>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Guática, Balboa, La Celia, Pueblo Rico y Apia – Risaralda, y Sativasur, Buzabanza y Socotá –Boyacá. Zona rural 29.711,94 ha localizadas en pi 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satélite de alta resolución, a escala 1:50.000 en los municipios de Algarrobo, Sabanas de San Ángel,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</si>
  <si>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Monguí, Gámeza, Tópaga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 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</si>
  <si>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Se generó un total de 502.820,64 ha de productos cartográficos en los departamentos de  Tolima, Cauca, Bolívar, Norte de Santander, Nariño, Caquetá, Córdoba;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Así mismo,  se realizó la Captura y/o evaluación de un total de 604.654 hectáreas distribuidas 20 municipios de los departamentos de Bolívar,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María la Baja, El Carmen de Bolívar, Mahates (Bolívar) y AT de área rural de Planadas (Tolima). 
De otra parte, se gestionaron  1.055.714 ha de insumos cartográficos con la  FAC de los departamentos de Guaviare, Vaupés y Meta;  toma efectuada con Dron del IGAC de 1.548 ha de los municipios de Guamo, Córdoba y San jacinto en el departamento de Bolívar; y toma efectuada con el Avión del IGAC de 694,455 ha de los departamentos de Vichada, Arauca Cundinamarca, Tolima. Huila, Meta y Cauca. Se recibieron  6.775.620 has de  información de imágenes Spot compartidas por CORANTIOQUIA que cubren zona centro del Departamento de Antioquia, zona sur del Departamento de Córdoba y zona sur del Departamento de Bolívar .
Adicionalmente, se validaron un total de 140.102,28 hectáreas de vectores restituidos en 3 dimensiones de los departamentos de Tolima, Cauca, Antioquia y Meta.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</si>
  <si>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 Se completó la logística del primer 1er grupo de reconocedores quienes adelantarán la captura e información en campo (líderes,  profesionales sociales, editores). Así mismo, se definió  el  plan de intervención de la primera 1era fase de formación.</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</si>
  <si>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 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</si>
  <si>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Avance a diciembre 2021</t>
  </si>
  <si>
    <t>Avance Cualitativo acumulado</t>
  </si>
  <si>
    <t>REPORTE DE AVANCE A DICIEMBRE 2021</t>
  </si>
  <si>
    <t>Con corte al mes de diciembre de la vigencia 2021, se generó un acumulado de 36.099.509,71 hectáreas de productos de cartografía básica.</t>
  </si>
  <si>
    <t>A 1 de enero de 2022 el número de hectáreas actualizadas fue de 23.283.380, equivalentes al 20,35% del área geográfica total del país (114.096.603 ha) y al 33,92% de la meta del Plan Nacional de Desarrollo (60% correspondiente a 68.457.962 ha)</t>
  </si>
  <si>
    <t xml:space="preserve">Con corte al mes de diciembre de la vigencia 2021 se elaboraron las caracterizaciones territoriales de un acumulado de 73.305.836,39 hectáreas. </t>
  </si>
  <si>
    <t xml:space="preserve">El IGAC avanzó en el proceso de intervención catastral del municipio de Arauquita, con el reconocimiento de 126 hectáreas. Sin embargo, este proceso fue suspendido por temas de orden público.
Adicionalmente, se encuentra en proceso la intervención catastral de los municipios de Orito (Putumayo) y Balboa (Cauca), con recursos SGR-OCAD PAZ.
</t>
  </si>
  <si>
    <t xml:space="preserve">Con corte a diciembre de 2021, se logró un porcentaje del 27% en la implementación de Sistema Nacional de Información de Catastro Multipropósito con la ejecución de las siguientes actividades:
1.Se continuó con el proceso de levantamiento de información al interior dl IGAC para completar las especificaciones funcionales del SINIC/RDM, como actividad preparatoria al inicio de la ejecución del contrato con la fábrica de software.
2. Se realizó la formalización del contrato con la empresa INDRA Colombia S.A.S.  para la prestación de servicios de fábrica de software para el RDM/SINIC se inician reuniones preparatorias con el ánimo de iniciar procesos de inducción a la fábrica de software sobre el proceso de gestión catastral y de los documentos de arquitectura de alto nivel entregados por el DNP.
3. Se realizó reunión de socialización del nuevo tablero de indicadores para implementación del RMD/SINIC a la Superintendencia de Notariado y Registro, Agencia Nacional de Tierras, Parques Nacionales Naturales de Colombia, entre otras entidades.
</t>
  </si>
  <si>
    <t>Durante la vigencia 2021 se habilitaron 15 gestores catastrales que cubren un total de 26 municipios. El avance acumulado del cuatrienio es de 34 gestores catastrales habilitados, los cuáles cubren un total de 260 municipios del territorio nacional. Se obtuvo un avance del 170% con respecto a la meta total del Plan Nacional de Desarrollo 2018-2022, definida en 20 gestores catastrales habilitados.</t>
  </si>
  <si>
    <t xml:space="preserve">Al mes de diciembre de 2021 se realizó el seguimiento de 935 urls o geoservicios, los cuales se encuentran operando plenamente. 
Este monitoreo se realizó mediante la nueva herramienta Geohealthcheck, que tiene como plus la evaluación y monitoreo de geoservicios utilizando sus operaciones lo cual genera una mayor confianza en el indicador obtenido.
Se destaca la generación de un tablero de control abierto al publico el cual se puede acceder a través de la siguiente URL:
https://www.icde.gov.co/geoservicio
</t>
  </si>
  <si>
    <t xml:space="preserve">En el mes de diciembre se finalizó la etapa de desarrollo con el módulo de seguimiento a trámites y el formulario de edición y actualización de solicitudes del administrador del Sistema, se generaron las pruebas a los desarrollos realizados, se generó el código fuente del sistema y se generó el acta de aprobación de los productos de desarrollo. De igual forma, se finalizó la etapa de implementación donde se generaron los instaladores y archivos de despliegue del SIG, se generó el manual de instalación del sistema, se actualizó el manual de usuario del SIG y se realizó la validación de los productos por parte de la Comisión Nacional de Territorios Indígenas - CNTI.
Así mismo, se finalizó el curso de fundamentos de información geográfica para pueblos indígenas, que contó con la participación de diferentes organizaciones indígenas.
Para la vigencia 2021 se programó una meta del 30% de implementación del SIG Indígena, la cual se cumplió al 100% desarrollando las siguientes etapas: 1.) Planeación del proyecto (4%), 2.) Diseño y Desarrollo de las nuevas funcionalidades (12%), 3.) Implementación de las nuevas funcionalidades (4%), 4.) Transferencia de Conocimiento (6%) y 4.) Soporte de funcionamiento del SIG Indígenas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</si>
</sst>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0.0%"/>
    <numFmt numFmtId="165" formatCode="_-* #,##0_-;\-* #,##0_-;_-* &quot;-&quot;??_-;_-@_-"/>
    <numFmt numFmtId="166" formatCode="[$-10409]#,##0.00"/>
    <numFmt numFmtId="167" formatCode="_-* #,##0.0_-;\-* #,##0.0_-;_-* &quot;-&quot;??_-;_-@_-"/>
  </numFmts>
  <fonts count="51"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
      <sz val="12"/>
      <name val="Arial"/>
      <family val="2"/>
    </font>
    <font>
      <sz val="11"/>
      <color rgb="FF000000"/>
      <name val="Calibri"/>
      <family val="2"/>
      <scheme val="minor"/>
    </font>
    <font>
      <sz val="16"/>
      <color theme="1"/>
      <name val="Arial"/>
      <family val="2"/>
    </font>
    <font>
      <sz val="11"/>
      <color rgb="FF000000"/>
      <name val="Arial"/>
      <family val="2"/>
    </font>
    <font>
      <sz val="12"/>
      <color rgb="FF000000"/>
      <name val="Arial"/>
      <family val="2"/>
    </font>
    <font>
      <b/>
      <sz val="11"/>
      <color theme="1"/>
      <name val="Calibri"/>
      <family val="2"/>
      <scheme val="minor"/>
    </font>
    <font>
      <sz val="9"/>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b/>
      <sz val="9"/>
      <color rgb="FF000000"/>
      <name val="Arial"/>
      <family val="2"/>
    </font>
    <font>
      <b/>
      <sz val="10"/>
      <name val="Arial"/>
      <family val="2"/>
    </font>
    <font>
      <b/>
      <sz val="9"/>
      <color indexed="8"/>
      <name val="Tahoma"/>
      <family val="2"/>
    </font>
    <font>
      <sz val="8"/>
      <color indexed="8"/>
      <name val="Tahoma"/>
      <family val="2"/>
    </font>
    <font>
      <b/>
      <sz val="8"/>
      <color indexed="8"/>
      <name val="Tahoma"/>
      <family val="2"/>
    </font>
    <font>
      <b/>
      <sz val="10"/>
      <color theme="1"/>
      <name val="Arial"/>
      <family val="2"/>
    </font>
    <font>
      <b/>
      <sz val="9"/>
      <color theme="1"/>
      <name val="Tahoma"/>
      <family val="2"/>
    </font>
    <font>
      <sz val="8"/>
      <color theme="1"/>
      <name val="Tahoma"/>
      <family val="2"/>
    </font>
    <font>
      <b/>
      <sz val="8"/>
      <color theme="1"/>
      <name val="Tahoma"/>
      <family val="2"/>
    </font>
    <font>
      <sz val="14"/>
      <name val="Arial"/>
      <family val="2"/>
    </font>
    <font>
      <sz val="14"/>
      <color rgb="FF000000"/>
      <name val="Arial"/>
      <family val="2"/>
    </font>
    <font>
      <sz val="14"/>
      <color rgb="FFFF0000"/>
      <name val="Arial"/>
      <family val="2"/>
    </font>
    <font>
      <b/>
      <sz val="48"/>
      <color theme="1"/>
      <name val="Arial"/>
      <family val="2"/>
    </font>
    <font>
      <b/>
      <sz val="16"/>
      <name val="Arial"/>
      <family val="2"/>
    </font>
    <font>
      <b/>
      <sz val="25"/>
      <color theme="0"/>
      <name val="Arial"/>
      <family val="2"/>
    </font>
    <font>
      <b/>
      <sz val="25"/>
      <color theme="1"/>
      <name val="Arial"/>
      <family val="2"/>
    </font>
    <font>
      <sz val="14"/>
      <color indexed="81"/>
      <name val="Tahoma"/>
      <family val="2"/>
    </font>
    <font>
      <b/>
      <sz val="20"/>
      <color theme="0"/>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9"/>
      <color theme="1"/>
      <name val="Arial Narrow"/>
      <family val="2"/>
    </font>
    <font>
      <b/>
      <sz val="9"/>
      <name val="Arial Narrow"/>
      <family val="2"/>
    </font>
    <font>
      <sz val="9"/>
      <color theme="1"/>
      <name val="Arial Narrow"/>
      <family val="2"/>
    </font>
    <font>
      <b/>
      <sz val="24"/>
      <color theme="1"/>
      <name val="Arial"/>
      <family val="2"/>
    </font>
    <font>
      <b/>
      <sz val="12"/>
      <color indexed="81"/>
      <name val="Tahoma"/>
      <family val="2"/>
    </font>
    <font>
      <sz val="12"/>
      <color indexed="81"/>
      <name val="Tahoma"/>
      <family val="2"/>
    </font>
    <font>
      <sz val="11"/>
      <color theme="1"/>
      <name val="Arial"/>
      <family val="2"/>
    </font>
    <font>
      <sz val="11"/>
      <color rgb="FF222222"/>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lightUp">
        <bgColor rgb="FFD2D2D2"/>
      </patternFill>
    </fill>
    <fill>
      <patternFill patternType="darkUp">
        <fgColor rgb="FF808080"/>
        <bgColor rgb="FFCACACA"/>
      </patternFill>
    </fill>
    <fill>
      <patternFill patternType="solid">
        <fgColor theme="4" tint="0.59999389629810485"/>
        <bgColor indexed="64"/>
      </patternFill>
    </fill>
    <fill>
      <patternFill patternType="solid">
        <fgColor theme="0"/>
        <bgColor indexed="0"/>
      </patternFill>
    </fill>
    <fill>
      <patternFill patternType="solid">
        <fgColor theme="4"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FF00"/>
        <bgColor indexed="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medium">
        <color rgb="FFBFBFBF"/>
      </left>
      <right style="medium">
        <color rgb="FFBFBFBF"/>
      </right>
      <top style="medium">
        <color rgb="FFBFBFBF"/>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57">
    <xf numFmtId="0" fontId="0" fillId="0" borderId="0" xfId="0"/>
    <xf numFmtId="0" fontId="2" fillId="0" borderId="0" xfId="0" applyFont="1"/>
    <xf numFmtId="0" fontId="2" fillId="0" borderId="0" xfId="0" applyFont="1" applyBorder="1"/>
    <xf numFmtId="0" fontId="2" fillId="0" borderId="0" xfId="0" applyFont="1" applyFill="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0" fontId="7" fillId="0" borderId="9"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0" fontId="2" fillId="0" borderId="0" xfId="0" applyFont="1" applyBorder="1" applyAlignment="1"/>
    <xf numFmtId="9" fontId="7" fillId="3" borderId="1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9"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9" xfId="0"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9" xfId="1" applyFont="1" applyFill="1" applyBorder="1" applyAlignment="1">
      <alignment horizontal="center" vertical="center"/>
    </xf>
    <xf numFmtId="0" fontId="7" fillId="3" borderId="14" xfId="0" applyFont="1" applyFill="1" applyBorder="1" applyAlignment="1">
      <alignment horizontal="left" vertical="center" wrapText="1"/>
    </xf>
    <xf numFmtId="164" fontId="7" fillId="0"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9" fontId="8" fillId="3" borderId="9" xfId="0" applyNumberFormat="1" applyFont="1" applyFill="1" applyBorder="1" applyAlignment="1">
      <alignment horizontal="center" vertical="center"/>
    </xf>
    <xf numFmtId="9" fontId="7" fillId="0" borderId="9" xfId="3"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0" fontId="7" fillId="0" borderId="9" xfId="3" applyNumberFormat="1" applyFont="1" applyFill="1" applyBorder="1" applyAlignment="1">
      <alignment horizontal="center" vertical="center"/>
    </xf>
    <xf numFmtId="0" fontId="4" fillId="2"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7" fillId="0" borderId="9" xfId="0" applyFont="1" applyBorder="1" applyAlignment="1">
      <alignment vertical="center" wrapText="1"/>
    </xf>
    <xf numFmtId="9" fontId="7" fillId="3" borderId="9" xfId="0" applyNumberFormat="1" applyFont="1" applyFill="1" applyBorder="1" applyAlignment="1">
      <alignment horizontal="center" vertical="center" wrapText="1"/>
    </xf>
    <xf numFmtId="0" fontId="7" fillId="0" borderId="9" xfId="0" applyFont="1" applyBorder="1" applyAlignment="1">
      <alignment wrapText="1"/>
    </xf>
    <xf numFmtId="9" fontId="8" fillId="3" borderId="9" xfId="1" applyFont="1" applyFill="1" applyBorder="1" applyAlignment="1">
      <alignment horizontal="center" vertical="center"/>
    </xf>
    <xf numFmtId="0" fontId="7" fillId="0" borderId="9" xfId="0" applyFont="1" applyBorder="1" applyAlignment="1">
      <alignment horizontal="center" wrapText="1"/>
    </xf>
    <xf numFmtId="0" fontId="7" fillId="0" borderId="9" xfId="0" applyFont="1" applyBorder="1" applyAlignment="1">
      <alignment horizontal="center" vertical="center" wrapText="1"/>
    </xf>
    <xf numFmtId="165" fontId="7" fillId="3" borderId="9" xfId="3" applyNumberFormat="1" applyFont="1" applyFill="1" applyBorder="1" applyAlignment="1">
      <alignment horizontal="center" vertical="center" wrapText="1"/>
    </xf>
    <xf numFmtId="165" fontId="7" fillId="3" borderId="9" xfId="3" applyNumberFormat="1" applyFont="1" applyFill="1" applyBorder="1" applyAlignment="1">
      <alignment vertical="center" wrapText="1"/>
    </xf>
    <xf numFmtId="0" fontId="2" fillId="3" borderId="14"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7" fillId="3" borderId="1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10" fillId="0" borderId="1" xfId="0" applyFont="1" applyBorder="1" applyAlignment="1">
      <alignment vertical="center" wrapText="1"/>
    </xf>
    <xf numFmtId="9" fontId="2" fillId="0" borderId="0" xfId="1" applyFont="1" applyBorder="1"/>
    <xf numFmtId="0" fontId="11" fillId="0" borderId="33" xfId="0" applyFont="1" applyBorder="1" applyAlignment="1">
      <alignment horizontal="left" vertical="center" wrapText="1"/>
    </xf>
    <xf numFmtId="164" fontId="12" fillId="3" borderId="14"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13" fillId="0" borderId="0" xfId="0" applyNumberFormat="1" applyFont="1"/>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top" wrapText="1"/>
    </xf>
    <xf numFmtId="0" fontId="14" fillId="0" borderId="37"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4" fontId="0" fillId="0" borderId="0" xfId="0" applyNumberFormat="1"/>
    <xf numFmtId="4" fontId="16" fillId="0" borderId="0" xfId="0" applyNumberFormat="1" applyFont="1"/>
    <xf numFmtId="10" fontId="2" fillId="0" borderId="0" xfId="0" applyNumberFormat="1" applyFont="1" applyFill="1"/>
    <xf numFmtId="3" fontId="17" fillId="0" borderId="0" xfId="0" applyNumberFormat="1" applyFont="1"/>
    <xf numFmtId="164" fontId="2" fillId="0" borderId="0" xfId="1" applyNumberFormat="1" applyFont="1" applyFill="1"/>
    <xf numFmtId="10" fontId="2" fillId="0" borderId="1" xfId="0" applyNumberFormat="1" applyFont="1" applyFill="1" applyBorder="1" applyAlignment="1">
      <alignment vertical="center" wrapText="1"/>
    </xf>
    <xf numFmtId="0" fontId="16" fillId="0" borderId="41" xfId="0" applyFont="1" applyBorder="1" applyAlignment="1">
      <alignment horizontal="center" vertical="center"/>
    </xf>
    <xf numFmtId="10" fontId="16" fillId="0" borderId="42" xfId="0" applyNumberFormat="1" applyFont="1" applyBorder="1" applyAlignment="1">
      <alignment horizontal="center" vertical="center"/>
    </xf>
    <xf numFmtId="4" fontId="16" fillId="0" borderId="42" xfId="0" applyNumberFormat="1" applyFont="1" applyBorder="1" applyAlignment="1">
      <alignment horizontal="right" vertical="center"/>
    </xf>
    <xf numFmtId="0" fontId="16" fillId="8" borderId="42" xfId="0" applyFont="1" applyFill="1" applyBorder="1" applyAlignment="1">
      <alignment horizontal="center" vertical="center"/>
    </xf>
    <xf numFmtId="0" fontId="16" fillId="8" borderId="42" xfId="0" applyFont="1" applyFill="1" applyBorder="1" applyAlignment="1">
      <alignment horizontal="right" vertical="center"/>
    </xf>
    <xf numFmtId="0" fontId="16" fillId="8" borderId="42" xfId="0" applyFont="1" applyFill="1" applyBorder="1" applyAlignment="1">
      <alignment horizontal="right" vertical="center" wrapText="1"/>
    </xf>
    <xf numFmtId="9" fontId="16" fillId="0" borderId="42" xfId="0" applyNumberFormat="1" applyFont="1" applyBorder="1" applyAlignment="1">
      <alignment horizontal="center" vertical="center"/>
    </xf>
    <xf numFmtId="0" fontId="16" fillId="9" borderId="42" xfId="0" applyFont="1" applyFill="1" applyBorder="1" applyAlignment="1">
      <alignment horizontal="center" vertical="center" wrapText="1"/>
    </xf>
    <xf numFmtId="3" fontId="16" fillId="0" borderId="42" xfId="0" applyNumberFormat="1" applyFont="1" applyBorder="1" applyAlignment="1">
      <alignment horizontal="right" vertical="center"/>
    </xf>
    <xf numFmtId="10" fontId="16" fillId="0" borderId="42" xfId="0" applyNumberFormat="1" applyFont="1" applyBorder="1" applyAlignment="1">
      <alignment horizontal="right" vertical="center" wrapText="1"/>
    </xf>
    <xf numFmtId="4" fontId="16" fillId="0" borderId="42" xfId="0" applyNumberFormat="1" applyFont="1" applyBorder="1" applyAlignment="1">
      <alignment horizontal="right" vertical="center" wrapText="1"/>
    </xf>
    <xf numFmtId="0" fontId="21" fillId="10" borderId="42" xfId="0" applyFont="1" applyFill="1" applyBorder="1" applyAlignment="1">
      <alignment horizontal="center" vertical="center"/>
    </xf>
    <xf numFmtId="0" fontId="21" fillId="10" borderId="42" xfId="0" applyFont="1" applyFill="1" applyBorder="1" applyAlignment="1">
      <alignment horizontal="center" vertical="center" wrapText="1"/>
    </xf>
    <xf numFmtId="0" fontId="21" fillId="0" borderId="41" xfId="0" applyFont="1" applyBorder="1" applyAlignment="1">
      <alignment horizontal="center" vertical="center"/>
    </xf>
    <xf numFmtId="0" fontId="22" fillId="3" borderId="1" xfId="0" applyFont="1" applyFill="1" applyBorder="1"/>
    <xf numFmtId="0" fontId="0" fillId="3" borderId="1" xfId="0" applyFill="1" applyBorder="1"/>
    <xf numFmtId="0" fontId="23" fillId="11" borderId="1" xfId="0" applyFont="1" applyFill="1" applyBorder="1" applyAlignment="1" applyProtection="1">
      <alignment horizontal="center" vertical="top" wrapText="1" readingOrder="1"/>
      <protection locked="0"/>
    </xf>
    <xf numFmtId="0" fontId="24" fillId="11" borderId="1" xfId="0" applyFont="1" applyFill="1" applyBorder="1" applyAlignment="1" applyProtection="1">
      <alignment vertical="center" wrapText="1" readingOrder="1"/>
      <protection locked="0"/>
    </xf>
    <xf numFmtId="10" fontId="24" fillId="11" borderId="1" xfId="0" applyNumberFormat="1" applyFont="1" applyFill="1" applyBorder="1" applyAlignment="1" applyProtection="1">
      <alignment horizontal="right" vertical="center" wrapText="1" readingOrder="1"/>
      <protection locked="0"/>
    </xf>
    <xf numFmtId="0" fontId="25" fillId="11" borderId="1" xfId="0" applyFont="1" applyFill="1" applyBorder="1" applyAlignment="1" applyProtection="1">
      <alignment vertical="center" wrapText="1" readingOrder="1"/>
      <protection locked="0"/>
    </xf>
    <xf numFmtId="10" fontId="25" fillId="11" borderId="1" xfId="0" applyNumberFormat="1" applyFont="1" applyFill="1" applyBorder="1" applyAlignment="1" applyProtection="1">
      <alignment horizontal="right" vertical="center" wrapText="1" readingOrder="1"/>
      <protection locked="0"/>
    </xf>
    <xf numFmtId="10" fontId="2" fillId="0" borderId="0" xfId="1" applyNumberFormat="1" applyFont="1" applyFill="1"/>
    <xf numFmtId="0" fontId="16" fillId="0" borderId="42" xfId="0" applyFont="1" applyBorder="1" applyAlignment="1">
      <alignment horizontal="center" vertical="center"/>
    </xf>
    <xf numFmtId="0" fontId="16" fillId="9" borderId="42" xfId="0" applyFont="1" applyFill="1" applyBorder="1" applyAlignment="1">
      <alignment horizontal="right" vertical="center" wrapText="1"/>
    </xf>
    <xf numFmtId="10" fontId="0" fillId="0" borderId="0" xfId="0" applyNumberFormat="1"/>
    <xf numFmtId="4" fontId="15" fillId="0" borderId="0" xfId="0" applyNumberFormat="1" applyFont="1"/>
    <xf numFmtId="9" fontId="0" fillId="0" borderId="0" xfId="1" applyFont="1"/>
    <xf numFmtId="10" fontId="0" fillId="0" borderId="0" xfId="1" applyNumberFormat="1" applyFont="1"/>
    <xf numFmtId="0" fontId="26" fillId="3" borderId="0" xfId="0" applyFont="1" applyFill="1"/>
    <xf numFmtId="0" fontId="0" fillId="3" borderId="0" xfId="0" applyFont="1" applyFill="1"/>
    <xf numFmtId="0" fontId="27" fillId="11" borderId="43" xfId="0" applyFont="1" applyFill="1" applyBorder="1" applyAlignment="1" applyProtection="1">
      <alignment horizontal="center" vertical="top" wrapText="1" readingOrder="1"/>
      <protection locked="0"/>
    </xf>
    <xf numFmtId="0" fontId="28" fillId="11" borderId="43" xfId="0" applyFont="1" applyFill="1" applyBorder="1" applyAlignment="1" applyProtection="1">
      <alignment vertical="center" wrapText="1" readingOrder="1"/>
      <protection locked="0"/>
    </xf>
    <xf numFmtId="0" fontId="28" fillId="11" borderId="43" xfId="0" applyFont="1" applyFill="1" applyBorder="1" applyAlignment="1" applyProtection="1">
      <alignment horizontal="right" vertical="center" wrapText="1" readingOrder="1"/>
      <protection locked="0"/>
    </xf>
    <xf numFmtId="166" fontId="28" fillId="11" borderId="43" xfId="0" applyNumberFormat="1" applyFont="1" applyFill="1" applyBorder="1" applyAlignment="1" applyProtection="1">
      <alignment horizontal="right" vertical="center" wrapText="1" readingOrder="1"/>
      <protection locked="0"/>
    </xf>
    <xf numFmtId="10" fontId="28" fillId="11" borderId="43" xfId="0" applyNumberFormat="1" applyFont="1" applyFill="1" applyBorder="1" applyAlignment="1" applyProtection="1">
      <alignment horizontal="right" vertical="center" wrapText="1" readingOrder="1"/>
      <protection locked="0"/>
    </xf>
    <xf numFmtId="10" fontId="29" fillId="11" borderId="43" xfId="0" applyNumberFormat="1" applyFont="1" applyFill="1" applyBorder="1" applyAlignment="1" applyProtection="1">
      <alignment horizontal="right" vertical="center" wrapText="1" readingOrder="1"/>
      <protection locked="0"/>
    </xf>
    <xf numFmtId="0" fontId="28" fillId="11" borderId="44" xfId="0" applyFont="1" applyFill="1" applyBorder="1" applyAlignment="1" applyProtection="1">
      <alignment horizontal="right" vertical="center" wrapText="1" readingOrder="1"/>
      <protection locked="0"/>
    </xf>
    <xf numFmtId="10" fontId="29" fillId="11" borderId="45" xfId="0" applyNumberFormat="1" applyFont="1" applyFill="1" applyBorder="1" applyAlignment="1" applyProtection="1">
      <alignment horizontal="right" vertical="center" wrapText="1" readingOrder="1"/>
      <protection locked="0"/>
    </xf>
    <xf numFmtId="0" fontId="0" fillId="3" borderId="1" xfId="0" applyFont="1" applyFill="1" applyBorder="1"/>
    <xf numFmtId="9" fontId="2" fillId="3" borderId="1" xfId="0" applyNumberFormat="1" applyFont="1" applyFill="1" applyBorder="1" applyAlignment="1">
      <alignment horizontal="right" vertical="center" wrapText="1"/>
    </xf>
    <xf numFmtId="9" fontId="2" fillId="0" borderId="1" xfId="1" applyFont="1" applyFill="1" applyBorder="1" applyAlignment="1">
      <alignment vertical="center" wrapText="1"/>
    </xf>
    <xf numFmtId="0" fontId="7"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7" fillId="0" borderId="3" xfId="3" applyFont="1" applyFill="1" applyBorder="1" applyAlignment="1">
      <alignment horizontal="right" vertical="center"/>
    </xf>
    <xf numFmtId="43" fontId="7" fillId="0" borderId="2" xfId="3" applyFont="1" applyFill="1" applyBorder="1" applyAlignment="1">
      <alignment horizontal="right" vertical="center"/>
    </xf>
    <xf numFmtId="165" fontId="7" fillId="0" borderId="1" xfId="3" applyNumberFormat="1" applyFont="1" applyFill="1" applyBorder="1" applyAlignment="1">
      <alignment horizontal="right" vertical="center"/>
    </xf>
    <xf numFmtId="165" fontId="7" fillId="0" borderId="2" xfId="3" applyNumberFormat="1" applyFont="1" applyFill="1" applyBorder="1" applyAlignment="1">
      <alignment horizontal="right" vertical="center"/>
    </xf>
    <xf numFmtId="9"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xf>
    <xf numFmtId="9" fontId="7" fillId="0" borderId="1" xfId="0"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43" fontId="7" fillId="0" borderId="1" xfId="3"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7"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9" fontId="10" fillId="0" borderId="1" xfId="0" applyNumberFormat="1" applyFont="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7" fillId="3" borderId="9"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9" fontId="7" fillId="3" borderId="17"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0" fontId="7" fillId="3" borderId="17" xfId="0" applyFont="1" applyFill="1" applyBorder="1" applyAlignment="1">
      <alignment horizontal="right" vertical="center" wrapText="1"/>
    </xf>
    <xf numFmtId="9" fontId="7" fillId="3" borderId="1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9" fontId="30" fillId="0" borderId="1" xfId="0" applyNumberFormat="1" applyFont="1" applyBorder="1" applyAlignment="1">
      <alignment horizontal="right" vertical="center" wrapText="1"/>
    </xf>
    <xf numFmtId="10" fontId="7" fillId="3" borderId="1" xfId="0" applyNumberFormat="1" applyFont="1" applyFill="1" applyBorder="1" applyAlignment="1">
      <alignment horizontal="right" vertical="center" wrapText="1"/>
    </xf>
    <xf numFmtId="4" fontId="31" fillId="0" borderId="33" xfId="0" applyNumberFormat="1" applyFont="1" applyBorder="1" applyAlignment="1">
      <alignment horizontal="right" vertical="center"/>
    </xf>
    <xf numFmtId="4" fontId="13" fillId="0" borderId="33" xfId="0" applyNumberFormat="1" applyFont="1" applyBorder="1" applyAlignment="1">
      <alignment horizontal="right" vertical="center"/>
    </xf>
    <xf numFmtId="10" fontId="7" fillId="3" borderId="14"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3" fontId="31" fillId="0" borderId="1" xfId="0"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3" borderId="11" xfId="0" applyNumberFormat="1" applyFont="1" applyFill="1" applyBorder="1" applyAlignment="1">
      <alignment horizontal="center" vertical="center"/>
    </xf>
    <xf numFmtId="0" fontId="2" fillId="0" borderId="1" xfId="0" applyFont="1" applyFill="1" applyBorder="1" applyAlignment="1">
      <alignment vertical="center"/>
    </xf>
    <xf numFmtId="0" fontId="34" fillId="2" borderId="1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Border="1" applyAlignment="1"/>
    <xf numFmtId="0" fontId="33" fillId="3" borderId="0" xfId="0" applyFont="1" applyFill="1" applyBorder="1" applyAlignment="1">
      <alignment horizontal="center" vertical="center" wrapText="1"/>
    </xf>
    <xf numFmtId="0" fontId="35" fillId="6" borderId="5" xfId="0" applyFont="1" applyFill="1" applyBorder="1" applyAlignment="1">
      <alignment vertical="center"/>
    </xf>
    <xf numFmtId="0" fontId="35" fillId="6" borderId="6" xfId="0" applyFont="1" applyFill="1" applyBorder="1" applyAlignment="1">
      <alignment vertical="center"/>
    </xf>
    <xf numFmtId="0" fontId="5" fillId="3" borderId="3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 fontId="31" fillId="0" borderId="46" xfId="0" applyNumberFormat="1" applyFont="1" applyBorder="1" applyAlignment="1">
      <alignment horizontal="right" vertical="center"/>
    </xf>
    <xf numFmtId="0" fontId="2" fillId="0" borderId="47" xfId="0" applyFont="1" applyFill="1" applyBorder="1" applyAlignment="1">
      <alignment horizontal="right" vertical="center" wrapText="1"/>
    </xf>
    <xf numFmtId="4" fontId="31" fillId="0" borderId="47" xfId="0" applyNumberFormat="1" applyFont="1" applyBorder="1" applyAlignment="1">
      <alignment horizontal="right" vertical="center"/>
    </xf>
    <xf numFmtId="0" fontId="7" fillId="0" borderId="47" xfId="0" applyFont="1" applyFill="1" applyBorder="1" applyAlignment="1">
      <alignment horizontal="right" vertical="center" wrapText="1"/>
    </xf>
    <xf numFmtId="9" fontId="7" fillId="0" borderId="47" xfId="0" applyNumberFormat="1" applyFont="1" applyBorder="1" applyAlignment="1">
      <alignment horizontal="right" vertical="center" wrapText="1"/>
    </xf>
    <xf numFmtId="0" fontId="31" fillId="0" borderId="47" xfId="0" applyFont="1" applyBorder="1" applyAlignment="1">
      <alignment horizontal="right" vertical="center" wrapText="1"/>
    </xf>
    <xf numFmtId="0" fontId="7" fillId="3" borderId="47" xfId="0" applyFont="1" applyFill="1" applyBorder="1" applyAlignment="1">
      <alignment horizontal="right" vertical="center" wrapText="1"/>
    </xf>
    <xf numFmtId="9" fontId="7" fillId="3" borderId="47"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7" fillId="3" borderId="9" xfId="0" applyFont="1" applyFill="1" applyBorder="1" applyAlignment="1">
      <alignment horizontal="left" vertical="center" wrapText="1" readingOrder="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1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5" fillId="3" borderId="5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0" xfId="0" applyFont="1" applyFill="1" applyBorder="1" applyAlignment="1">
      <alignment horizontal="center" vertical="center" wrapText="1"/>
    </xf>
    <xf numFmtId="9" fontId="2" fillId="0" borderId="0" xfId="0" applyNumberFormat="1" applyFont="1" applyBorder="1"/>
    <xf numFmtId="9" fontId="7" fillId="14" borderId="1" xfId="0" applyNumberFormat="1" applyFont="1" applyFill="1" applyBorder="1" applyAlignment="1">
      <alignment horizontal="center" vertical="center"/>
    </xf>
    <xf numFmtId="10" fontId="7" fillId="0" borderId="1" xfId="1" applyNumberFormat="1" applyFont="1" applyFill="1" applyBorder="1" applyAlignment="1">
      <alignment horizontal="center" vertical="center"/>
    </xf>
    <xf numFmtId="43" fontId="7" fillId="15" borderId="2" xfId="3" applyFont="1" applyFill="1" applyBorder="1" applyAlignment="1">
      <alignment horizontal="right" vertical="center"/>
    </xf>
    <xf numFmtId="164" fontId="7" fillId="0" borderId="3" xfId="1" applyNumberFormat="1" applyFont="1" applyFill="1" applyBorder="1" applyAlignment="1">
      <alignment horizontal="right" vertical="center"/>
    </xf>
    <xf numFmtId="164" fontId="7" fillId="0" borderId="2" xfId="1" applyNumberFormat="1" applyFont="1" applyFill="1" applyBorder="1" applyAlignment="1">
      <alignment horizontal="right" vertical="center"/>
    </xf>
    <xf numFmtId="43" fontId="7" fillId="0" borderId="1" xfId="3" applyFont="1" applyFill="1" applyBorder="1" applyAlignment="1">
      <alignment horizontal="center" vertical="center"/>
    </xf>
    <xf numFmtId="165" fontId="7"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7" fillId="0" borderId="2" xfId="1" applyNumberFormat="1" applyFont="1" applyFill="1" applyBorder="1" applyAlignment="1">
      <alignment horizontal="center" vertical="center"/>
    </xf>
    <xf numFmtId="164" fontId="39" fillId="3" borderId="1" xfId="0" applyNumberFormat="1" applyFont="1" applyFill="1" applyBorder="1" applyAlignment="1">
      <alignment horizontal="center" vertical="center" wrapText="1"/>
    </xf>
    <xf numFmtId="0" fontId="7" fillId="3" borderId="11" xfId="0" applyFont="1" applyFill="1" applyBorder="1" applyAlignment="1">
      <alignment horizontal="right" vertical="center" wrapText="1"/>
    </xf>
    <xf numFmtId="165" fontId="7" fillId="3" borderId="2" xfId="3" applyNumberFormat="1" applyFont="1" applyFill="1" applyBorder="1" applyAlignment="1">
      <alignment horizontal="center" vertical="center" wrapText="1"/>
    </xf>
    <xf numFmtId="164" fontId="39" fillId="0" borderId="1" xfId="0" applyNumberFormat="1" applyFont="1" applyBorder="1" applyAlignment="1">
      <alignment horizontal="center" vertical="center" wrapText="1"/>
    </xf>
    <xf numFmtId="165" fontId="7" fillId="0" borderId="1" xfId="3" applyNumberFormat="1" applyFont="1" applyFill="1" applyBorder="1" applyAlignment="1">
      <alignment horizontal="right" vertical="center" wrapText="1"/>
    </xf>
    <xf numFmtId="0" fontId="2" fillId="3" borderId="0" xfId="0" applyFont="1" applyFill="1"/>
    <xf numFmtId="9" fontId="39" fillId="3" borderId="1" xfId="1" applyFont="1" applyFill="1" applyBorder="1" applyAlignment="1">
      <alignment horizontal="center" vertical="center" wrapText="1"/>
    </xf>
    <xf numFmtId="10" fontId="7" fillId="0" borderId="1" xfId="1" applyNumberFormat="1" applyFont="1" applyFill="1" applyBorder="1" applyAlignment="1">
      <alignment horizontal="right" vertical="center"/>
    </xf>
    <xf numFmtId="10" fontId="39" fillId="3" borderId="1" xfId="0" applyNumberFormat="1" applyFont="1" applyFill="1" applyBorder="1" applyAlignment="1">
      <alignment horizontal="center" vertical="center" wrapText="1"/>
    </xf>
    <xf numFmtId="43" fontId="7" fillId="3" borderId="14" xfId="3" applyFont="1" applyFill="1" applyBorder="1" applyAlignment="1">
      <alignment horizontal="center" vertical="center" wrapText="1"/>
    </xf>
    <xf numFmtId="9" fontId="39"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10" fontId="24" fillId="16" borderId="1" xfId="0" applyNumberFormat="1" applyFont="1" applyFill="1" applyBorder="1" applyAlignment="1" applyProtection="1">
      <alignment horizontal="right" vertical="center" wrapText="1" readingOrder="1"/>
      <protection locked="0"/>
    </xf>
    <xf numFmtId="1" fontId="0" fillId="0" borderId="0" xfId="0" applyNumberFormat="1"/>
    <xf numFmtId="0" fontId="2" fillId="3" borderId="2" xfId="0" applyFont="1" applyFill="1" applyBorder="1" applyAlignment="1">
      <alignment horizontal="justify" vertical="top" wrapText="1"/>
    </xf>
    <xf numFmtId="164" fontId="39" fillId="3" borderId="2" xfId="0" applyNumberFormat="1" applyFont="1" applyFill="1" applyBorder="1" applyAlignment="1">
      <alignment horizontal="center" vertical="center" wrapText="1"/>
    </xf>
    <xf numFmtId="43" fontId="7" fillId="3" borderId="1" xfId="3" applyFont="1" applyFill="1" applyBorder="1" applyAlignment="1">
      <alignment horizontal="center" vertical="center" wrapText="1"/>
    </xf>
    <xf numFmtId="9" fontId="40" fillId="3" borderId="2" xfId="1" applyFont="1" applyFill="1" applyBorder="1" applyAlignment="1">
      <alignment horizontal="center" vertical="center" wrapText="1"/>
    </xf>
    <xf numFmtId="0" fontId="7" fillId="3" borderId="11" xfId="0" applyFont="1" applyFill="1" applyBorder="1" applyAlignment="1">
      <alignment horizontal="center" vertical="center" wrapText="1"/>
    </xf>
    <xf numFmtId="9" fontId="39"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39" fillId="0" borderId="1" xfId="0" applyNumberFormat="1" applyFont="1" applyBorder="1" applyAlignment="1">
      <alignment horizontal="center" vertical="center" wrapText="1"/>
    </xf>
    <xf numFmtId="164" fontId="7"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39" fillId="0" borderId="1" xfId="0" applyNumberFormat="1" applyFont="1" applyFill="1" applyBorder="1" applyAlignment="1">
      <alignment horizontal="center" vertical="center" wrapText="1"/>
    </xf>
    <xf numFmtId="9" fontId="6" fillId="3" borderId="2" xfId="1" applyFont="1" applyFill="1" applyBorder="1" applyAlignment="1">
      <alignment horizontal="center" vertical="center"/>
    </xf>
    <xf numFmtId="164" fontId="6" fillId="3" borderId="1" xfId="1"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10" fontId="39" fillId="0" borderId="1" xfId="0" applyNumberFormat="1" applyFont="1" applyFill="1" applyBorder="1" applyAlignment="1">
      <alignment horizontal="center" vertical="center" wrapText="1"/>
    </xf>
    <xf numFmtId="9" fontId="7" fillId="0" borderId="1" xfId="0" applyNumberFormat="1" applyFont="1" applyBorder="1" applyAlignment="1">
      <alignment horizontal="right" vertical="center" wrapText="1"/>
    </xf>
    <xf numFmtId="164" fontId="39" fillId="0" borderId="1" xfId="1" applyNumberFormat="1" applyFont="1" applyBorder="1" applyAlignment="1">
      <alignment horizontal="center" vertical="center" wrapText="1"/>
    </xf>
    <xf numFmtId="0" fontId="7" fillId="0" borderId="1" xfId="0" applyFont="1" applyBorder="1" applyAlignment="1">
      <alignment horizontal="left" vertical="center"/>
    </xf>
    <xf numFmtId="9" fontId="6"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7" fillId="3" borderId="1" xfId="0" applyFont="1" applyFill="1" applyBorder="1" applyAlignment="1">
      <alignment horizontal="justify" vertical="center" wrapText="1" readingOrder="1"/>
    </xf>
    <xf numFmtId="165" fontId="7" fillId="3" borderId="14" xfId="3" applyNumberFormat="1" applyFont="1" applyFill="1" applyBorder="1" applyAlignment="1">
      <alignment horizontal="center" vertical="center" wrapText="1"/>
    </xf>
    <xf numFmtId="43" fontId="7" fillId="0" borderId="9" xfId="3" applyFont="1" applyBorder="1" applyAlignment="1">
      <alignment vertical="center"/>
    </xf>
    <xf numFmtId="9" fontId="39" fillId="0" borderId="1" xfId="1" applyNumberFormat="1" applyFont="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9" fontId="39" fillId="0" borderId="1" xfId="0" applyNumberFormat="1" applyFont="1" applyFill="1" applyBorder="1" applyAlignment="1">
      <alignment horizontal="center" vertical="center" wrapText="1"/>
    </xf>
    <xf numFmtId="43" fontId="7" fillId="0" borderId="1" xfId="3" applyFont="1" applyFill="1" applyBorder="1" applyAlignment="1">
      <alignment horizontal="center" vertical="center" wrapText="1"/>
    </xf>
    <xf numFmtId="164" fontId="7" fillId="0" borderId="1" xfId="0" applyNumberFormat="1" applyFont="1" applyFill="1" applyBorder="1" applyAlignment="1">
      <alignment horizontal="right" vertical="center" wrapText="1" indent="2"/>
    </xf>
    <xf numFmtId="10"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0" fontId="42" fillId="3" borderId="1" xfId="0" applyNumberFormat="1" applyFont="1" applyFill="1" applyBorder="1" applyAlignment="1">
      <alignment horizontal="center" vertical="center"/>
    </xf>
    <xf numFmtId="164" fontId="42"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Fill="1" applyBorder="1" applyAlignment="1">
      <alignment vertical="center" wrapText="1"/>
    </xf>
    <xf numFmtId="0" fontId="45" fillId="3" borderId="1" xfId="0" applyFont="1" applyFill="1" applyBorder="1" applyAlignment="1">
      <alignment horizontal="left" vertical="center" wrapText="1" readingOrder="1"/>
    </xf>
    <xf numFmtId="0" fontId="45" fillId="3" borderId="1" xfId="0" applyFont="1" applyFill="1" applyBorder="1" applyAlignment="1">
      <alignment horizontal="justify" vertical="center" wrapText="1" readingOrder="1"/>
    </xf>
    <xf numFmtId="0" fontId="45" fillId="0" borderId="1" xfId="0" applyFont="1" applyFill="1" applyBorder="1" applyAlignment="1">
      <alignment horizontal="justify" vertical="center" wrapText="1"/>
    </xf>
    <xf numFmtId="0" fontId="45" fillId="0" borderId="1" xfId="0" applyFont="1" applyBorder="1" applyAlignment="1">
      <alignment vertical="center" wrapText="1"/>
    </xf>
    <xf numFmtId="0" fontId="45" fillId="0" borderId="1" xfId="0" applyFont="1" applyBorder="1" applyAlignment="1">
      <alignment wrapText="1"/>
    </xf>
    <xf numFmtId="0" fontId="45" fillId="3" borderId="1" xfId="0" applyFont="1" applyFill="1" applyBorder="1" applyAlignment="1">
      <alignment horizontal="left" vertical="center" wrapText="1"/>
    </xf>
    <xf numFmtId="0" fontId="45" fillId="3" borderId="1" xfId="0" applyFont="1" applyFill="1" applyBorder="1" applyAlignment="1">
      <alignment vertical="center" wrapText="1"/>
    </xf>
    <xf numFmtId="0" fontId="2" fillId="0" borderId="1" xfId="0" applyFont="1" applyFill="1" applyBorder="1" applyAlignment="1">
      <alignment horizontal="center" vertical="center"/>
    </xf>
    <xf numFmtId="10" fontId="39" fillId="0" borderId="9" xfId="0" applyNumberFormat="1" applyFont="1" applyFill="1" applyBorder="1" applyAlignment="1">
      <alignment horizontal="center" vertical="center" wrapText="1"/>
    </xf>
    <xf numFmtId="43" fontId="7" fillId="0" borderId="9" xfId="0" applyNumberFormat="1" applyFont="1" applyFill="1" applyBorder="1" applyAlignment="1">
      <alignment horizontal="center" vertical="center" wrapText="1"/>
    </xf>
    <xf numFmtId="10" fontId="39" fillId="0" borderId="1" xfId="0" applyNumberFormat="1" applyFont="1" applyBorder="1" applyAlignment="1">
      <alignment horizontal="center" vertical="center" wrapText="1"/>
    </xf>
    <xf numFmtId="9" fontId="7" fillId="0" borderId="1" xfId="0" applyNumberFormat="1" applyFont="1" applyFill="1" applyBorder="1" applyAlignment="1">
      <alignment horizontal="right" vertical="center" wrapText="1" indent="2"/>
    </xf>
    <xf numFmtId="0" fontId="7" fillId="0"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wrapText="1"/>
    </xf>
    <xf numFmtId="0" fontId="2" fillId="0" borderId="9" xfId="0" applyFont="1" applyFill="1" applyBorder="1" applyAlignment="1">
      <alignment horizontal="justify" vertical="top" wrapText="1"/>
    </xf>
    <xf numFmtId="0" fontId="2" fillId="0" borderId="14" xfId="0" applyFont="1" applyFill="1" applyBorder="1" applyAlignment="1">
      <alignment horizontal="justify" vertical="top" wrapText="1"/>
    </xf>
    <xf numFmtId="10" fontId="7" fillId="0" borderId="9" xfId="1" applyNumberFormat="1" applyFont="1" applyFill="1" applyBorder="1" applyAlignment="1">
      <alignment horizontal="right" vertical="center"/>
    </xf>
    <xf numFmtId="10" fontId="42" fillId="3" borderId="9" xfId="0" applyNumberFormat="1" applyFont="1" applyFill="1" applyBorder="1" applyAlignment="1">
      <alignment horizontal="center" vertical="center"/>
    </xf>
    <xf numFmtId="164" fontId="39" fillId="0" borderId="9" xfId="0" applyNumberFormat="1" applyFont="1" applyFill="1" applyBorder="1" applyAlignment="1">
      <alignment horizontal="center" vertical="center" wrapText="1"/>
    </xf>
    <xf numFmtId="43" fontId="7" fillId="0" borderId="9" xfId="3"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17" borderId="20" xfId="0" applyFont="1" applyFill="1" applyBorder="1" applyAlignment="1">
      <alignment horizontal="center" vertical="center"/>
    </xf>
    <xf numFmtId="0" fontId="5" fillId="17" borderId="26" xfId="0" applyFont="1" applyFill="1" applyBorder="1" applyAlignment="1">
      <alignment horizontal="center" vertical="center" wrapText="1"/>
    </xf>
    <xf numFmtId="0" fontId="5" fillId="17" borderId="20"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41" fillId="4" borderId="20" xfId="0" applyFont="1" applyFill="1" applyBorder="1" applyAlignment="1">
      <alignment horizontal="center" vertical="center" wrapText="1"/>
    </xf>
    <xf numFmtId="9" fontId="42" fillId="3" borderId="1" xfId="0" applyNumberFormat="1" applyFont="1" applyFill="1" applyBorder="1" applyAlignment="1">
      <alignment horizontal="center" vertical="center"/>
    </xf>
    <xf numFmtId="9" fontId="39" fillId="0" borderId="1" xfId="1" applyFont="1" applyFill="1" applyBorder="1" applyAlignment="1">
      <alignment horizontal="center" vertical="center" wrapText="1"/>
    </xf>
    <xf numFmtId="0" fontId="7" fillId="0" borderId="1" xfId="0" applyFont="1" applyBorder="1" applyAlignment="1">
      <alignment horizontal="left" vertical="center" wrapText="1"/>
    </xf>
    <xf numFmtId="9" fontId="2" fillId="0" borderId="1" xfId="0" applyNumberFormat="1" applyFont="1" applyFill="1" applyBorder="1" applyAlignment="1">
      <alignment horizontal="center" vertical="center"/>
    </xf>
    <xf numFmtId="4" fontId="7" fillId="0" borderId="52" xfId="0" applyNumberFormat="1" applyFont="1" applyBorder="1" applyAlignment="1">
      <alignment horizontal="right" vertical="center"/>
    </xf>
    <xf numFmtId="4" fontId="49" fillId="0" borderId="52" xfId="0" applyNumberFormat="1" applyFont="1" applyBorder="1" applyAlignment="1">
      <alignment horizontal="right" vertical="center"/>
    </xf>
    <xf numFmtId="164" fontId="39" fillId="0" borderId="37" xfId="1" applyNumberFormat="1" applyFont="1" applyBorder="1" applyAlignment="1">
      <alignment horizontal="center" vertical="center"/>
    </xf>
    <xf numFmtId="9" fontId="7" fillId="0" borderId="9" xfId="1" applyNumberFormat="1" applyFont="1" applyBorder="1" applyAlignment="1">
      <alignment horizontal="center" vertical="center"/>
    </xf>
    <xf numFmtId="4" fontId="7" fillId="0" borderId="9" xfId="0" applyNumberFormat="1" applyFont="1" applyBorder="1" applyAlignment="1">
      <alignment horizontal="right" vertical="center"/>
    </xf>
    <xf numFmtId="0" fontId="7" fillId="3" borderId="9" xfId="0" applyFont="1" applyFill="1" applyBorder="1" applyAlignment="1">
      <alignment horizontal="justify" vertical="center" wrapText="1" readingOrder="1"/>
    </xf>
    <xf numFmtId="165" fontId="7" fillId="3" borderId="3" xfId="3" applyNumberFormat="1" applyFont="1" applyFill="1" applyBorder="1" applyAlignment="1">
      <alignment horizontal="center" vertical="center" wrapText="1"/>
    </xf>
    <xf numFmtId="43" fontId="7" fillId="3" borderId="2" xfId="3" applyNumberFormat="1" applyFont="1" applyFill="1" applyBorder="1" applyAlignment="1">
      <alignment horizontal="center" vertical="center" wrapText="1"/>
    </xf>
    <xf numFmtId="4" fontId="7" fillId="0" borderId="1" xfId="0" applyNumberFormat="1" applyFont="1" applyBorder="1" applyAlignment="1">
      <alignment horizontal="right" vertical="center"/>
    </xf>
    <xf numFmtId="165" fontId="7" fillId="3" borderId="1" xfId="3" applyNumberFormat="1" applyFont="1" applyFill="1" applyBorder="1" applyAlignment="1">
      <alignment horizontal="center" vertical="center" wrapText="1"/>
    </xf>
    <xf numFmtId="4" fontId="7" fillId="0" borderId="33" xfId="0" applyNumberFormat="1" applyFont="1" applyBorder="1" applyAlignment="1">
      <alignment horizontal="right" vertical="center"/>
    </xf>
    <xf numFmtId="4" fontId="49" fillId="0" borderId="33" xfId="0" applyNumberFormat="1" applyFont="1" applyBorder="1" applyAlignment="1">
      <alignment horizontal="right" vertical="center"/>
    </xf>
    <xf numFmtId="164" fontId="39" fillId="0" borderId="1" xfId="1" applyNumberFormat="1" applyFont="1" applyBorder="1" applyAlignment="1">
      <alignment horizontal="center" vertical="center"/>
    </xf>
    <xf numFmtId="9" fontId="7" fillId="0" borderId="1" xfId="1" applyFont="1" applyBorder="1" applyAlignment="1">
      <alignment horizontal="center" vertical="center"/>
    </xf>
    <xf numFmtId="0" fontId="0" fillId="0" borderId="33" xfId="0" applyFont="1" applyBorder="1" applyAlignment="1">
      <alignment horizontal="left" vertical="center" wrapText="1"/>
    </xf>
    <xf numFmtId="43" fontId="7" fillId="0" borderId="1" xfId="3" applyFont="1" applyBorder="1" applyAlignment="1">
      <alignment horizontal="left" vertical="center" wrapText="1"/>
    </xf>
    <xf numFmtId="0" fontId="2" fillId="0" borderId="1" xfId="0" applyFont="1" applyBorder="1" applyAlignment="1">
      <alignment vertical="center" wrapText="1"/>
    </xf>
    <xf numFmtId="9" fontId="2" fillId="0" borderId="1" xfId="0" applyNumberFormat="1" applyFont="1" applyBorder="1" applyAlignment="1">
      <alignment horizontal="right" vertical="center" wrapText="1"/>
    </xf>
    <xf numFmtId="0" fontId="2" fillId="0" borderId="1" xfId="0" applyFont="1" applyBorder="1" applyAlignment="1">
      <alignment horizontal="justify" vertical="top" wrapText="1"/>
    </xf>
    <xf numFmtId="0" fontId="7" fillId="0" borderId="14" xfId="0" applyFont="1" applyBorder="1" applyAlignment="1">
      <alignment horizontal="center" vertical="center" wrapText="1"/>
    </xf>
    <xf numFmtId="9" fontId="39" fillId="0" borderId="1" xfId="1" applyFont="1" applyBorder="1" applyAlignment="1">
      <alignment horizontal="center" vertical="center" wrapText="1"/>
    </xf>
    <xf numFmtId="0" fontId="7"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37" xfId="0" applyFont="1" applyBorder="1" applyAlignment="1">
      <alignment horizontal="left" vertical="center" wrapText="1"/>
    </xf>
    <xf numFmtId="9" fontId="7" fillId="0" borderId="1" xfId="1" applyFont="1" applyBorder="1" applyAlignment="1">
      <alignment horizontal="center" vertical="center" wrapText="1"/>
    </xf>
    <xf numFmtId="9" fontId="7" fillId="0" borderId="14" xfId="1" applyFont="1" applyBorder="1" applyAlignment="1">
      <alignment horizontal="center" vertical="center" wrapText="1"/>
    </xf>
    <xf numFmtId="0" fontId="2" fillId="0" borderId="1" xfId="0" applyFont="1" applyBorder="1"/>
    <xf numFmtId="0" fontId="41" fillId="4"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43" fontId="7" fillId="0" borderId="9" xfId="0" applyNumberFormat="1" applyFont="1" applyBorder="1" applyAlignment="1">
      <alignment horizontal="center" vertical="center"/>
    </xf>
    <xf numFmtId="0" fontId="41" fillId="6" borderId="4" xfId="0" applyFont="1" applyFill="1" applyBorder="1" applyAlignment="1">
      <alignment horizontal="center" vertical="center" wrapText="1"/>
    </xf>
    <xf numFmtId="0" fontId="41" fillId="20" borderId="4" xfId="0" applyFont="1" applyFill="1" applyBorder="1" applyAlignment="1">
      <alignment horizontal="center" vertical="center" wrapText="1"/>
    </xf>
    <xf numFmtId="167" fontId="7"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0" borderId="0" xfId="0" applyFont="1" applyBorder="1" applyAlignment="1"/>
    <xf numFmtId="0" fontId="34" fillId="2" borderId="12" xfId="0" applyFont="1" applyFill="1" applyBorder="1" applyAlignment="1">
      <alignment horizontal="center" vertical="center" wrapText="1"/>
    </xf>
    <xf numFmtId="164" fontId="7" fillId="0" borderId="9" xfId="1" applyNumberFormat="1" applyFont="1" applyBorder="1" applyAlignment="1">
      <alignment horizontal="center" vertical="center"/>
    </xf>
    <xf numFmtId="0" fontId="2" fillId="0" borderId="9" xfId="0" applyFont="1" applyFill="1" applyBorder="1" applyAlignment="1">
      <alignment horizontal="center" vertical="center"/>
    </xf>
    <xf numFmtId="9" fontId="39" fillId="0" borderId="9" xfId="0" applyNumberFormat="1" applyFont="1" applyFill="1" applyBorder="1" applyAlignment="1">
      <alignment horizontal="center" vertical="center" wrapText="1"/>
    </xf>
    <xf numFmtId="0" fontId="2" fillId="0" borderId="9" xfId="0" applyFont="1" applyBorder="1"/>
    <xf numFmtId="164" fontId="7" fillId="0" borderId="11" xfId="1" applyNumberFormat="1" applyFont="1" applyFill="1" applyBorder="1" applyAlignment="1">
      <alignment horizontal="center" vertical="center"/>
    </xf>
    <xf numFmtId="164" fontId="7" fillId="0" borderId="1" xfId="1" applyNumberFormat="1" applyFont="1" applyBorder="1" applyAlignment="1">
      <alignment horizontal="center" vertical="center"/>
    </xf>
    <xf numFmtId="43" fontId="7" fillId="0" borderId="9" xfId="3" applyNumberFormat="1" applyFont="1" applyFill="1" applyBorder="1" applyAlignment="1">
      <alignment horizontal="center" vertical="center" wrapText="1"/>
    </xf>
    <xf numFmtId="165" fontId="7" fillId="0" borderId="9" xfId="3" applyNumberFormat="1" applyFont="1" applyFill="1" applyBorder="1" applyAlignment="1">
      <alignment horizontal="center" vertical="center" wrapText="1"/>
    </xf>
    <xf numFmtId="4" fontId="50" fillId="0" borderId="0" xfId="0" applyNumberFormat="1" applyFont="1"/>
    <xf numFmtId="4" fontId="0" fillId="0" borderId="1" xfId="0" applyNumberFormat="1" applyBorder="1" applyAlignment="1">
      <alignment horizontal="center" vertical="center"/>
    </xf>
    <xf numFmtId="164" fontId="7" fillId="3" borderId="14" xfId="0" applyNumberFormat="1" applyFont="1" applyFill="1" applyBorder="1" applyAlignment="1">
      <alignment horizontal="center" vertical="center" wrapText="1"/>
    </xf>
    <xf numFmtId="0" fontId="20" fillId="0" borderId="24" xfId="0" applyFont="1" applyBorder="1" applyAlignment="1">
      <alignment horizontal="center" vertical="center"/>
    </xf>
    <xf numFmtId="0" fontId="20" fillId="0" borderId="15" xfId="0" applyFont="1" applyBorder="1" applyAlignment="1">
      <alignment horizontal="center" vertical="center"/>
    </xf>
    <xf numFmtId="0" fontId="2" fillId="0" borderId="0" xfId="0" applyFont="1" applyBorder="1" applyAlignment="1"/>
    <xf numFmtId="0" fontId="34" fillId="2" borderId="4"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39" fillId="7"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1" xfId="0" applyFont="1" applyFill="1" applyBorder="1" applyAlignment="1">
      <alignment horizontal="center" vertical="center"/>
    </xf>
    <xf numFmtId="0" fontId="39" fillId="7" borderId="51"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6" xfId="0" applyFont="1" applyFill="1" applyBorder="1" applyAlignment="1">
      <alignment horizontal="center" vertical="center"/>
    </xf>
    <xf numFmtId="0" fontId="34" fillId="2" borderId="8" xfId="0" applyFont="1" applyFill="1" applyBorder="1" applyAlignment="1">
      <alignment horizontal="center" vertical="center" wrapText="1"/>
    </xf>
    <xf numFmtId="0" fontId="34" fillId="2" borderId="12" xfId="0" applyFont="1" applyFill="1" applyBorder="1" applyAlignment="1">
      <alignment horizontal="center" vertical="center"/>
    </xf>
    <xf numFmtId="0" fontId="34" fillId="2" borderId="12" xfId="0" applyFont="1" applyFill="1" applyBorder="1" applyAlignment="1">
      <alignment horizontal="center" vertical="center" wrapText="1"/>
    </xf>
    <xf numFmtId="0" fontId="46" fillId="17" borderId="5" xfId="0" applyFont="1" applyFill="1" applyBorder="1" applyAlignment="1">
      <alignment horizontal="center" vertical="center"/>
    </xf>
    <xf numFmtId="0" fontId="46" fillId="17" borderId="6" xfId="0" applyFont="1" applyFill="1" applyBorder="1" applyAlignment="1">
      <alignment horizontal="center" vertical="center"/>
    </xf>
    <xf numFmtId="0" fontId="46" fillId="17" borderId="7" xfId="0" applyFont="1" applyFill="1" applyBorder="1" applyAlignment="1">
      <alignment horizontal="center" vertical="center"/>
    </xf>
    <xf numFmtId="0" fontId="43" fillId="0" borderId="1" xfId="0" applyFont="1" applyBorder="1" applyAlignment="1">
      <alignment horizontal="center" vertical="center"/>
    </xf>
    <xf numFmtId="0" fontId="43" fillId="2" borderId="1" xfId="0" applyFont="1" applyFill="1" applyBorder="1" applyAlignment="1">
      <alignment horizontal="center" vertical="center" wrapText="1"/>
    </xf>
    <xf numFmtId="0" fontId="44" fillId="14"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6" fillId="4" borderId="35" xfId="0" applyFont="1" applyFill="1" applyBorder="1" applyAlignment="1">
      <alignment horizontal="center" vertical="center"/>
    </xf>
    <xf numFmtId="0" fontId="36" fillId="4" borderId="36" xfId="0" applyFont="1" applyFill="1" applyBorder="1" applyAlignment="1">
      <alignment horizontal="center" vertical="center"/>
    </xf>
    <xf numFmtId="0" fontId="6" fillId="3" borderId="1" xfId="0" applyFont="1" applyFill="1" applyBorder="1" applyAlignment="1">
      <alignment horizontal="center" vertical="center" wrapText="1"/>
    </xf>
    <xf numFmtId="0" fontId="38" fillId="13" borderId="11" xfId="0" applyFont="1" applyFill="1" applyBorder="1" applyAlignment="1">
      <alignment horizontal="center" vertical="center"/>
    </xf>
    <xf numFmtId="0" fontId="38" fillId="13" borderId="49" xfId="0" applyFont="1" applyFill="1" applyBorder="1" applyAlignment="1">
      <alignment horizontal="center" vertical="center"/>
    </xf>
    <xf numFmtId="0" fontId="38" fillId="13" borderId="47"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10" borderId="38" xfId="0" applyFont="1" applyFill="1" applyBorder="1" applyAlignment="1">
      <alignment horizontal="center" vertical="center"/>
    </xf>
    <xf numFmtId="0" fontId="21" fillId="10" borderId="41" xfId="0" applyFont="1" applyFill="1" applyBorder="1" applyAlignment="1">
      <alignment horizontal="center" vertical="center"/>
    </xf>
    <xf numFmtId="0" fontId="21" fillId="10" borderId="39" xfId="0" applyFont="1" applyFill="1" applyBorder="1" applyAlignment="1">
      <alignment horizontal="center" vertical="center"/>
    </xf>
    <xf numFmtId="0" fontId="21" fillId="10" borderId="40" xfId="0" applyFont="1" applyFill="1" applyBorder="1" applyAlignment="1">
      <alignment horizontal="center" vertical="center"/>
    </xf>
    <xf numFmtId="0" fontId="21" fillId="10" borderId="39" xfId="0" applyFont="1" applyFill="1" applyBorder="1" applyAlignment="1">
      <alignment horizontal="center" vertical="center" wrapText="1"/>
    </xf>
    <xf numFmtId="0" fontId="21" fillId="10" borderId="4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4" borderId="4" xfId="0" applyFont="1" applyFill="1" applyBorder="1" applyAlignment="1">
      <alignment horizontal="center"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576">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DB7E4360-1A99-4086-B225-A41505DFE243}"/>
            </a:ext>
          </a:extLst>
        </xdr:cNvPr>
        <xdr:cNvPicPr preferRelativeResize="0"/>
      </xdr:nvPicPr>
      <xdr:blipFill>
        <a:blip xmlns:r="http://schemas.openxmlformats.org/officeDocument/2006/relationships" r:embed="rId1" cstate="print"/>
        <a:stretch>
          <a:fillRect/>
        </a:stretch>
      </xdr:blipFill>
      <xdr:spPr>
        <a:xfrm>
          <a:off x="30613350"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06A05C79-7F21-46D1-8B48-0A122C898002}"/>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4" name="Text Box 21">
          <a:extLst>
            <a:ext uri="{FF2B5EF4-FFF2-40B4-BE49-F238E27FC236}">
              <a16:creationId xmlns:a16="http://schemas.microsoft.com/office/drawing/2014/main" id="{6AD12D93-3A6E-449A-BA7D-756CF3B7C25B}"/>
            </a:ext>
          </a:extLst>
        </xdr:cNvPr>
        <xdr:cNvSpPr txBox="1">
          <a:spLocks noChangeArrowheads="1"/>
        </xdr:cNvSpPr>
      </xdr:nvSpPr>
      <xdr:spPr bwMode="auto">
        <a:xfrm>
          <a:off x="1219200" y="2876550"/>
          <a:ext cx="2777369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50</xdr:col>
      <xdr:colOff>0</xdr:colOff>
      <xdr:row>0</xdr:row>
      <xdr:rowOff>0</xdr:rowOff>
    </xdr:from>
    <xdr:ext cx="775607" cy="503464"/>
    <xdr:pic>
      <xdr:nvPicPr>
        <xdr:cNvPr id="2" name="image1.png" title="Imagen">
          <a:extLst>
            <a:ext uri="{FF2B5EF4-FFF2-40B4-BE49-F238E27FC236}">
              <a16:creationId xmlns:a16="http://schemas.microsoft.com/office/drawing/2014/main" id="{89270852-DA8A-4824-B536-E0842F89E781}"/>
            </a:ext>
          </a:extLst>
        </xdr:cNvPr>
        <xdr:cNvPicPr preferRelativeResize="0"/>
      </xdr:nvPicPr>
      <xdr:blipFill>
        <a:blip xmlns:r="http://schemas.openxmlformats.org/officeDocument/2006/relationships" r:embed="rId1" cstate="print"/>
        <a:stretch>
          <a:fillRect/>
        </a:stretch>
      </xdr:blipFill>
      <xdr:spPr>
        <a:xfrm>
          <a:off x="146766643" y="0"/>
          <a:ext cx="775607" cy="5034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opLeftCell="A2" zoomScale="50" zoomScaleNormal="50" workbookViewId="0">
      <pane xSplit="3" ySplit="3" topLeftCell="CZ11" activePane="bottomRight" state="frozen"/>
      <selection activeCell="A2" sqref="A2"/>
      <selection pane="topRight" activeCell="C2" sqref="C2"/>
      <selection pane="bottomLeft" activeCell="A4" sqref="A4"/>
      <selection pane="bottomRight" activeCell="DC11" sqref="DC11"/>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144" hidden="1" customWidth="1"/>
    <col min="26" max="26" width="28.140625" style="144" hidden="1" customWidth="1"/>
    <col min="27" max="27" width="28" style="144" hidden="1" customWidth="1"/>
    <col min="28" max="28" width="32.7109375" style="144"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167.28515625" style="3" customWidth="1"/>
    <col min="93" max="95" width="27.85546875" style="3" customWidth="1"/>
    <col min="96" max="96" width="29.85546875" style="3"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390" t="s">
        <v>44</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242" t="s">
        <v>216</v>
      </c>
      <c r="CM1" s="242"/>
      <c r="CN1" s="242"/>
      <c r="CO1" s="242"/>
      <c r="CP1" s="242"/>
      <c r="CQ1" s="242"/>
      <c r="CR1" s="3" t="s">
        <v>217</v>
      </c>
    </row>
    <row r="2" spans="1:110" s="311" customFormat="1" ht="178.5" customHeight="1" thickBot="1" x14ac:dyDescent="0.3"/>
    <row r="3" spans="1:110" ht="44.25" customHeight="1" thickBot="1" x14ac:dyDescent="0.25">
      <c r="A3" s="383" t="s">
        <v>299</v>
      </c>
      <c r="B3" s="389" t="s">
        <v>0</v>
      </c>
      <c r="C3" s="387" t="s">
        <v>13</v>
      </c>
      <c r="D3" s="404" t="s">
        <v>2</v>
      </c>
      <c r="E3" s="404" t="s">
        <v>86</v>
      </c>
      <c r="F3" s="404" t="s">
        <v>246</v>
      </c>
      <c r="G3" s="386" t="s">
        <v>3</v>
      </c>
      <c r="H3" s="386"/>
      <c r="I3" s="386"/>
      <c r="J3" s="386"/>
      <c r="K3" s="395" t="s">
        <v>36</v>
      </c>
      <c r="L3" s="393" t="s">
        <v>62</v>
      </c>
      <c r="M3" s="395" t="s">
        <v>102</v>
      </c>
      <c r="N3" s="397" t="s">
        <v>263</v>
      </c>
      <c r="O3" s="397" t="s">
        <v>264</v>
      </c>
      <c r="P3" s="402" t="s">
        <v>215</v>
      </c>
      <c r="Q3" s="402"/>
      <c r="R3" s="403"/>
      <c r="S3" s="403"/>
      <c r="T3" s="402"/>
      <c r="U3" s="403"/>
      <c r="V3" s="402"/>
      <c r="W3" s="398" t="s">
        <v>134</v>
      </c>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8"/>
      <c r="BC3" s="399"/>
      <c r="BD3" s="400"/>
      <c r="BE3" s="400"/>
      <c r="BF3" s="401"/>
      <c r="BG3" s="398"/>
      <c r="BH3" s="398"/>
      <c r="BI3" s="401"/>
      <c r="BJ3" s="398"/>
      <c r="BK3" s="407" t="s">
        <v>313</v>
      </c>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9"/>
    </row>
    <row r="4" spans="1:110" ht="79.5" customHeight="1" thickBot="1" x14ac:dyDescent="0.25">
      <c r="A4" s="384"/>
      <c r="B4" s="389"/>
      <c r="C4" s="388"/>
      <c r="D4" s="406"/>
      <c r="E4" s="406"/>
      <c r="F4" s="405"/>
      <c r="G4" s="191">
        <v>2019</v>
      </c>
      <c r="H4" s="191">
        <v>2020</v>
      </c>
      <c r="I4" s="191">
        <v>2021</v>
      </c>
      <c r="J4" s="191">
        <v>2022</v>
      </c>
      <c r="K4" s="396"/>
      <c r="L4" s="394"/>
      <c r="M4" s="396"/>
      <c r="N4" s="394"/>
      <c r="O4" s="394"/>
      <c r="P4" s="192" t="s">
        <v>220</v>
      </c>
      <c r="Q4" s="193" t="s">
        <v>219</v>
      </c>
      <c r="R4" s="193" t="s">
        <v>211</v>
      </c>
      <c r="S4" s="193" t="s">
        <v>226</v>
      </c>
      <c r="T4" s="193" t="s">
        <v>244</v>
      </c>
      <c r="U4" s="193" t="s">
        <v>25</v>
      </c>
      <c r="V4" s="193" t="s">
        <v>245</v>
      </c>
      <c r="W4" s="195" t="s">
        <v>221</v>
      </c>
      <c r="X4" s="194" t="s">
        <v>212</v>
      </c>
      <c r="Y4" s="194" t="s">
        <v>213</v>
      </c>
      <c r="Z4" s="195" t="s">
        <v>88</v>
      </c>
      <c r="AA4" s="195" t="s">
        <v>49</v>
      </c>
      <c r="AB4" s="195" t="s">
        <v>21</v>
      </c>
      <c r="AC4" s="196" t="s">
        <v>50</v>
      </c>
      <c r="AD4" s="195" t="s">
        <v>51</v>
      </c>
      <c r="AE4" s="195" t="s">
        <v>52</v>
      </c>
      <c r="AF4" s="196" t="s">
        <v>53</v>
      </c>
      <c r="AG4" s="195" t="s">
        <v>71</v>
      </c>
      <c r="AH4" s="195" t="s">
        <v>72</v>
      </c>
      <c r="AI4" s="197" t="s">
        <v>73</v>
      </c>
      <c r="AJ4" s="198" t="s">
        <v>89</v>
      </c>
      <c r="AK4" s="195" t="s">
        <v>90</v>
      </c>
      <c r="AL4" s="195" t="s">
        <v>91</v>
      </c>
      <c r="AM4" s="198" t="s">
        <v>103</v>
      </c>
      <c r="AN4" s="195" t="s">
        <v>104</v>
      </c>
      <c r="AO4" s="195" t="s">
        <v>112</v>
      </c>
      <c r="AP4" s="195" t="s">
        <v>115</v>
      </c>
      <c r="AQ4" s="195" t="s">
        <v>114</v>
      </c>
      <c r="AR4" s="321" t="s">
        <v>113</v>
      </c>
      <c r="AS4" s="195" t="s">
        <v>123</v>
      </c>
      <c r="AT4" s="195" t="s">
        <v>124</v>
      </c>
      <c r="AU4" s="321" t="s">
        <v>125</v>
      </c>
      <c r="AV4" s="195" t="s">
        <v>135</v>
      </c>
      <c r="AW4" s="195" t="s">
        <v>136</v>
      </c>
      <c r="AX4" s="321" t="s">
        <v>137</v>
      </c>
      <c r="AY4" s="195" t="s">
        <v>148</v>
      </c>
      <c r="AZ4" s="195" t="s">
        <v>146</v>
      </c>
      <c r="BA4" s="321" t="s">
        <v>147</v>
      </c>
      <c r="BB4" s="321" t="s">
        <v>266</v>
      </c>
      <c r="BC4" s="321" t="s">
        <v>214</v>
      </c>
      <c r="BD4" s="322" t="s">
        <v>211</v>
      </c>
      <c r="BE4" s="322" t="s">
        <v>226</v>
      </c>
      <c r="BF4" s="322" t="s">
        <v>224</v>
      </c>
      <c r="BG4" s="195" t="s">
        <v>225</v>
      </c>
      <c r="BH4" s="195" t="s">
        <v>223</v>
      </c>
      <c r="BI4" s="322" t="s">
        <v>218</v>
      </c>
      <c r="BJ4" s="195" t="s">
        <v>222</v>
      </c>
      <c r="BK4" s="323" t="s">
        <v>234</v>
      </c>
      <c r="BL4" s="324" t="s">
        <v>235</v>
      </c>
      <c r="BM4" s="324" t="s">
        <v>240</v>
      </c>
      <c r="BN4" s="324" t="s">
        <v>241</v>
      </c>
      <c r="BO4" s="325" t="s">
        <v>236</v>
      </c>
      <c r="BP4" s="325" t="s">
        <v>238</v>
      </c>
      <c r="BQ4" s="326" t="s">
        <v>237</v>
      </c>
      <c r="BR4" s="326" t="s">
        <v>250</v>
      </c>
      <c r="BS4" s="326" t="s">
        <v>239</v>
      </c>
      <c r="BT4" s="326" t="s">
        <v>274</v>
      </c>
      <c r="BU4" s="326" t="s">
        <v>267</v>
      </c>
      <c r="BV4" s="326" t="s">
        <v>268</v>
      </c>
      <c r="BW4" s="326" t="s">
        <v>275</v>
      </c>
      <c r="BX4" s="327" t="s">
        <v>260</v>
      </c>
      <c r="BY4" s="327" t="s">
        <v>250</v>
      </c>
      <c r="BZ4" s="327" t="s">
        <v>261</v>
      </c>
      <c r="CA4" s="328" t="s">
        <v>286</v>
      </c>
      <c r="CB4" s="328" t="s">
        <v>269</v>
      </c>
      <c r="CC4" s="328" t="s">
        <v>270</v>
      </c>
      <c r="CD4" s="328" t="s">
        <v>275</v>
      </c>
      <c r="CE4" s="329" t="s">
        <v>287</v>
      </c>
      <c r="CF4" s="329" t="s">
        <v>250</v>
      </c>
      <c r="CG4" s="329" t="s">
        <v>288</v>
      </c>
      <c r="CH4" s="329" t="s">
        <v>274</v>
      </c>
      <c r="CI4" s="329" t="s">
        <v>267</v>
      </c>
      <c r="CJ4" s="329" t="s">
        <v>268</v>
      </c>
      <c r="CK4" s="329" t="s">
        <v>275</v>
      </c>
      <c r="CL4" s="330" t="s">
        <v>310</v>
      </c>
      <c r="CM4" s="330" t="s">
        <v>250</v>
      </c>
      <c r="CN4" s="330" t="s">
        <v>312</v>
      </c>
      <c r="CO4" s="362" t="s">
        <v>274</v>
      </c>
      <c r="CP4" s="362" t="s">
        <v>267</v>
      </c>
      <c r="CQ4" s="362" t="s">
        <v>268</v>
      </c>
      <c r="CR4" s="362" t="s">
        <v>275</v>
      </c>
      <c r="CS4" s="366" t="s">
        <v>325</v>
      </c>
      <c r="CT4" s="366" t="s">
        <v>250</v>
      </c>
      <c r="CU4" s="366" t="s">
        <v>326</v>
      </c>
      <c r="CV4" s="366" t="s">
        <v>274</v>
      </c>
      <c r="CW4" s="366" t="s">
        <v>267</v>
      </c>
      <c r="CX4" s="366" t="s">
        <v>268</v>
      </c>
      <c r="CY4" s="366" t="s">
        <v>275</v>
      </c>
      <c r="CZ4" s="367" t="s">
        <v>335</v>
      </c>
      <c r="DA4" s="367" t="s">
        <v>250</v>
      </c>
      <c r="DB4" s="367" t="s">
        <v>336</v>
      </c>
      <c r="DC4" s="367" t="s">
        <v>274</v>
      </c>
      <c r="DD4" s="367" t="s">
        <v>267</v>
      </c>
      <c r="DE4" s="367" t="s">
        <v>268</v>
      </c>
      <c r="DF4" s="367" t="s">
        <v>275</v>
      </c>
    </row>
    <row r="5" spans="1:110" ht="207.75" customHeight="1" x14ac:dyDescent="0.2">
      <c r="A5" s="312">
        <v>1</v>
      </c>
      <c r="B5" s="21" t="s">
        <v>35</v>
      </c>
      <c r="C5" s="220" t="s">
        <v>272</v>
      </c>
      <c r="D5" s="44" t="s">
        <v>4</v>
      </c>
      <c r="E5" s="33" t="s">
        <v>84</v>
      </c>
      <c r="F5" s="71" t="s">
        <v>242</v>
      </c>
      <c r="G5" s="45">
        <v>0.03</v>
      </c>
      <c r="H5" s="46">
        <v>0.23</v>
      </c>
      <c r="I5" s="46">
        <v>0.5</v>
      </c>
      <c r="J5" s="46">
        <v>0.6</v>
      </c>
      <c r="K5" s="47" t="s">
        <v>314</v>
      </c>
      <c r="L5" s="71" t="s">
        <v>63</v>
      </c>
      <c r="M5" s="30">
        <v>0.6</v>
      </c>
      <c r="N5" s="282">
        <v>68457962</v>
      </c>
      <c r="O5" s="282">
        <v>114174800</v>
      </c>
      <c r="P5" s="48">
        <v>0.03</v>
      </c>
      <c r="Q5" s="49">
        <v>0.03</v>
      </c>
      <c r="R5" s="254">
        <v>3820715.53</v>
      </c>
      <c r="S5" s="254">
        <v>3820715.53</v>
      </c>
      <c r="T5" s="163">
        <f t="shared" ref="T5:T10" si="0">Q5/P5</f>
        <v>1</v>
      </c>
      <c r="U5" s="161" t="s">
        <v>26</v>
      </c>
      <c r="V5" s="255">
        <f>Q5/M5</f>
        <v>0.05</v>
      </c>
      <c r="W5" s="152">
        <v>0.23</v>
      </c>
      <c r="X5" s="238"/>
      <c r="Y5" s="238"/>
      <c r="Z5" s="145">
        <v>20253667.789999999</v>
      </c>
      <c r="AA5" s="145">
        <v>0</v>
      </c>
      <c r="AB5" s="163">
        <f>AA5/20%</f>
        <v>0</v>
      </c>
      <c r="AC5" s="72" t="s">
        <v>37</v>
      </c>
      <c r="AD5" s="145">
        <v>34421</v>
      </c>
      <c r="AE5" s="168">
        <f>AD5/Z5</f>
        <v>1.6994946474334367E-3</v>
      </c>
      <c r="AF5" s="72" t="s">
        <v>58</v>
      </c>
      <c r="AG5" s="158">
        <v>101437</v>
      </c>
      <c r="AH5" s="169">
        <f>AG5/Z5</f>
        <v>5.0083274324309434E-3</v>
      </c>
      <c r="AI5" s="68" t="s">
        <v>75</v>
      </c>
      <c r="AJ5" s="158">
        <v>102037</v>
      </c>
      <c r="AK5" s="169">
        <f>AJ5/Z5</f>
        <v>5.0379516963529698E-3</v>
      </c>
      <c r="AL5" s="313" t="s">
        <v>94</v>
      </c>
      <c r="AM5" s="158">
        <v>1805376</v>
      </c>
      <c r="AN5" s="169">
        <f>AM5/Z5</f>
        <v>8.913822517081979E-2</v>
      </c>
      <c r="AO5" s="313" t="s">
        <v>107</v>
      </c>
      <c r="AP5" s="158">
        <v>4784680</v>
      </c>
      <c r="AQ5" s="169">
        <f>AP5/Z5</f>
        <v>0.23623770517073345</v>
      </c>
      <c r="AR5" s="314" t="s">
        <v>117</v>
      </c>
      <c r="AS5" s="335">
        <v>6037259.96</v>
      </c>
      <c r="AT5" s="169">
        <f>+AS5/Z5</f>
        <v>0.29808230403486835</v>
      </c>
      <c r="AU5" s="314" t="s">
        <v>128</v>
      </c>
      <c r="AV5" s="335">
        <v>7415231.2000000002</v>
      </c>
      <c r="AW5" s="169">
        <f>+AV5/Z5</f>
        <v>0.36611794351940441</v>
      </c>
      <c r="AX5" s="315" t="s">
        <v>142</v>
      </c>
      <c r="AY5" s="336">
        <v>7918051.8399999999</v>
      </c>
      <c r="AZ5" s="83">
        <f>+AY5/Z5</f>
        <v>0.39094409576074124</v>
      </c>
      <c r="BA5" s="316" t="s">
        <v>154</v>
      </c>
      <c r="BB5" s="317">
        <v>0.1176</v>
      </c>
      <c r="BC5" s="243"/>
      <c r="BD5" s="283">
        <v>26242218.77</v>
      </c>
      <c r="BE5" s="283">
        <v>13418129</v>
      </c>
      <c r="BF5" s="163">
        <f t="shared" ref="BF5:BF10" si="1">BB5/W5</f>
        <v>0.51130434782608691</v>
      </c>
      <c r="BG5" s="256"/>
      <c r="BH5" s="243"/>
      <c r="BI5" s="266" t="s">
        <v>248</v>
      </c>
      <c r="BJ5" s="337">
        <f t="shared" ref="BJ5:BJ10" si="2">BB5/M5</f>
        <v>0.19600000000000001</v>
      </c>
      <c r="BK5" s="338">
        <f>I5</f>
        <v>0.5</v>
      </c>
      <c r="BL5" s="339"/>
      <c r="BM5" s="339">
        <f>O5*50/100</f>
        <v>57087400</v>
      </c>
      <c r="BN5" s="339"/>
      <c r="BO5" s="339"/>
      <c r="BP5" s="315"/>
      <c r="BQ5" s="339">
        <v>77801</v>
      </c>
      <c r="BR5" s="318">
        <f>BQ5/BM5</f>
        <v>1.36284013635233E-3</v>
      </c>
      <c r="BS5" s="340" t="s">
        <v>251</v>
      </c>
      <c r="BT5" s="306">
        <f>BB5/M5</f>
        <v>0.19600000000000001</v>
      </c>
      <c r="BU5" s="339">
        <v>13495930.109999999</v>
      </c>
      <c r="BV5" s="306">
        <f>BU5/O5</f>
        <v>0.11820410554693329</v>
      </c>
      <c r="BW5" s="306">
        <f>+BU5/N5</f>
        <v>0.19714186218397795</v>
      </c>
      <c r="BX5" s="339">
        <v>31966</v>
      </c>
      <c r="BY5" s="318">
        <f>BX5/BM5</f>
        <v>5.5994842995126773E-4</v>
      </c>
      <c r="BZ5" s="340" t="s">
        <v>265</v>
      </c>
      <c r="CA5" s="306">
        <f>BB5/M5</f>
        <v>0.19600000000000001</v>
      </c>
      <c r="CB5" s="339">
        <f>+BU5+BX5</f>
        <v>13527896.109999999</v>
      </c>
      <c r="CC5" s="306">
        <f>CB5/O5</f>
        <v>0.11848407976190893</v>
      </c>
      <c r="CD5" s="306">
        <f>CB5/N5</f>
        <v>0.19760880567843955</v>
      </c>
      <c r="CE5" s="341">
        <v>57741.22</v>
      </c>
      <c r="CF5" s="318">
        <f t="shared" ref="CF5:CF10" si="3">CE5/BM5</f>
        <v>1.0114529651026321E-3</v>
      </c>
      <c r="CG5" s="340" t="s">
        <v>289</v>
      </c>
      <c r="CH5" s="319">
        <f>BB5/M5</f>
        <v>0.19600000000000001</v>
      </c>
      <c r="CI5" s="320">
        <f>+CE5+CB5</f>
        <v>13585637.33</v>
      </c>
      <c r="CJ5" s="306">
        <f>CI5/O5</f>
        <v>0.11898980624446025</v>
      </c>
      <c r="CK5" s="306">
        <f>CI5/N5</f>
        <v>0.19845226081956691</v>
      </c>
      <c r="CL5" s="320">
        <v>2982242.13</v>
      </c>
      <c r="CM5" s="293">
        <f>CL5/BM5</f>
        <v>5.2239936133017091E-2</v>
      </c>
      <c r="CN5" s="340" t="s">
        <v>311</v>
      </c>
      <c r="CO5" s="275">
        <f>BB5/M5</f>
        <v>0.19600000000000001</v>
      </c>
      <c r="CP5" s="289">
        <f>(23568379)+(CL5)</f>
        <v>26550621.129999999</v>
      </c>
      <c r="CQ5" s="275">
        <f>CP5/O5</f>
        <v>0.23254361846922436</v>
      </c>
      <c r="CR5" s="275">
        <f>CP5/N5</f>
        <v>0.38783832229770437</v>
      </c>
      <c r="CS5" s="320">
        <v>424609.13</v>
      </c>
      <c r="CT5" s="318">
        <f>CS5/BM5</f>
        <v>7.4378782358278713E-3</v>
      </c>
      <c r="CU5" s="340" t="s">
        <v>327</v>
      </c>
      <c r="CV5" s="306">
        <f>BB5/M5</f>
        <v>0.19600000000000001</v>
      </c>
      <c r="CW5" s="365">
        <f>CS5+CP5</f>
        <v>26975230.259999998</v>
      </c>
      <c r="CX5" s="306">
        <f>CW5/O5</f>
        <v>0.23626255758713829</v>
      </c>
      <c r="CY5" s="306">
        <f>CW5/N5</f>
        <v>0.3940408021495001</v>
      </c>
      <c r="CZ5" s="365">
        <v>0</v>
      </c>
      <c r="DA5" s="331">
        <f t="shared" ref="DA5:DA10" si="4">CZ5/BM5</f>
        <v>0</v>
      </c>
      <c r="DB5" s="340" t="s">
        <v>337</v>
      </c>
      <c r="DC5" s="306">
        <f>(16.66-1.9)/(61.9-1.9)</f>
        <v>0.246</v>
      </c>
      <c r="DD5" s="365">
        <f>+CZ5+CW5</f>
        <v>26975230.259999998</v>
      </c>
      <c r="DE5" s="306">
        <f>DD5/O5</f>
        <v>0.23626255758713829</v>
      </c>
      <c r="DF5" s="306">
        <f>DD5/N5</f>
        <v>0.3940408021495001</v>
      </c>
    </row>
    <row r="6" spans="1:110" ht="409.5" customHeight="1" x14ac:dyDescent="0.2">
      <c r="A6" s="295">
        <v>2</v>
      </c>
      <c r="B6" s="21" t="s">
        <v>35</v>
      </c>
      <c r="C6" s="10" t="s">
        <v>227</v>
      </c>
      <c r="D6" s="4" t="s">
        <v>4</v>
      </c>
      <c r="E6" s="33" t="s">
        <v>83</v>
      </c>
      <c r="F6" s="33" t="s">
        <v>242</v>
      </c>
      <c r="G6" s="8">
        <v>8.5000000000000006E-2</v>
      </c>
      <c r="H6" s="8">
        <v>0.20100000000000001</v>
      </c>
      <c r="I6" s="8">
        <v>0.35099999999999998</v>
      </c>
      <c r="J6" s="5">
        <v>0.6</v>
      </c>
      <c r="K6" s="142" t="s">
        <v>315</v>
      </c>
      <c r="L6" s="70" t="s">
        <v>64</v>
      </c>
      <c r="M6" s="30">
        <v>0.6</v>
      </c>
      <c r="N6" s="241">
        <v>68457962</v>
      </c>
      <c r="O6" s="282">
        <v>114174800</v>
      </c>
      <c r="P6" s="8">
        <f t="shared" ref="P6:P11" si="5">+G6</f>
        <v>8.5000000000000006E-2</v>
      </c>
      <c r="Q6" s="8">
        <v>2.3E-2</v>
      </c>
      <c r="R6" s="240">
        <v>5818927</v>
      </c>
      <c r="S6" s="240">
        <v>2564383.61</v>
      </c>
      <c r="T6" s="164">
        <f t="shared" si="0"/>
        <v>0.27058823529411763</v>
      </c>
      <c r="U6" s="162" t="s">
        <v>232</v>
      </c>
      <c r="V6" s="245">
        <f>Q6/M6</f>
        <v>3.8333333333333337E-2</v>
      </c>
      <c r="W6" s="153">
        <v>0.20100000000000001</v>
      </c>
      <c r="X6" s="239">
        <v>6.2E-2</v>
      </c>
      <c r="Y6" s="148">
        <v>3256070</v>
      </c>
      <c r="Z6" s="148">
        <v>13763388</v>
      </c>
      <c r="AA6" s="146">
        <v>0</v>
      </c>
      <c r="AB6" s="165">
        <f t="shared" ref="AB6:AB12" si="6">AA6/Z6</f>
        <v>0</v>
      </c>
      <c r="AC6" s="17" t="s">
        <v>38</v>
      </c>
      <c r="AD6" s="146">
        <v>0</v>
      </c>
      <c r="AE6" s="165">
        <f>AD6/Z6</f>
        <v>0</v>
      </c>
      <c r="AF6" s="17" t="s">
        <v>59</v>
      </c>
      <c r="AG6" s="148">
        <v>0</v>
      </c>
      <c r="AH6" s="170">
        <f t="shared" ref="AH6:AH12" si="7">AG6/Z6</f>
        <v>0</v>
      </c>
      <c r="AI6" s="68" t="s">
        <v>82</v>
      </c>
      <c r="AJ6" s="147">
        <v>0</v>
      </c>
      <c r="AK6" s="173">
        <f t="shared" ref="AK6:AK12" si="8">AJ6/Z6</f>
        <v>0</v>
      </c>
      <c r="AL6" s="78" t="s">
        <v>95</v>
      </c>
      <c r="AM6" s="147">
        <v>0</v>
      </c>
      <c r="AN6" s="173">
        <f>AM6/Z6</f>
        <v>0</v>
      </c>
      <c r="AO6" s="78" t="s">
        <v>106</v>
      </c>
      <c r="AP6" s="158">
        <v>0</v>
      </c>
      <c r="AQ6" s="169">
        <f>AP6/Z6</f>
        <v>0</v>
      </c>
      <c r="AR6" s="78" t="s">
        <v>119</v>
      </c>
      <c r="AS6" s="158">
        <v>0</v>
      </c>
      <c r="AT6" s="169">
        <v>0</v>
      </c>
      <c r="AU6" s="78" t="s">
        <v>130</v>
      </c>
      <c r="AV6" s="158">
        <v>0</v>
      </c>
      <c r="AW6" s="169">
        <v>0</v>
      </c>
      <c r="AX6" s="143" t="s">
        <v>144</v>
      </c>
      <c r="AY6" s="158">
        <v>0</v>
      </c>
      <c r="AZ6" s="83">
        <v>0</v>
      </c>
      <c r="BA6" s="143" t="s">
        <v>152</v>
      </c>
      <c r="BB6" s="244">
        <v>0.154</v>
      </c>
      <c r="BC6" s="247">
        <v>17560383</v>
      </c>
      <c r="BD6" s="148">
        <f>114000000*20.1/100</f>
        <v>22914000</v>
      </c>
      <c r="BE6" s="342">
        <v>17560382.690000001</v>
      </c>
      <c r="BF6" s="272">
        <f t="shared" si="1"/>
        <v>0.76616915422885568</v>
      </c>
      <c r="BG6" s="244">
        <f>W6-BB6</f>
        <v>4.7000000000000014E-2</v>
      </c>
      <c r="BH6" s="164">
        <f>M6-BB6</f>
        <v>0.44599999999999995</v>
      </c>
      <c r="BI6" s="259" t="s">
        <v>279</v>
      </c>
      <c r="BJ6" s="260">
        <f t="shared" si="2"/>
        <v>0.25666666666666665</v>
      </c>
      <c r="BK6" s="268">
        <v>0.35099999999999998</v>
      </c>
      <c r="BL6" s="269"/>
      <c r="BM6" s="247">
        <f>O6*BK6</f>
        <v>40075354.799999997</v>
      </c>
      <c r="BN6" s="247"/>
      <c r="BO6" s="239"/>
      <c r="BP6" s="239"/>
      <c r="BQ6" s="239">
        <v>0</v>
      </c>
      <c r="BR6" s="293">
        <v>0</v>
      </c>
      <c r="BS6" s="78" t="s">
        <v>258</v>
      </c>
      <c r="BT6" s="275">
        <f>BB6/M6</f>
        <v>0.25666666666666665</v>
      </c>
      <c r="BU6" s="247">
        <v>17560383</v>
      </c>
      <c r="BV6" s="271">
        <f>BU6/O6</f>
        <v>0.15380261668949716</v>
      </c>
      <c r="BW6" s="275">
        <f>BU6/N6</f>
        <v>0.25651337677858421</v>
      </c>
      <c r="BX6" s="343">
        <v>0</v>
      </c>
      <c r="BY6" s="293">
        <f>BX6/BM6</f>
        <v>0</v>
      </c>
      <c r="BZ6" s="281" t="s">
        <v>280</v>
      </c>
      <c r="CA6" s="271">
        <f>BB6/M7</f>
        <v>0.25666666666666665</v>
      </c>
      <c r="CB6" s="247">
        <v>17560383</v>
      </c>
      <c r="CC6" s="271">
        <f>BU6/O6</f>
        <v>0.15380261668949716</v>
      </c>
      <c r="CD6" s="275">
        <f>CB6/N6</f>
        <v>0.25651337677858421</v>
      </c>
      <c r="CE6" s="247">
        <v>0</v>
      </c>
      <c r="CF6" s="293">
        <f t="shared" si="3"/>
        <v>0</v>
      </c>
      <c r="CG6" s="281" t="s">
        <v>291</v>
      </c>
      <c r="CH6" s="275">
        <f>BB6/M6</f>
        <v>0.25666666666666665</v>
      </c>
      <c r="CI6" s="344">
        <v>17560383</v>
      </c>
      <c r="CJ6" s="271">
        <f>CI6/O6</f>
        <v>0.15380261668949716</v>
      </c>
      <c r="CK6" s="275">
        <f>CB6/N6</f>
        <v>0.25651337677858421</v>
      </c>
      <c r="CL6" s="344">
        <v>0</v>
      </c>
      <c r="CM6" s="293">
        <f t="shared" ref="CM6:CM12" si="9">CL6/BM6</f>
        <v>0</v>
      </c>
      <c r="CN6" s="281" t="s">
        <v>316</v>
      </c>
      <c r="CO6" s="275">
        <f>BB6/M6</f>
        <v>0.25666666666666665</v>
      </c>
      <c r="CP6" s="344">
        <v>17560383</v>
      </c>
      <c r="CQ6" s="275">
        <f>CI6/O6</f>
        <v>0.15380261668949716</v>
      </c>
      <c r="CR6" s="275">
        <f>CB6/N6</f>
        <v>0.25651337677858421</v>
      </c>
      <c r="CS6" s="344">
        <v>0</v>
      </c>
      <c r="CT6" s="293">
        <f>CS6/BM6</f>
        <v>0</v>
      </c>
      <c r="CU6" s="10" t="s">
        <v>328</v>
      </c>
      <c r="CV6" s="275">
        <f>CB6/N6</f>
        <v>0.25651337677858421</v>
      </c>
      <c r="CW6" s="344">
        <v>17560383</v>
      </c>
      <c r="CX6" s="275">
        <f>CI6/O6</f>
        <v>0.15380261668949716</v>
      </c>
      <c r="CY6" s="275">
        <f>CB6/N6</f>
        <v>0.25651337677858421</v>
      </c>
      <c r="CZ6" s="361">
        <v>0</v>
      </c>
      <c r="DA6" s="331">
        <f t="shared" si="4"/>
        <v>0</v>
      </c>
      <c r="DB6" s="340" t="s">
        <v>338</v>
      </c>
      <c r="DC6" s="306">
        <f>CB6/N6</f>
        <v>0.25651337677858421</v>
      </c>
      <c r="DD6" s="344">
        <v>17560383</v>
      </c>
      <c r="DE6" s="306">
        <f>CI6/O6</f>
        <v>0.15380261668949716</v>
      </c>
      <c r="DF6" s="306">
        <f>CB6/N6</f>
        <v>0.25651337677858421</v>
      </c>
    </row>
    <row r="7" spans="1:110" ht="231" customHeight="1" x14ac:dyDescent="0.2">
      <c r="A7" s="295">
        <v>3</v>
      </c>
      <c r="B7" s="21" t="s">
        <v>35</v>
      </c>
      <c r="C7" s="10" t="s">
        <v>273</v>
      </c>
      <c r="D7" s="16" t="s">
        <v>4</v>
      </c>
      <c r="E7" s="33" t="s">
        <v>84</v>
      </c>
      <c r="F7" s="33" t="s">
        <v>242</v>
      </c>
      <c r="G7" s="5">
        <v>0.23</v>
      </c>
      <c r="H7" s="5">
        <v>0.37</v>
      </c>
      <c r="I7" s="5">
        <v>0.49</v>
      </c>
      <c r="J7" s="5">
        <v>0.6</v>
      </c>
      <c r="K7" s="47" t="s">
        <v>314</v>
      </c>
      <c r="L7" s="33" t="s">
        <v>65</v>
      </c>
      <c r="M7" s="7">
        <v>0.6</v>
      </c>
      <c r="N7" s="282">
        <v>68457962</v>
      </c>
      <c r="O7" s="282">
        <v>114174800</v>
      </c>
      <c r="P7" s="8">
        <f t="shared" si="5"/>
        <v>0.23</v>
      </c>
      <c r="Q7" s="8">
        <v>0.23</v>
      </c>
      <c r="R7" s="240">
        <v>26242218.77</v>
      </c>
      <c r="S7" s="240">
        <v>11980143.35</v>
      </c>
      <c r="T7" s="165">
        <f t="shared" si="0"/>
        <v>1</v>
      </c>
      <c r="U7" s="17" t="s">
        <v>31</v>
      </c>
      <c r="V7" s="245">
        <f>Q7/M7</f>
        <v>0.38333333333333336</v>
      </c>
      <c r="W7" s="153">
        <v>0.37</v>
      </c>
      <c r="X7" s="153"/>
      <c r="Y7" s="153"/>
      <c r="Z7" s="154">
        <v>15973524.470000001</v>
      </c>
      <c r="AA7" s="154">
        <v>12368</v>
      </c>
      <c r="AB7" s="167">
        <f>AA7/Z7</f>
        <v>7.7428121910279952E-4</v>
      </c>
      <c r="AC7" s="17" t="s">
        <v>39</v>
      </c>
      <c r="AD7" s="148">
        <v>75374</v>
      </c>
      <c r="AE7" s="167">
        <f>AD7/Z7</f>
        <v>4.7186831022521351E-3</v>
      </c>
      <c r="AF7" s="17" t="s">
        <v>57</v>
      </c>
      <c r="AG7" s="147">
        <v>43006</v>
      </c>
      <c r="AH7" s="171">
        <f t="shared" si="7"/>
        <v>2.6923300540697766E-3</v>
      </c>
      <c r="AI7" s="39" t="s">
        <v>78</v>
      </c>
      <c r="AJ7" s="147">
        <v>168576</v>
      </c>
      <c r="AK7" s="173">
        <f t="shared" si="8"/>
        <v>1.0553463032945789E-2</v>
      </c>
      <c r="AL7" s="39" t="s">
        <v>96</v>
      </c>
      <c r="AM7" s="174">
        <v>7114924.2199999997</v>
      </c>
      <c r="AN7" s="173">
        <f>AM7/Z7</f>
        <v>0.44541980909489287</v>
      </c>
      <c r="AO7" s="78" t="s">
        <v>108</v>
      </c>
      <c r="AP7" s="158">
        <v>7362927</v>
      </c>
      <c r="AQ7" s="169">
        <f>AP7/Z7</f>
        <v>0.46094567381346363</v>
      </c>
      <c r="AR7" s="78" t="s">
        <v>118</v>
      </c>
      <c r="AS7" s="345">
        <v>7362927.5</v>
      </c>
      <c r="AT7" s="169">
        <f>+AS7/Z7</f>
        <v>0.46094570511525934</v>
      </c>
      <c r="AU7" s="78" t="s">
        <v>129</v>
      </c>
      <c r="AV7" s="345">
        <v>7906008.1799999997</v>
      </c>
      <c r="AW7" s="169">
        <f>+AV7/Z7</f>
        <v>0.49494450613252788</v>
      </c>
      <c r="AX7" s="94" t="s">
        <v>143</v>
      </c>
      <c r="AY7" s="346">
        <v>8784660.1699999999</v>
      </c>
      <c r="AZ7" s="83">
        <f>+AY7/Z7</f>
        <v>0.54995127634471264</v>
      </c>
      <c r="BA7" s="94" t="s">
        <v>155</v>
      </c>
      <c r="BB7" s="153">
        <v>0.14230000000000001</v>
      </c>
      <c r="BC7" s="94"/>
      <c r="BD7" s="261">
        <v>42215743.240000002</v>
      </c>
      <c r="BE7" s="261">
        <v>16231703.439999999</v>
      </c>
      <c r="BF7" s="165">
        <f t="shared" si="1"/>
        <v>0.38459459459459461</v>
      </c>
      <c r="BG7" s="94"/>
      <c r="BH7" s="94"/>
      <c r="BI7" s="78" t="s">
        <v>249</v>
      </c>
      <c r="BJ7" s="347">
        <f t="shared" si="2"/>
        <v>0.23716666666666669</v>
      </c>
      <c r="BK7" s="348">
        <v>0.49</v>
      </c>
      <c r="BL7" s="269"/>
      <c r="BM7" s="343">
        <f>O7*49/100</f>
        <v>55945652</v>
      </c>
      <c r="BN7" s="343"/>
      <c r="BO7" s="239"/>
      <c r="BP7" s="143"/>
      <c r="BQ7" s="343">
        <v>128375.7452</v>
      </c>
      <c r="BR7" s="293">
        <f>BQ7/BM7</f>
        <v>2.2946509802048605E-3</v>
      </c>
      <c r="BS7" s="281" t="s">
        <v>252</v>
      </c>
      <c r="BT7" s="308">
        <f>BB7/M7</f>
        <v>0.23716666666666669</v>
      </c>
      <c r="BU7" s="343">
        <v>16360079.189999999</v>
      </c>
      <c r="BV7" s="275">
        <f>BU7/O7</f>
        <v>0.14328975562032953</v>
      </c>
      <c r="BW7" s="275">
        <f>+BU7/N7</f>
        <v>0.23897993326181693</v>
      </c>
      <c r="BX7" s="343">
        <v>48037</v>
      </c>
      <c r="BY7" s="293">
        <f>BX7/BM7</f>
        <v>8.5863687851917426E-4</v>
      </c>
      <c r="BZ7" s="281" t="s">
        <v>262</v>
      </c>
      <c r="CA7" s="275">
        <f>BB7/M7</f>
        <v>0.23716666666666669</v>
      </c>
      <c r="CB7" s="344">
        <f>BU7+BX7</f>
        <v>16408116.189999999</v>
      </c>
      <c r="CC7" s="275">
        <f>CB7/O7</f>
        <v>0.14371048769080391</v>
      </c>
      <c r="CD7" s="275">
        <f>CB7/N7</f>
        <v>0.23968163396392081</v>
      </c>
      <c r="CE7" s="344">
        <v>287686.40000000002</v>
      </c>
      <c r="CF7" s="293">
        <f t="shared" si="3"/>
        <v>5.1422476942444076E-3</v>
      </c>
      <c r="CG7" s="340" t="s">
        <v>290</v>
      </c>
      <c r="CH7" s="306">
        <f>BB7/M7</f>
        <v>0.23716666666666669</v>
      </c>
      <c r="CI7" s="307">
        <f>+CE7+CB7</f>
        <v>16695802.59</v>
      </c>
      <c r="CJ7" s="306">
        <f>CI7/O7</f>
        <v>0.14623018906098367</v>
      </c>
      <c r="CK7" s="306">
        <f>CI7/N7</f>
        <v>0.24388401439703974</v>
      </c>
      <c r="CL7" s="289">
        <v>6980030</v>
      </c>
      <c r="CM7" s="293">
        <f t="shared" si="9"/>
        <v>0.12476447678185965</v>
      </c>
      <c r="CN7" s="281" t="s">
        <v>317</v>
      </c>
      <c r="CO7" s="308">
        <f>BB7/M7</f>
        <v>0.23716666666666669</v>
      </c>
      <c r="CP7" s="289">
        <v>26485263.82</v>
      </c>
      <c r="CQ7" s="275">
        <f>CP7/O7</f>
        <v>0.23197118646146084</v>
      </c>
      <c r="CR7" s="275">
        <f>CP7/N7</f>
        <v>0.38688361508629193</v>
      </c>
      <c r="CS7" s="289">
        <v>2864103</v>
      </c>
      <c r="CT7" s="293">
        <f>CS7/BM7</f>
        <v>5.1194380574919388E-2</v>
      </c>
      <c r="CU7" s="10" t="s">
        <v>329</v>
      </c>
      <c r="CV7" s="275">
        <f>BB7/M7</f>
        <v>0.23716666666666669</v>
      </c>
      <c r="CW7" s="289">
        <f>CS7+CP7</f>
        <v>29349366.82</v>
      </c>
      <c r="CX7" s="271">
        <f>CP7/O7</f>
        <v>0.23197118646146084</v>
      </c>
      <c r="CY7" s="275">
        <f>CW7/N7</f>
        <v>0.42872101305031546</v>
      </c>
      <c r="CZ7" s="368">
        <v>621808.9</v>
      </c>
      <c r="DA7" s="293">
        <f t="shared" si="4"/>
        <v>1.1114516995887367E-2</v>
      </c>
      <c r="DB7" s="10" t="s">
        <v>339</v>
      </c>
      <c r="DC7" s="275">
        <f>(49.73-12.5)/(72.5-12.5)</f>
        <v>0.62049999999999994</v>
      </c>
      <c r="DD7" s="289">
        <f>+CZ7+CW7</f>
        <v>29971175.719999999</v>
      </c>
      <c r="DE7" s="275">
        <f>DD7/O7</f>
        <v>0.26250254627115616</v>
      </c>
      <c r="DF7" s="275">
        <f>DD7/N7</f>
        <v>0.43780408946442195</v>
      </c>
    </row>
    <row r="8" spans="1:110" ht="243" customHeight="1" x14ac:dyDescent="0.2">
      <c r="A8" s="295">
        <v>4</v>
      </c>
      <c r="B8" s="9" t="s">
        <v>34</v>
      </c>
      <c r="C8" s="10" t="s">
        <v>271</v>
      </c>
      <c r="D8" s="4" t="s">
        <v>4</v>
      </c>
      <c r="E8" s="33" t="s">
        <v>276</v>
      </c>
      <c r="F8" s="33" t="s">
        <v>242</v>
      </c>
      <c r="G8" s="236">
        <v>3.0999999999999999E-3</v>
      </c>
      <c r="H8" s="8">
        <v>0.19900000000000001</v>
      </c>
      <c r="I8" s="8">
        <v>0.20300000000000001</v>
      </c>
      <c r="J8" s="8">
        <v>0.59399999999999997</v>
      </c>
      <c r="K8" s="142" t="s">
        <v>315</v>
      </c>
      <c r="L8" s="33" t="s">
        <v>64</v>
      </c>
      <c r="M8" s="7">
        <v>1</v>
      </c>
      <c r="N8" s="241">
        <v>39084775.049999997</v>
      </c>
      <c r="O8" s="241">
        <v>39084775.049999997</v>
      </c>
      <c r="P8" s="8">
        <f t="shared" si="5"/>
        <v>3.0999999999999999E-3</v>
      </c>
      <c r="Q8" s="14">
        <v>3.0999999999999999E-3</v>
      </c>
      <c r="R8" s="240">
        <v>121595.52</v>
      </c>
      <c r="S8" s="240">
        <v>121595.52</v>
      </c>
      <c r="T8" s="165">
        <f t="shared" si="0"/>
        <v>1</v>
      </c>
      <c r="U8" s="18" t="s">
        <v>233</v>
      </c>
      <c r="V8" s="248">
        <f>Q8/M8</f>
        <v>3.0999999999999999E-3</v>
      </c>
      <c r="W8" s="252">
        <v>0.19969999999999999</v>
      </c>
      <c r="X8" s="239"/>
      <c r="Y8" s="239"/>
      <c r="Z8" s="237">
        <v>999718</v>
      </c>
      <c r="AA8" s="148">
        <v>0</v>
      </c>
      <c r="AB8" s="165">
        <f t="shared" si="6"/>
        <v>0</v>
      </c>
      <c r="AC8" s="17" t="s">
        <v>40</v>
      </c>
      <c r="AD8" s="148">
        <v>0</v>
      </c>
      <c r="AE8" s="165">
        <f>AD8/Z8</f>
        <v>0</v>
      </c>
      <c r="AF8" s="17" t="s">
        <v>60</v>
      </c>
      <c r="AG8" s="148">
        <v>0</v>
      </c>
      <c r="AH8" s="170">
        <f t="shared" si="7"/>
        <v>0</v>
      </c>
      <c r="AI8" s="39" t="s">
        <v>81</v>
      </c>
      <c r="AJ8" s="147">
        <v>0</v>
      </c>
      <c r="AK8" s="173">
        <f>AJ8/Z8</f>
        <v>0</v>
      </c>
      <c r="AL8" s="39" t="s">
        <v>81</v>
      </c>
      <c r="AM8" s="147">
        <v>0</v>
      </c>
      <c r="AN8" s="173">
        <f>+AM8/Z8</f>
        <v>0</v>
      </c>
      <c r="AO8" s="17" t="s">
        <v>81</v>
      </c>
      <c r="AP8" s="147">
        <v>0</v>
      </c>
      <c r="AQ8" s="169">
        <f>AP8/Z8</f>
        <v>0</v>
      </c>
      <c r="AR8" s="17" t="s">
        <v>81</v>
      </c>
      <c r="AS8" s="147">
        <v>0</v>
      </c>
      <c r="AT8" s="169">
        <v>0</v>
      </c>
      <c r="AU8" s="349" t="s">
        <v>131</v>
      </c>
      <c r="AV8" s="158">
        <v>0</v>
      </c>
      <c r="AW8" s="169">
        <f>+AV8/Z8</f>
        <v>0</v>
      </c>
      <c r="AX8" s="89" t="s">
        <v>140</v>
      </c>
      <c r="AY8" s="158">
        <v>0</v>
      </c>
      <c r="AZ8" s="83">
        <f>+AY8/Z8</f>
        <v>0</v>
      </c>
      <c r="BA8" s="94" t="s">
        <v>140</v>
      </c>
      <c r="BB8" s="252">
        <v>0.10440000000000001</v>
      </c>
      <c r="BC8" s="94"/>
      <c r="BD8" s="350">
        <f>39084775*19.9/100</f>
        <v>7777870.2249999996</v>
      </c>
      <c r="BE8" s="344">
        <v>4083550.05</v>
      </c>
      <c r="BF8" s="273">
        <f t="shared" si="1"/>
        <v>0.52278417626439666</v>
      </c>
      <c r="BG8" s="14">
        <f>20.3-10.3</f>
        <v>10</v>
      </c>
      <c r="BH8" s="14"/>
      <c r="BI8" s="162" t="s">
        <v>278</v>
      </c>
      <c r="BJ8" s="253">
        <f t="shared" si="2"/>
        <v>0.10440000000000001</v>
      </c>
      <c r="BK8" s="268">
        <v>0.20300000000000001</v>
      </c>
      <c r="BL8" s="269"/>
      <c r="BM8" s="241">
        <v>15829333</v>
      </c>
      <c r="BN8" s="249"/>
      <c r="BO8" s="75"/>
      <c r="BP8" s="75"/>
      <c r="BQ8" s="153" t="s">
        <v>200</v>
      </c>
      <c r="BR8" s="293">
        <v>0</v>
      </c>
      <c r="BS8" s="78" t="s">
        <v>258</v>
      </c>
      <c r="BT8" s="271">
        <f>BB8/M8</f>
        <v>0.10440000000000001</v>
      </c>
      <c r="BU8" s="247">
        <f>4038252.91+121595.52</f>
        <v>4159848.43</v>
      </c>
      <c r="BV8" s="275">
        <f>BU8/N8</f>
        <v>0.10643142821414295</v>
      </c>
      <c r="BW8" s="271">
        <f>+BU8/N8</f>
        <v>0.10643142821414295</v>
      </c>
      <c r="BX8" s="343">
        <v>0</v>
      </c>
      <c r="BY8" s="293">
        <v>0</v>
      </c>
      <c r="BZ8" s="281" t="s">
        <v>281</v>
      </c>
      <c r="CA8" s="275">
        <f>10.44%+0.31%</f>
        <v>0.1075</v>
      </c>
      <c r="CB8" s="247">
        <f>4038252.91+121595.52</f>
        <v>4159848.43</v>
      </c>
      <c r="CC8" s="275">
        <f>10.44%+0.31%</f>
        <v>0.1075</v>
      </c>
      <c r="CD8" s="275">
        <f>10.44%+0.31%</f>
        <v>0.1075</v>
      </c>
      <c r="CE8" s="344">
        <v>0</v>
      </c>
      <c r="CF8" s="293">
        <v>0</v>
      </c>
      <c r="CG8" s="281" t="s">
        <v>292</v>
      </c>
      <c r="CH8" s="275">
        <f>10.44%+0.31%</f>
        <v>0.1075</v>
      </c>
      <c r="CI8" s="247">
        <f>4038252.91+121595.52</f>
        <v>4159848.43</v>
      </c>
      <c r="CJ8" s="275">
        <f>10.44%+0.31%</f>
        <v>0.1075</v>
      </c>
      <c r="CK8" s="275">
        <f>10.44%+0.31%</f>
        <v>0.1075</v>
      </c>
      <c r="CL8" s="344">
        <v>0</v>
      </c>
      <c r="CM8" s="293">
        <f t="shared" si="9"/>
        <v>0</v>
      </c>
      <c r="CN8" s="281" t="s">
        <v>318</v>
      </c>
      <c r="CO8" s="275">
        <f>10.44%+0.31%</f>
        <v>0.1075</v>
      </c>
      <c r="CP8" s="344">
        <f>4038252.91+121595.52</f>
        <v>4159848.43</v>
      </c>
      <c r="CQ8" s="275">
        <f>10.44%+0.31%</f>
        <v>0.1075</v>
      </c>
      <c r="CR8" s="275">
        <f>10.44%+0.31%</f>
        <v>0.1075</v>
      </c>
      <c r="CS8" s="344">
        <v>0</v>
      </c>
      <c r="CT8" s="293">
        <f>CS8/BM8</f>
        <v>0</v>
      </c>
      <c r="CU8" s="281" t="s">
        <v>330</v>
      </c>
      <c r="CV8" s="275">
        <f>10.44%+0.31%</f>
        <v>0.1075</v>
      </c>
      <c r="CW8" s="344">
        <f>4038252.91+121595.52</f>
        <v>4159848.43</v>
      </c>
      <c r="CX8" s="275">
        <f>10.44%+0.31%</f>
        <v>0.1075</v>
      </c>
      <c r="CY8" s="275">
        <f>10.44%+0.31%</f>
        <v>0.1075</v>
      </c>
      <c r="CZ8" s="365">
        <v>0</v>
      </c>
      <c r="DA8" s="331">
        <f t="shared" si="4"/>
        <v>0</v>
      </c>
      <c r="DB8" s="281" t="s">
        <v>340</v>
      </c>
      <c r="DC8" s="275">
        <f>10.44%+0.31%</f>
        <v>0.1075</v>
      </c>
      <c r="DD8" s="344">
        <f>4038252.91+121595.52</f>
        <v>4159848.43</v>
      </c>
      <c r="DE8" s="275">
        <f>10.44%+0.31%</f>
        <v>0.1075</v>
      </c>
      <c r="DF8" s="361"/>
    </row>
    <row r="9" spans="1:110" ht="381.75" customHeight="1" x14ac:dyDescent="0.2">
      <c r="A9" s="295">
        <v>5</v>
      </c>
      <c r="B9" s="21" t="s">
        <v>35</v>
      </c>
      <c r="C9" s="10" t="s">
        <v>15</v>
      </c>
      <c r="D9" s="16" t="s">
        <v>4</v>
      </c>
      <c r="E9" s="33" t="s">
        <v>84</v>
      </c>
      <c r="F9" s="33" t="s">
        <v>254</v>
      </c>
      <c r="G9" s="5">
        <v>0.05</v>
      </c>
      <c r="H9" s="5">
        <v>0.3</v>
      </c>
      <c r="I9" s="5">
        <v>0.6</v>
      </c>
      <c r="J9" s="5">
        <v>1</v>
      </c>
      <c r="K9" s="333" t="s">
        <v>322</v>
      </c>
      <c r="L9" s="33" t="s">
        <v>66</v>
      </c>
      <c r="M9" s="34">
        <v>1</v>
      </c>
      <c r="N9" s="34" t="s">
        <v>70</v>
      </c>
      <c r="O9" s="34" t="s">
        <v>200</v>
      </c>
      <c r="P9" s="5">
        <f t="shared" si="5"/>
        <v>0.05</v>
      </c>
      <c r="Q9" s="5">
        <v>0.05</v>
      </c>
      <c r="R9" s="5">
        <v>0.05</v>
      </c>
      <c r="S9" s="5">
        <v>0.05</v>
      </c>
      <c r="T9" s="165">
        <f t="shared" si="0"/>
        <v>1</v>
      </c>
      <c r="U9" s="18" t="s">
        <v>33</v>
      </c>
      <c r="V9" s="248">
        <f>S9/M9</f>
        <v>0.05</v>
      </c>
      <c r="W9" s="149">
        <v>0.3</v>
      </c>
      <c r="X9" s="149"/>
      <c r="Y9" s="149"/>
      <c r="Z9" s="149">
        <v>0.25</v>
      </c>
      <c r="AA9" s="149">
        <v>0.04</v>
      </c>
      <c r="AB9" s="165">
        <f>AA9/Z9</f>
        <v>0.16</v>
      </c>
      <c r="AC9" s="17" t="s">
        <v>41</v>
      </c>
      <c r="AD9" s="149">
        <v>7.0000000000000007E-2</v>
      </c>
      <c r="AE9" s="165">
        <f>AD9/Z9</f>
        <v>0.28000000000000003</v>
      </c>
      <c r="AF9" s="17" t="s">
        <v>56</v>
      </c>
      <c r="AG9" s="149">
        <v>0.11</v>
      </c>
      <c r="AH9" s="170">
        <f t="shared" si="7"/>
        <v>0.44</v>
      </c>
      <c r="AI9" s="40" t="s">
        <v>77</v>
      </c>
      <c r="AJ9" s="149">
        <v>0.14000000000000001</v>
      </c>
      <c r="AK9" s="170">
        <f t="shared" si="8"/>
        <v>0.56000000000000005</v>
      </c>
      <c r="AL9" s="39" t="s">
        <v>97</v>
      </c>
      <c r="AM9" s="175">
        <v>0.15</v>
      </c>
      <c r="AN9" s="170">
        <f>AM9/Z9</f>
        <v>0.6</v>
      </c>
      <c r="AO9" s="17" t="s">
        <v>109</v>
      </c>
      <c r="AP9" s="151">
        <v>0.15</v>
      </c>
      <c r="AQ9" s="169">
        <f>AP9/Z9</f>
        <v>0.6</v>
      </c>
      <c r="AR9" s="17" t="s">
        <v>121</v>
      </c>
      <c r="AS9" s="151">
        <v>0.15</v>
      </c>
      <c r="AT9" s="169">
        <v>0.5</v>
      </c>
      <c r="AU9" s="351" t="s">
        <v>126</v>
      </c>
      <c r="AV9" s="276">
        <v>0.15</v>
      </c>
      <c r="AW9" s="169">
        <v>0.5</v>
      </c>
      <c r="AX9" s="89" t="s">
        <v>139</v>
      </c>
      <c r="AY9" s="352">
        <v>0.15</v>
      </c>
      <c r="AZ9" s="83">
        <v>0.5</v>
      </c>
      <c r="BA9" s="94" t="s">
        <v>151</v>
      </c>
      <c r="BB9" s="149">
        <v>0.2</v>
      </c>
      <c r="BC9" s="94"/>
      <c r="BD9" s="149">
        <v>0.3</v>
      </c>
      <c r="BE9" s="149">
        <v>0.2</v>
      </c>
      <c r="BF9" s="165">
        <f t="shared" si="1"/>
        <v>0.66666666666666674</v>
      </c>
      <c r="BG9" s="94"/>
      <c r="BH9" s="94"/>
      <c r="BI9" s="353" t="s">
        <v>231</v>
      </c>
      <c r="BJ9" s="267">
        <f t="shared" si="2"/>
        <v>0.2</v>
      </c>
      <c r="BK9" s="276" t="s">
        <v>294</v>
      </c>
      <c r="BL9" s="269"/>
      <c r="BM9" s="276">
        <v>0.6</v>
      </c>
      <c r="BN9" s="276"/>
      <c r="BO9" s="276"/>
      <c r="BP9" s="276"/>
      <c r="BQ9" s="354">
        <v>0</v>
      </c>
      <c r="BR9" s="294">
        <v>0</v>
      </c>
      <c r="BS9" s="280" t="s">
        <v>253</v>
      </c>
      <c r="BT9" s="267">
        <f>BB9/M9</f>
        <v>0.2</v>
      </c>
      <c r="BU9" s="286" t="s">
        <v>200</v>
      </c>
      <c r="BV9" s="286" t="s">
        <v>200</v>
      </c>
      <c r="BW9" s="267">
        <f>BT9/M9</f>
        <v>0.2</v>
      </c>
      <c r="BX9" s="285">
        <v>0</v>
      </c>
      <c r="BY9" s="293">
        <f>BX9/60</f>
        <v>0</v>
      </c>
      <c r="BZ9" s="281" t="s">
        <v>282</v>
      </c>
      <c r="CA9" s="267">
        <f>BW9/M9</f>
        <v>0.2</v>
      </c>
      <c r="CB9" s="286" t="s">
        <v>200</v>
      </c>
      <c r="CC9" s="286" t="s">
        <v>200</v>
      </c>
      <c r="CD9" s="288">
        <f>BT9/M9</f>
        <v>0.2</v>
      </c>
      <c r="CE9" s="290">
        <v>0</v>
      </c>
      <c r="CF9" s="293">
        <f t="shared" si="3"/>
        <v>0</v>
      </c>
      <c r="CG9" s="281" t="s">
        <v>293</v>
      </c>
      <c r="CH9" s="288">
        <f>CA9/M9</f>
        <v>0.2</v>
      </c>
      <c r="CI9" s="291" t="s">
        <v>200</v>
      </c>
      <c r="CJ9" s="291" t="s">
        <v>200</v>
      </c>
      <c r="CK9" s="288">
        <f>CA9/M9</f>
        <v>0.2</v>
      </c>
      <c r="CL9" s="309">
        <v>0.21</v>
      </c>
      <c r="CM9" s="331">
        <f t="shared" si="9"/>
        <v>0.35</v>
      </c>
      <c r="CN9" s="281" t="s">
        <v>319</v>
      </c>
      <c r="CO9" s="332">
        <f>CR9/M9</f>
        <v>0.21</v>
      </c>
      <c r="CP9" s="305" t="s">
        <v>200</v>
      </c>
      <c r="CQ9" s="305" t="s">
        <v>200</v>
      </c>
      <c r="CR9" s="288">
        <v>0.21</v>
      </c>
      <c r="CS9" s="363">
        <v>0.21</v>
      </c>
      <c r="CT9" s="293">
        <f t="shared" ref="CT9:CT12" si="10">CS9/BM9</f>
        <v>0.35</v>
      </c>
      <c r="CU9" s="33" t="s">
        <v>333</v>
      </c>
      <c r="CV9" s="288">
        <f>CS9/M9</f>
        <v>0.21</v>
      </c>
      <c r="CW9" s="16" t="s">
        <v>200</v>
      </c>
      <c r="CX9" s="16" t="s">
        <v>200</v>
      </c>
      <c r="CY9" s="288">
        <v>0.21</v>
      </c>
      <c r="CZ9" s="363">
        <v>0.21</v>
      </c>
      <c r="DA9" s="331">
        <f t="shared" si="4"/>
        <v>0.35</v>
      </c>
      <c r="DB9" s="33" t="s">
        <v>341</v>
      </c>
      <c r="DC9" s="288">
        <f>CZ9/M9</f>
        <v>0.21</v>
      </c>
      <c r="DD9" s="295" t="s">
        <v>200</v>
      </c>
      <c r="DE9" s="295" t="s">
        <v>200</v>
      </c>
      <c r="DF9" s="361"/>
    </row>
    <row r="10" spans="1:110" ht="240" x14ac:dyDescent="0.2">
      <c r="A10" s="295">
        <v>6</v>
      </c>
      <c r="B10" s="21" t="s">
        <v>35</v>
      </c>
      <c r="C10" s="32" t="s">
        <v>9</v>
      </c>
      <c r="D10" s="20" t="s">
        <v>10</v>
      </c>
      <c r="E10" s="33" t="s">
        <v>277</v>
      </c>
      <c r="F10" s="33" t="s">
        <v>243</v>
      </c>
      <c r="G10" s="16">
        <v>6</v>
      </c>
      <c r="H10" s="16">
        <v>10</v>
      </c>
      <c r="I10" s="16">
        <v>17</v>
      </c>
      <c r="J10" s="16">
        <v>20</v>
      </c>
      <c r="K10" s="333" t="s">
        <v>323</v>
      </c>
      <c r="L10" s="33" t="s">
        <v>64</v>
      </c>
      <c r="M10" s="20">
        <v>20</v>
      </c>
      <c r="N10" s="20">
        <v>20</v>
      </c>
      <c r="O10" s="20" t="s">
        <v>200</v>
      </c>
      <c r="P10" s="13">
        <f t="shared" si="5"/>
        <v>6</v>
      </c>
      <c r="Q10" s="13">
        <v>8</v>
      </c>
      <c r="R10" s="13">
        <v>6</v>
      </c>
      <c r="S10" s="13">
        <v>8</v>
      </c>
      <c r="T10" s="165">
        <f t="shared" si="0"/>
        <v>1.3333333333333333</v>
      </c>
      <c r="U10" s="17" t="s">
        <v>29</v>
      </c>
      <c r="V10" s="251">
        <f>Q10/M10</f>
        <v>0.4</v>
      </c>
      <c r="W10" s="155">
        <v>10</v>
      </c>
      <c r="X10" s="155"/>
      <c r="Y10" s="155"/>
      <c r="Z10" s="150">
        <v>4</v>
      </c>
      <c r="AA10" s="150">
        <v>1</v>
      </c>
      <c r="AB10" s="165">
        <f>AA10/4</f>
        <v>0.25</v>
      </c>
      <c r="AC10" s="17" t="s">
        <v>42</v>
      </c>
      <c r="AD10" s="150">
        <v>2</v>
      </c>
      <c r="AE10" s="165">
        <f>AD10/4</f>
        <v>0.5</v>
      </c>
      <c r="AF10" s="17" t="s">
        <v>55</v>
      </c>
      <c r="AG10" s="150">
        <v>2</v>
      </c>
      <c r="AH10" s="170">
        <f>AG10/4</f>
        <v>0.5</v>
      </c>
      <c r="AI10" s="39" t="s">
        <v>80</v>
      </c>
      <c r="AJ10" s="155">
        <v>3</v>
      </c>
      <c r="AK10" s="170">
        <f>AJ10/4</f>
        <v>0.75</v>
      </c>
      <c r="AL10" s="43" t="s">
        <v>98</v>
      </c>
      <c r="AM10" s="176">
        <v>3</v>
      </c>
      <c r="AN10" s="170">
        <f>AM10/4</f>
        <v>0.75</v>
      </c>
      <c r="AO10" s="78" t="s">
        <v>105</v>
      </c>
      <c r="AP10" s="150">
        <v>5</v>
      </c>
      <c r="AQ10" s="169">
        <f>AP10/4</f>
        <v>1.25</v>
      </c>
      <c r="AR10" s="17" t="s">
        <v>120</v>
      </c>
      <c r="AS10" s="178">
        <v>8</v>
      </c>
      <c r="AT10" s="169">
        <f>+AS10/4</f>
        <v>2</v>
      </c>
      <c r="AU10" s="17" t="s">
        <v>132</v>
      </c>
      <c r="AV10" s="178">
        <v>8</v>
      </c>
      <c r="AW10" s="169">
        <f>+AV10/Z10</f>
        <v>2</v>
      </c>
      <c r="AX10" s="89" t="s">
        <v>141</v>
      </c>
      <c r="AY10" s="159">
        <v>9</v>
      </c>
      <c r="AZ10" s="83">
        <f>+AY10/Z10</f>
        <v>2.25</v>
      </c>
      <c r="BA10" s="94" t="s">
        <v>153</v>
      </c>
      <c r="BB10" s="155">
        <v>19</v>
      </c>
      <c r="BC10" s="94"/>
      <c r="BD10" s="155">
        <v>10</v>
      </c>
      <c r="BE10" s="155">
        <v>19</v>
      </c>
      <c r="BF10" s="274">
        <f t="shared" si="1"/>
        <v>1.9</v>
      </c>
      <c r="BG10" s="165"/>
      <c r="BH10" s="165"/>
      <c r="BI10" s="162" t="s">
        <v>259</v>
      </c>
      <c r="BJ10" s="355">
        <f t="shared" si="2"/>
        <v>0.95</v>
      </c>
      <c r="BK10" s="354">
        <v>17</v>
      </c>
      <c r="BL10" s="269"/>
      <c r="BM10" s="354">
        <v>17</v>
      </c>
      <c r="BN10" s="356"/>
      <c r="BO10" s="356"/>
      <c r="BP10" s="356"/>
      <c r="BQ10" s="354">
        <v>19</v>
      </c>
      <c r="BR10" s="293">
        <f>BQ10/BM10</f>
        <v>1.1176470588235294</v>
      </c>
      <c r="BS10" s="162" t="s">
        <v>255</v>
      </c>
      <c r="BT10" s="277">
        <f>BE10/N10</f>
        <v>0.95</v>
      </c>
      <c r="BU10" s="287" t="s">
        <v>200</v>
      </c>
      <c r="BV10" s="287" t="s">
        <v>200</v>
      </c>
      <c r="BW10" s="277">
        <f>BE10/N10</f>
        <v>0.95</v>
      </c>
      <c r="BX10" s="354">
        <v>21</v>
      </c>
      <c r="BY10" s="293">
        <f>BX10/BM10</f>
        <v>1.2352941176470589</v>
      </c>
      <c r="BZ10" s="281" t="s">
        <v>283</v>
      </c>
      <c r="CA10" s="284">
        <f>19/20</f>
        <v>0.95</v>
      </c>
      <c r="CB10" s="286" t="s">
        <v>200</v>
      </c>
      <c r="CC10" s="286" t="s">
        <v>200</v>
      </c>
      <c r="CD10" s="288">
        <f>21/20</f>
        <v>1.05</v>
      </c>
      <c r="CE10" s="356">
        <v>23</v>
      </c>
      <c r="CF10" s="293">
        <f t="shared" si="3"/>
        <v>1.3529411764705883</v>
      </c>
      <c r="CG10" s="281" t="s">
        <v>295</v>
      </c>
      <c r="CH10" s="288">
        <f>CE10/M10</f>
        <v>1.1499999999999999</v>
      </c>
      <c r="CI10" s="286" t="s">
        <v>200</v>
      </c>
      <c r="CJ10" s="286" t="s">
        <v>200</v>
      </c>
      <c r="CK10" s="288">
        <f>CE10/M10</f>
        <v>1.1499999999999999</v>
      </c>
      <c r="CL10" s="344">
        <v>27</v>
      </c>
      <c r="CM10" s="331">
        <f t="shared" si="9"/>
        <v>1.588235294117647</v>
      </c>
      <c r="CN10" s="357" t="s">
        <v>320</v>
      </c>
      <c r="CO10" s="288">
        <f>25/M10</f>
        <v>1.25</v>
      </c>
      <c r="CP10" s="305" t="s">
        <v>200</v>
      </c>
      <c r="CQ10" s="305" t="s">
        <v>200</v>
      </c>
      <c r="CR10" s="288">
        <f>CL10/M10</f>
        <v>1.35</v>
      </c>
      <c r="CS10" s="295">
        <v>28</v>
      </c>
      <c r="CT10" s="293">
        <f t="shared" si="10"/>
        <v>1.6470588235294117</v>
      </c>
      <c r="CU10" s="281" t="s">
        <v>334</v>
      </c>
      <c r="CV10" s="288">
        <f>25/M10</f>
        <v>1.25</v>
      </c>
      <c r="CW10" s="305" t="s">
        <v>200</v>
      </c>
      <c r="CX10" s="305" t="s">
        <v>200</v>
      </c>
      <c r="CY10" s="288">
        <f>CS10/M10</f>
        <v>1.4</v>
      </c>
      <c r="CZ10" s="295">
        <v>31</v>
      </c>
      <c r="DA10" s="293">
        <f t="shared" si="4"/>
        <v>1.8235294117647058</v>
      </c>
      <c r="DB10" s="281" t="s">
        <v>342</v>
      </c>
      <c r="DC10" s="288">
        <f>CZ10/M10</f>
        <v>1.55</v>
      </c>
      <c r="DD10" s="295" t="s">
        <v>200</v>
      </c>
      <c r="DE10" s="295" t="s">
        <v>200</v>
      </c>
      <c r="DF10" s="361"/>
    </row>
    <row r="11" spans="1:110" ht="365.25" customHeight="1" x14ac:dyDescent="0.2">
      <c r="A11" s="295">
        <v>7</v>
      </c>
      <c r="B11" s="22" t="s">
        <v>35</v>
      </c>
      <c r="C11" s="76" t="s">
        <v>11</v>
      </c>
      <c r="D11" s="16" t="s">
        <v>8</v>
      </c>
      <c r="E11" s="33" t="s">
        <v>84</v>
      </c>
      <c r="F11" s="33" t="s">
        <v>243</v>
      </c>
      <c r="G11" s="77">
        <v>175</v>
      </c>
      <c r="H11" s="77">
        <v>200</v>
      </c>
      <c r="I11" s="77">
        <v>225</v>
      </c>
      <c r="J11" s="35">
        <v>250</v>
      </c>
      <c r="K11" s="333" t="s">
        <v>322</v>
      </c>
      <c r="L11" s="38" t="s">
        <v>67</v>
      </c>
      <c r="M11" s="310">
        <v>500</v>
      </c>
      <c r="N11" s="310">
        <v>500</v>
      </c>
      <c r="O11" s="37" t="s">
        <v>200</v>
      </c>
      <c r="P11" s="23">
        <f t="shared" si="5"/>
        <v>175</v>
      </c>
      <c r="Q11" s="23">
        <v>185</v>
      </c>
      <c r="R11" s="23">
        <v>175</v>
      </c>
      <c r="S11" s="23">
        <v>185</v>
      </c>
      <c r="T11" s="166">
        <f>(Q11-150)/(P11-150)</f>
        <v>1.4</v>
      </c>
      <c r="U11" s="24" t="s">
        <v>30</v>
      </c>
      <c r="V11" s="262">
        <f>Q11/N11</f>
        <v>0.37</v>
      </c>
      <c r="W11" s="156">
        <v>200</v>
      </c>
      <c r="X11" s="156"/>
      <c r="Y11" s="156"/>
      <c r="Z11" s="157">
        <v>25</v>
      </c>
      <c r="AA11" s="147">
        <v>0</v>
      </c>
      <c r="AB11" s="166">
        <f>AA11/25</f>
        <v>0</v>
      </c>
      <c r="AC11" s="24" t="s">
        <v>43</v>
      </c>
      <c r="AD11" s="147">
        <v>0</v>
      </c>
      <c r="AE11" s="166">
        <f>AD11/25</f>
        <v>0</v>
      </c>
      <c r="AF11" s="24" t="s">
        <v>54</v>
      </c>
      <c r="AG11" s="147">
        <v>0</v>
      </c>
      <c r="AH11" s="172">
        <f>AG11/25</f>
        <v>0</v>
      </c>
      <c r="AI11" s="41" t="s">
        <v>79</v>
      </c>
      <c r="AJ11" s="150">
        <v>15</v>
      </c>
      <c r="AK11" s="170">
        <f>AJ11/25</f>
        <v>0.6</v>
      </c>
      <c r="AL11" s="41" t="s">
        <v>99</v>
      </c>
      <c r="AM11" s="174">
        <v>33</v>
      </c>
      <c r="AN11" s="170">
        <f>AM11/25</f>
        <v>1.32</v>
      </c>
      <c r="AO11" s="17" t="s">
        <v>111</v>
      </c>
      <c r="AP11" s="150">
        <v>55</v>
      </c>
      <c r="AQ11" s="170">
        <f>AP11/25</f>
        <v>2.2000000000000002</v>
      </c>
      <c r="AR11" s="17" t="s">
        <v>116</v>
      </c>
      <c r="AS11" s="178">
        <v>77</v>
      </c>
      <c r="AT11" s="170">
        <f>+AS11/25</f>
        <v>3.08</v>
      </c>
      <c r="AU11" s="17" t="s">
        <v>127</v>
      </c>
      <c r="AV11" s="178">
        <v>117</v>
      </c>
      <c r="AW11" s="170">
        <f>+AV11/25</f>
        <v>4.68</v>
      </c>
      <c r="AX11" s="358" t="s">
        <v>145</v>
      </c>
      <c r="AY11" s="159">
        <v>150</v>
      </c>
      <c r="AZ11" s="84">
        <f>+AY11/25</f>
        <v>6</v>
      </c>
      <c r="BA11" s="94" t="s">
        <v>149</v>
      </c>
      <c r="BB11" s="156">
        <v>372</v>
      </c>
      <c r="BC11" s="94"/>
      <c r="BD11" s="156">
        <v>200</v>
      </c>
      <c r="BE11" s="156">
        <v>372</v>
      </c>
      <c r="BF11" s="279">
        <f>(BB11-150)/(W11-150)</f>
        <v>4.4400000000000004</v>
      </c>
      <c r="BG11" s="94"/>
      <c r="BH11" s="94"/>
      <c r="BI11" s="162" t="s">
        <v>229</v>
      </c>
      <c r="BJ11" s="251">
        <f>(BE11-150)/(250-150)</f>
        <v>2.2200000000000002</v>
      </c>
      <c r="BK11" s="263">
        <v>472</v>
      </c>
      <c r="BL11" s="178"/>
      <c r="BM11" s="263">
        <v>472</v>
      </c>
      <c r="BN11" s="246"/>
      <c r="BO11" s="246"/>
      <c r="BP11" s="162"/>
      <c r="BQ11" s="354">
        <v>372</v>
      </c>
      <c r="BR11" s="293">
        <f>BQ11/BK11</f>
        <v>0.78813559322033899</v>
      </c>
      <c r="BS11" s="162" t="s">
        <v>256</v>
      </c>
      <c r="BT11" s="355">
        <f>(BE11-150)/(250-150)</f>
        <v>2.2200000000000002</v>
      </c>
      <c r="BU11" s="359" t="s">
        <v>200</v>
      </c>
      <c r="BV11" s="359" t="s">
        <v>200</v>
      </c>
      <c r="BW11" s="355">
        <f>(BE11-150)/(250-150)</f>
        <v>2.2200000000000002</v>
      </c>
      <c r="BX11" s="354">
        <v>372</v>
      </c>
      <c r="BY11" s="293">
        <f>BX11/472</f>
        <v>0.78813559322033899</v>
      </c>
      <c r="BZ11" s="281" t="s">
        <v>284</v>
      </c>
      <c r="CA11" s="355">
        <f>(BE11-150)/(250-150)</f>
        <v>2.2200000000000002</v>
      </c>
      <c r="CB11" s="286" t="s">
        <v>200</v>
      </c>
      <c r="CC11" s="286" t="s">
        <v>200</v>
      </c>
      <c r="CD11" s="288">
        <f>(BE11-150)/(250-150)</f>
        <v>2.2200000000000002</v>
      </c>
      <c r="CE11" s="356">
        <v>372</v>
      </c>
      <c r="CF11" s="293">
        <f>CE11/BK11</f>
        <v>0.78813559322033899</v>
      </c>
      <c r="CG11" s="281" t="s">
        <v>296</v>
      </c>
      <c r="CH11" s="288">
        <f>(BE11-150)/(250-150)</f>
        <v>2.2200000000000002</v>
      </c>
      <c r="CI11" s="286" t="s">
        <v>200</v>
      </c>
      <c r="CJ11" s="286" t="s">
        <v>200</v>
      </c>
      <c r="CK11" s="288">
        <f>(BE11-150)/(250-150)</f>
        <v>2.2200000000000002</v>
      </c>
      <c r="CL11" s="305">
        <v>512</v>
      </c>
      <c r="CM11" s="331">
        <f t="shared" si="9"/>
        <v>1.0847457627118644</v>
      </c>
      <c r="CN11" s="281" t="s">
        <v>321</v>
      </c>
      <c r="CO11" s="288">
        <f>(CL11-150)/(500-150)</f>
        <v>1.0342857142857143</v>
      </c>
      <c r="CP11" s="76" t="s">
        <v>200</v>
      </c>
      <c r="CQ11" s="76" t="s">
        <v>200</v>
      </c>
      <c r="CR11" s="288">
        <f>(CL11-150)/(500-150)</f>
        <v>1.0342857142857143</v>
      </c>
      <c r="CS11" s="295">
        <v>526</v>
      </c>
      <c r="CT11" s="293">
        <f t="shared" si="10"/>
        <v>1.1144067796610169</v>
      </c>
      <c r="CU11" s="281" t="s">
        <v>331</v>
      </c>
      <c r="CV11" s="288">
        <f>(CS11-150)/(500-150)</f>
        <v>1.0742857142857143</v>
      </c>
      <c r="CW11" s="295" t="s">
        <v>200</v>
      </c>
      <c r="CX11" s="295" t="s">
        <v>200</v>
      </c>
      <c r="CY11" s="288">
        <f>(CS11-150)/(500-150)</f>
        <v>1.0742857142857143</v>
      </c>
      <c r="CZ11" s="295">
        <v>539</v>
      </c>
      <c r="DA11" s="293">
        <f>CZ11/BK11</f>
        <v>1.1419491525423728</v>
      </c>
      <c r="DB11" s="281" t="s">
        <v>343</v>
      </c>
      <c r="DC11" s="288">
        <f>(539-150)/(500-150)</f>
        <v>1.1114285714285714</v>
      </c>
      <c r="DD11" s="295" t="s">
        <v>200</v>
      </c>
      <c r="DE11" s="295" t="s">
        <v>200</v>
      </c>
      <c r="DF11" s="361"/>
    </row>
    <row r="12" spans="1:110" ht="402.75" customHeight="1" x14ac:dyDescent="0.2">
      <c r="A12" s="295">
        <v>8</v>
      </c>
      <c r="B12" s="25" t="s">
        <v>298</v>
      </c>
      <c r="C12" s="25" t="s">
        <v>46</v>
      </c>
      <c r="D12" s="26" t="s">
        <v>4</v>
      </c>
      <c r="E12" s="33" t="s">
        <v>85</v>
      </c>
      <c r="F12" s="278" t="s">
        <v>242</v>
      </c>
      <c r="G12" s="27">
        <v>0.1</v>
      </c>
      <c r="H12" s="27">
        <v>0.3</v>
      </c>
      <c r="I12" s="27">
        <v>0.3</v>
      </c>
      <c r="J12" s="27">
        <v>0.3</v>
      </c>
      <c r="K12" s="333" t="s">
        <v>324</v>
      </c>
      <c r="L12" s="33" t="s">
        <v>67</v>
      </c>
      <c r="M12" s="28">
        <v>1</v>
      </c>
      <c r="N12" s="28">
        <v>1</v>
      </c>
      <c r="O12" s="28" t="s">
        <v>200</v>
      </c>
      <c r="P12" s="28">
        <v>0.1</v>
      </c>
      <c r="Q12" s="28">
        <v>0.1</v>
      </c>
      <c r="R12" s="28">
        <v>0.1</v>
      </c>
      <c r="S12" s="28">
        <v>0.1</v>
      </c>
      <c r="T12" s="165">
        <f>Q12/P12</f>
        <v>1</v>
      </c>
      <c r="U12" s="17" t="s">
        <v>47</v>
      </c>
      <c r="V12" s="264">
        <f>S12/M12</f>
        <v>0.1</v>
      </c>
      <c r="W12" s="151">
        <v>0.3</v>
      </c>
      <c r="X12" s="151"/>
      <c r="Y12" s="151"/>
      <c r="Z12" s="151">
        <v>0.3</v>
      </c>
      <c r="AA12" s="151">
        <v>0.01</v>
      </c>
      <c r="AB12" s="166">
        <f t="shared" si="6"/>
        <v>3.3333333333333333E-2</v>
      </c>
      <c r="AC12" s="17" t="s">
        <v>48</v>
      </c>
      <c r="AD12" s="149">
        <v>0.02</v>
      </c>
      <c r="AE12" s="165">
        <f>AD12/Z12</f>
        <v>6.6666666666666666E-2</v>
      </c>
      <c r="AF12" s="17" t="s">
        <v>61</v>
      </c>
      <c r="AG12" s="149">
        <v>0.05</v>
      </c>
      <c r="AH12" s="165">
        <f t="shared" si="7"/>
        <v>0.16666666666666669</v>
      </c>
      <c r="AI12" s="17" t="s">
        <v>76</v>
      </c>
      <c r="AJ12" s="151">
        <v>0.06</v>
      </c>
      <c r="AK12" s="165">
        <f t="shared" si="8"/>
        <v>0.2</v>
      </c>
      <c r="AL12" s="17" t="s">
        <v>100</v>
      </c>
      <c r="AM12" s="177">
        <v>0.09</v>
      </c>
      <c r="AN12" s="165">
        <f>AM12/Z12</f>
        <v>0.3</v>
      </c>
      <c r="AO12" s="17" t="s">
        <v>110</v>
      </c>
      <c r="AP12" s="177">
        <v>0.16</v>
      </c>
      <c r="AQ12" s="170">
        <f>AP12/Z12</f>
        <v>0.53333333333333333</v>
      </c>
      <c r="AR12" s="17" t="s">
        <v>122</v>
      </c>
      <c r="AS12" s="177">
        <v>0.21</v>
      </c>
      <c r="AT12" s="170">
        <f>+AS12/Z12</f>
        <v>0.7</v>
      </c>
      <c r="AU12" s="17" t="s">
        <v>133</v>
      </c>
      <c r="AV12" s="180">
        <v>0.23499999999999999</v>
      </c>
      <c r="AW12" s="170">
        <f>+AV12/Z12</f>
        <v>0.78333333333333333</v>
      </c>
      <c r="AX12" s="17" t="s">
        <v>138</v>
      </c>
      <c r="AY12" s="140">
        <v>0.27</v>
      </c>
      <c r="AZ12" s="84">
        <f>+AY12/Z12</f>
        <v>0.90000000000000013</v>
      </c>
      <c r="BA12" s="162" t="s">
        <v>150</v>
      </c>
      <c r="BB12" s="151">
        <v>0.3</v>
      </c>
      <c r="BC12" s="162"/>
      <c r="BD12" s="151">
        <v>0.3</v>
      </c>
      <c r="BE12" s="151">
        <v>0.3</v>
      </c>
      <c r="BF12" s="279">
        <f>BE12/BD12</f>
        <v>1</v>
      </c>
      <c r="BG12" s="162"/>
      <c r="BH12" s="162"/>
      <c r="BI12" s="162" t="s">
        <v>230</v>
      </c>
      <c r="BJ12" s="251">
        <f>(BE12+Q12)</f>
        <v>0.4</v>
      </c>
      <c r="BK12" s="265">
        <v>0.3</v>
      </c>
      <c r="BL12" s="175"/>
      <c r="BM12" s="265">
        <v>0.3</v>
      </c>
      <c r="BN12" s="175"/>
      <c r="BO12" s="246"/>
      <c r="BP12" s="162"/>
      <c r="BQ12" s="360">
        <v>0.01</v>
      </c>
      <c r="BR12" s="293">
        <f>BQ12/BK12</f>
        <v>3.3333333333333333E-2</v>
      </c>
      <c r="BS12" s="162" t="s">
        <v>257</v>
      </c>
      <c r="BT12" s="264">
        <f>BE12+Q12</f>
        <v>0.4</v>
      </c>
      <c r="BU12" s="7" t="s">
        <v>200</v>
      </c>
      <c r="BV12" s="7" t="s">
        <v>200</v>
      </c>
      <c r="BW12" s="264">
        <f>BE12+Q12+BQ12</f>
        <v>0.41000000000000003</v>
      </c>
      <c r="BX12" s="285">
        <v>1.4999999999999999E-2</v>
      </c>
      <c r="BY12" s="293">
        <f>BX12/BM12</f>
        <v>0.05</v>
      </c>
      <c r="BZ12" s="281" t="s">
        <v>285</v>
      </c>
      <c r="CA12" s="264">
        <f>BE12+Q12</f>
        <v>0.4</v>
      </c>
      <c r="CB12" s="286" t="s">
        <v>200</v>
      </c>
      <c r="CC12" s="286" t="s">
        <v>200</v>
      </c>
      <c r="CD12" s="275">
        <f>BE12+Q12+BQ12+BX12</f>
        <v>0.42500000000000004</v>
      </c>
      <c r="CE12" s="292">
        <v>2.5000000000000001E-2</v>
      </c>
      <c r="CF12" s="293">
        <f>CE12/BK12</f>
        <v>8.3333333333333343E-2</v>
      </c>
      <c r="CG12" s="281" t="s">
        <v>297</v>
      </c>
      <c r="CH12" s="288">
        <f>CA12</f>
        <v>0.4</v>
      </c>
      <c r="CI12" s="286" t="s">
        <v>200</v>
      </c>
      <c r="CJ12" s="286" t="s">
        <v>200</v>
      </c>
      <c r="CK12" s="288">
        <f>CE12+BX12+BQ12+BJ12</f>
        <v>0.45</v>
      </c>
      <c r="CL12" s="334">
        <v>0.01</v>
      </c>
      <c r="CM12" s="331">
        <f t="shared" si="9"/>
        <v>3.3333333333333333E-2</v>
      </c>
      <c r="CN12" s="281" t="s">
        <v>309</v>
      </c>
      <c r="CO12" s="288">
        <f>CA12</f>
        <v>0.4</v>
      </c>
      <c r="CP12" s="305" t="s">
        <v>200</v>
      </c>
      <c r="CQ12" s="305" t="s">
        <v>200</v>
      </c>
      <c r="CR12" s="271">
        <v>0.58199999999999996</v>
      </c>
      <c r="CS12" s="364">
        <v>3.7999999999999999E-2</v>
      </c>
      <c r="CT12" s="293">
        <f t="shared" si="10"/>
        <v>0.12666666666666668</v>
      </c>
      <c r="CU12" s="281" t="s">
        <v>332</v>
      </c>
      <c r="CV12" s="288">
        <f>CA12</f>
        <v>0.4</v>
      </c>
      <c r="CW12" s="295" t="s">
        <v>200</v>
      </c>
      <c r="CX12" s="295" t="s">
        <v>200</v>
      </c>
      <c r="CY12" s="288">
        <v>0.62</v>
      </c>
      <c r="CZ12" s="369">
        <v>1.2E-2</v>
      </c>
      <c r="DA12" s="331">
        <f>CZ12/BK12</f>
        <v>0.04</v>
      </c>
      <c r="DB12" s="281" t="s">
        <v>344</v>
      </c>
      <c r="DC12" s="288">
        <f>CA12</f>
        <v>0.4</v>
      </c>
      <c r="DD12" s="295" t="s">
        <v>200</v>
      </c>
      <c r="DE12" s="295" t="s">
        <v>200</v>
      </c>
      <c r="DF12" s="361"/>
    </row>
    <row r="13" spans="1:110" ht="17.25" customHeight="1" x14ac:dyDescent="0.2">
      <c r="B13" s="385"/>
      <c r="C13" s="385"/>
      <c r="D13" s="385"/>
      <c r="E13" s="385"/>
      <c r="F13" s="270"/>
      <c r="G13" s="2"/>
      <c r="H13" s="2"/>
      <c r="I13" s="2"/>
      <c r="J13" s="2"/>
      <c r="K13" s="2"/>
      <c r="L13" s="2"/>
      <c r="M13" s="2"/>
      <c r="N13" s="2"/>
      <c r="O13" s="2"/>
      <c r="AM13" s="85"/>
      <c r="AQ13" s="85"/>
      <c r="AS13" s="86"/>
      <c r="BI13" s="250"/>
      <c r="BT13" s="85"/>
      <c r="BU13" s="85"/>
      <c r="BV13" s="85"/>
      <c r="BW13" s="85"/>
      <c r="BX13" s="85"/>
      <c r="BY13" s="85"/>
      <c r="BZ13" s="85"/>
      <c r="CA13" s="85"/>
      <c r="CB13" s="85"/>
      <c r="CC13" s="85"/>
      <c r="CD13" s="85"/>
      <c r="CE13" s="85"/>
      <c r="CF13" s="85"/>
      <c r="CG13" s="85"/>
      <c r="CH13" s="85"/>
      <c r="CI13" s="85"/>
      <c r="CJ13" s="85"/>
      <c r="CK13" s="85"/>
    </row>
    <row r="14" spans="1:110" ht="23.25" hidden="1" customHeight="1" x14ac:dyDescent="0.2">
      <c r="B14" s="385"/>
      <c r="C14" s="385"/>
      <c r="D14" s="19"/>
      <c r="E14" s="29"/>
      <c r="F14" s="270"/>
      <c r="G14" s="2"/>
      <c r="H14" s="2"/>
      <c r="I14" s="2"/>
      <c r="J14" s="2"/>
      <c r="K14" s="81"/>
      <c r="L14" s="2"/>
      <c r="M14" s="2"/>
      <c r="N14" s="2"/>
      <c r="O14" s="2"/>
      <c r="T14" s="3">
        <v>42180000</v>
      </c>
      <c r="V14" s="85">
        <f>U15/T14</f>
        <v>0.38481990137505928</v>
      </c>
      <c r="AQ14" s="85"/>
      <c r="AS14" s="85"/>
      <c r="AV14" s="87"/>
      <c r="BI14" s="250"/>
      <c r="BJ14" s="122"/>
      <c r="BK14" s="122"/>
      <c r="BL14" s="122"/>
      <c r="BM14" s="122"/>
      <c r="BN14" s="122"/>
    </row>
    <row r="15" spans="1:110" hidden="1" x14ac:dyDescent="0.2">
      <c r="B15" s="2"/>
      <c r="C15" s="2"/>
      <c r="D15" s="2"/>
      <c r="E15" s="2"/>
      <c r="F15" s="2"/>
      <c r="G15" s="2"/>
      <c r="H15" s="2"/>
      <c r="I15" s="2"/>
      <c r="J15" s="2"/>
      <c r="K15" s="2"/>
      <c r="L15" s="2"/>
      <c r="M15" s="2"/>
      <c r="N15" s="2"/>
      <c r="O15" s="2"/>
      <c r="T15" s="86">
        <v>25329445.940000001</v>
      </c>
      <c r="U15" s="86">
        <v>16231703.439999999</v>
      </c>
      <c r="V15" s="85">
        <f>U15/T15</f>
        <v>0.64082346998230466</v>
      </c>
      <c r="AS15" s="85"/>
    </row>
    <row r="16" spans="1:110" x14ac:dyDescent="0.2">
      <c r="C16" s="2"/>
      <c r="D16" s="2"/>
      <c r="E16" s="2"/>
      <c r="F16" s="2"/>
      <c r="G16" s="2"/>
      <c r="H16" s="92"/>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85"/>
    </row>
    <row r="23" spans="3:71" x14ac:dyDescent="0.2">
      <c r="BJ23" s="93"/>
      <c r="BK23" s="93"/>
      <c r="BL23" s="93"/>
      <c r="BM23" s="93"/>
      <c r="BN23" s="93"/>
    </row>
    <row r="25" spans="3:71" ht="15.75" x14ac:dyDescent="0.25">
      <c r="BO25" s="98"/>
      <c r="BP25" s="98"/>
      <c r="BQ25" s="98"/>
      <c r="BR25" s="98"/>
    </row>
  </sheetData>
  <autoFilter ref="B4:CR12" xr:uid="{AF054213-AD79-4CB9-A8A5-88FB8D7FD459}"/>
  <mergeCells count="18">
    <mergeCell ref="B1:CK1"/>
    <mergeCell ref="B13:E13"/>
    <mergeCell ref="L3:L4"/>
    <mergeCell ref="M3:M4"/>
    <mergeCell ref="N3:N4"/>
    <mergeCell ref="W3:BJ3"/>
    <mergeCell ref="P3:V3"/>
    <mergeCell ref="F3:F4"/>
    <mergeCell ref="O3:O4"/>
    <mergeCell ref="K3:K4"/>
    <mergeCell ref="D3:D4"/>
    <mergeCell ref="E3:E4"/>
    <mergeCell ref="BK3:DF3"/>
    <mergeCell ref="A3:A4"/>
    <mergeCell ref="B14:C14"/>
    <mergeCell ref="G3:J3"/>
    <mergeCell ref="C3:C4"/>
    <mergeCell ref="B3:B4"/>
  </mergeCells>
  <phoneticPr fontId="9" type="noConversion"/>
  <conditionalFormatting sqref="T5:T12 AB11:AB12">
    <cfRule type="cellIs" dxfId="575" priority="409" operator="lessThan">
      <formula>0.4</formula>
    </cfRule>
    <cfRule type="cellIs" dxfId="574" priority="410" operator="between">
      <formula>0.4</formula>
      <formula>0.799</formula>
    </cfRule>
    <cfRule type="cellIs" dxfId="573" priority="411" operator="greaterThanOrEqual">
      <formula>0.8</formula>
    </cfRule>
  </conditionalFormatting>
  <conditionalFormatting sqref="AB10">
    <cfRule type="cellIs" dxfId="572" priority="403" operator="lessThan">
      <formula>0.4</formula>
    </cfRule>
    <cfRule type="cellIs" dxfId="571" priority="404" operator="between">
      <formula>0.4</formula>
      <formula>0.799</formula>
    </cfRule>
    <cfRule type="cellIs" dxfId="570" priority="405" operator="greaterThanOrEqual">
      <formula>0.8</formula>
    </cfRule>
  </conditionalFormatting>
  <conditionalFormatting sqref="AH5:AH6">
    <cfRule type="cellIs" dxfId="569" priority="355" operator="lessThan">
      <formula>0.4</formula>
    </cfRule>
    <cfRule type="cellIs" dxfId="568" priority="356" operator="between">
      <formula>0.4</formula>
      <formula>0.799</formula>
    </cfRule>
    <cfRule type="cellIs" dxfId="567" priority="357" operator="greaterThanOrEqual">
      <formula>0.8</formula>
    </cfRule>
  </conditionalFormatting>
  <conditionalFormatting sqref="AB7:AB9">
    <cfRule type="cellIs" dxfId="566" priority="352" operator="lessThan">
      <formula>0.4</formula>
    </cfRule>
    <cfRule type="cellIs" dxfId="565" priority="353" operator="between">
      <formula>0.4</formula>
      <formula>0.799</formula>
    </cfRule>
    <cfRule type="cellIs" dxfId="564" priority="354" operator="greaterThanOrEqual">
      <formula>0.8</formula>
    </cfRule>
  </conditionalFormatting>
  <conditionalFormatting sqref="AE7:AE12">
    <cfRule type="cellIs" dxfId="563" priority="349" operator="lessThan">
      <formula>0.4</formula>
    </cfRule>
    <cfRule type="cellIs" dxfId="562" priority="350" operator="between">
      <formula>0.4</formula>
      <formula>0.799</formula>
    </cfRule>
    <cfRule type="cellIs" dxfId="561" priority="351" operator="greaterThanOrEqual">
      <formula>0.8</formula>
    </cfRule>
  </conditionalFormatting>
  <conditionalFormatting sqref="AH7:AH12">
    <cfRule type="cellIs" dxfId="560" priority="346" operator="lessThan">
      <formula>0.4</formula>
    </cfRule>
    <cfRule type="cellIs" dxfId="559" priority="347" operator="between">
      <formula>0.4</formula>
      <formula>0.799</formula>
    </cfRule>
    <cfRule type="cellIs" dxfId="558" priority="348" operator="greaterThanOrEqual">
      <formula>0.8</formula>
    </cfRule>
  </conditionalFormatting>
  <conditionalFormatting sqref="AB5:AB6">
    <cfRule type="cellIs" dxfId="557" priority="343" operator="lessThan">
      <formula>0.4</formula>
    </cfRule>
    <cfRule type="cellIs" dxfId="556" priority="344" operator="between">
      <formula>0.4</formula>
      <formula>0.799</formula>
    </cfRule>
    <cfRule type="cellIs" dxfId="555" priority="345" operator="greaterThanOrEqual">
      <formula>0.8</formula>
    </cfRule>
  </conditionalFormatting>
  <conditionalFormatting sqref="AE5:AE6">
    <cfRule type="cellIs" dxfId="554" priority="340" operator="lessThan">
      <formula>0.4</formula>
    </cfRule>
    <cfRule type="cellIs" dxfId="553" priority="341" operator="between">
      <formula>0.4</formula>
      <formula>0.799</formula>
    </cfRule>
    <cfRule type="cellIs" dxfId="552" priority="342" operator="greaterThanOrEqual">
      <formula>0.8</formula>
    </cfRule>
  </conditionalFormatting>
  <conditionalFormatting sqref="AK5:AK12">
    <cfRule type="cellIs" dxfId="551" priority="331" operator="lessThan">
      <formula>0.4</formula>
    </cfRule>
    <cfRule type="cellIs" dxfId="550" priority="332" operator="between">
      <formula>0.4</formula>
      <formula>0.799</formula>
    </cfRule>
    <cfRule type="cellIs" dxfId="549" priority="333" operator="greaterThanOrEqual">
      <formula>0.8</formula>
    </cfRule>
  </conditionalFormatting>
  <conditionalFormatting sqref="AN10">
    <cfRule type="cellIs" dxfId="548" priority="328" operator="lessThan">
      <formula>0.4</formula>
    </cfRule>
    <cfRule type="cellIs" dxfId="547" priority="329" operator="between">
      <formula>0.4</formula>
      <formula>0.799</formula>
    </cfRule>
    <cfRule type="cellIs" dxfId="546" priority="330" operator="greaterThanOrEqual">
      <formula>0.8</formula>
    </cfRule>
  </conditionalFormatting>
  <conditionalFormatting sqref="AN8">
    <cfRule type="cellIs" dxfId="545" priority="325" operator="lessThan">
      <formula>0.4</formula>
    </cfRule>
    <cfRule type="cellIs" dxfId="544" priority="326" operator="between">
      <formula>0.4</formula>
      <formula>0.799</formula>
    </cfRule>
    <cfRule type="cellIs" dxfId="543" priority="327" operator="greaterThanOrEqual">
      <formula>0.8</formula>
    </cfRule>
  </conditionalFormatting>
  <conditionalFormatting sqref="AN6:AN7">
    <cfRule type="cellIs" dxfId="542" priority="322" operator="lessThan">
      <formula>0.4</formula>
    </cfRule>
    <cfRule type="cellIs" dxfId="541" priority="323" operator="between">
      <formula>0.4</formula>
      <formula>0.799</formula>
    </cfRule>
    <cfRule type="cellIs" dxfId="540" priority="324" operator="greaterThanOrEqual">
      <formula>0.8</formula>
    </cfRule>
  </conditionalFormatting>
  <conditionalFormatting sqref="AN5">
    <cfRule type="cellIs" dxfId="539" priority="319" operator="lessThan">
      <formula>0.4</formula>
    </cfRule>
    <cfRule type="cellIs" dxfId="538" priority="320" operator="between">
      <formula>0.4</formula>
      <formula>0.799</formula>
    </cfRule>
    <cfRule type="cellIs" dxfId="537" priority="321" operator="greaterThanOrEqual">
      <formula>0.8</formula>
    </cfRule>
  </conditionalFormatting>
  <conditionalFormatting sqref="AN9">
    <cfRule type="cellIs" dxfId="536" priority="316" operator="lessThan">
      <formula>0.4</formula>
    </cfRule>
    <cfRule type="cellIs" dxfId="535" priority="317" operator="between">
      <formula>0.4</formula>
      <formula>0.799</formula>
    </cfRule>
    <cfRule type="cellIs" dxfId="534" priority="318" operator="greaterThanOrEqual">
      <formula>0.8</formula>
    </cfRule>
  </conditionalFormatting>
  <conditionalFormatting sqref="AN12">
    <cfRule type="cellIs" dxfId="533" priority="313" operator="lessThan">
      <formula>0.4</formula>
    </cfRule>
    <cfRule type="cellIs" dxfId="532" priority="314" operator="between">
      <formula>0.4</formula>
      <formula>0.799</formula>
    </cfRule>
    <cfRule type="cellIs" dxfId="531" priority="315" operator="greaterThanOrEqual">
      <formula>0.8</formula>
    </cfRule>
  </conditionalFormatting>
  <conditionalFormatting sqref="AN11">
    <cfRule type="cellIs" dxfId="530" priority="310" operator="lessThan">
      <formula>0.4</formula>
    </cfRule>
    <cfRule type="cellIs" dxfId="529" priority="311" operator="between">
      <formula>0.4</formula>
      <formula>0.799</formula>
    </cfRule>
    <cfRule type="cellIs" dxfId="528" priority="312" operator="greaterThanOrEqual">
      <formula>0.8</formula>
    </cfRule>
  </conditionalFormatting>
  <conditionalFormatting sqref="AQ11:AQ12">
    <cfRule type="cellIs" dxfId="527" priority="307" operator="lessThan">
      <formula>0.4</formula>
    </cfRule>
    <cfRule type="cellIs" dxfId="526" priority="308" operator="between">
      <formula>0.4</formula>
      <formula>0.799</formula>
    </cfRule>
    <cfRule type="cellIs" dxfId="525" priority="309" operator="greaterThanOrEqual">
      <formula>0.8</formula>
    </cfRule>
  </conditionalFormatting>
  <conditionalFormatting sqref="AQ5:AQ10">
    <cfRule type="cellIs" dxfId="524" priority="301" operator="lessThan">
      <formula>0.4</formula>
    </cfRule>
    <cfRule type="cellIs" dxfId="523" priority="302" operator="between">
      <formula>0.4</formula>
      <formula>0.799</formula>
    </cfRule>
    <cfRule type="cellIs" dxfId="522" priority="303" operator="greaterThanOrEqual">
      <formula>0.8</formula>
    </cfRule>
  </conditionalFormatting>
  <conditionalFormatting sqref="AT9">
    <cfRule type="cellIs" dxfId="521" priority="292" operator="lessThan">
      <formula>0.4</formula>
    </cfRule>
    <cfRule type="cellIs" dxfId="520" priority="293" operator="between">
      <formula>0.4</formula>
      <formula>0.799</formula>
    </cfRule>
    <cfRule type="cellIs" dxfId="519" priority="294" operator="greaterThanOrEqual">
      <formula>0.8</formula>
    </cfRule>
  </conditionalFormatting>
  <conditionalFormatting sqref="AT11">
    <cfRule type="cellIs" dxfId="518" priority="289" operator="lessThan">
      <formula>0.4</formula>
    </cfRule>
    <cfRule type="cellIs" dxfId="517" priority="290" operator="between">
      <formula>0.4</formula>
      <formula>0.799</formula>
    </cfRule>
    <cfRule type="cellIs" dxfId="516" priority="291" operator="greaterThanOrEqual">
      <formula>0.8</formula>
    </cfRule>
  </conditionalFormatting>
  <conditionalFormatting sqref="AT5">
    <cfRule type="cellIs" dxfId="515" priority="286" operator="lessThan">
      <formula>0.4</formula>
    </cfRule>
    <cfRule type="cellIs" dxfId="514" priority="287" operator="between">
      <formula>0.4</formula>
      <formula>0.799</formula>
    </cfRule>
    <cfRule type="cellIs" dxfId="513" priority="288" operator="greaterThanOrEqual">
      <formula>0.8</formula>
    </cfRule>
  </conditionalFormatting>
  <conditionalFormatting sqref="AT7">
    <cfRule type="cellIs" dxfId="512" priority="283" operator="lessThan">
      <formula>0.4</formula>
    </cfRule>
    <cfRule type="cellIs" dxfId="511" priority="284" operator="between">
      <formula>0.4</formula>
      <formula>0.799</formula>
    </cfRule>
    <cfRule type="cellIs" dxfId="510" priority="285" operator="greaterThanOrEqual">
      <formula>0.8</formula>
    </cfRule>
  </conditionalFormatting>
  <conditionalFormatting sqref="AT6">
    <cfRule type="cellIs" dxfId="509" priority="277" operator="lessThan">
      <formula>0.4</formula>
    </cfRule>
    <cfRule type="cellIs" dxfId="508" priority="278" operator="between">
      <formula>0.4</formula>
      <formula>0.799</formula>
    </cfRule>
    <cfRule type="cellIs" dxfId="507" priority="279" operator="greaterThanOrEqual">
      <formula>0.8</formula>
    </cfRule>
  </conditionalFormatting>
  <conditionalFormatting sqref="AT8">
    <cfRule type="cellIs" dxfId="506" priority="274" operator="lessThan">
      <formula>0.4</formula>
    </cfRule>
    <cfRule type="cellIs" dxfId="505" priority="275" operator="between">
      <formula>0.4</formula>
      <formula>0.799</formula>
    </cfRule>
    <cfRule type="cellIs" dxfId="504" priority="276" operator="greaterThanOrEqual">
      <formula>0.8</formula>
    </cfRule>
  </conditionalFormatting>
  <conditionalFormatting sqref="AT10">
    <cfRule type="cellIs" dxfId="503" priority="271" operator="lessThan">
      <formula>0.4</formula>
    </cfRule>
    <cfRule type="cellIs" dxfId="502" priority="272" operator="between">
      <formula>0.4</formula>
      <formula>0.799</formula>
    </cfRule>
    <cfRule type="cellIs" dxfId="501" priority="273" operator="greaterThanOrEqual">
      <formula>0.8</formula>
    </cfRule>
  </conditionalFormatting>
  <conditionalFormatting sqref="AT12">
    <cfRule type="cellIs" dxfId="500" priority="268" operator="lessThan">
      <formula>0.4</formula>
    </cfRule>
    <cfRule type="cellIs" dxfId="499" priority="269" operator="between">
      <formula>0.4</formula>
      <formula>0.799</formula>
    </cfRule>
    <cfRule type="cellIs" dxfId="498" priority="270" operator="greaterThanOrEqual">
      <formula>0.8</formula>
    </cfRule>
  </conditionalFormatting>
  <conditionalFormatting sqref="AW11">
    <cfRule type="cellIs" dxfId="497" priority="265" operator="lessThan">
      <formula>0.4</formula>
    </cfRule>
    <cfRule type="cellIs" dxfId="496" priority="266" operator="between">
      <formula>0.4</formula>
      <formula>0.799</formula>
    </cfRule>
    <cfRule type="cellIs" dxfId="495" priority="267" operator="greaterThanOrEqual">
      <formula>0.8</formula>
    </cfRule>
  </conditionalFormatting>
  <conditionalFormatting sqref="AW12">
    <cfRule type="cellIs" dxfId="494" priority="262" operator="lessThan">
      <formula>0.4</formula>
    </cfRule>
    <cfRule type="cellIs" dxfId="493" priority="263" operator="between">
      <formula>0.4</formula>
      <formula>0.799</formula>
    </cfRule>
    <cfRule type="cellIs" dxfId="492" priority="264" operator="greaterThanOrEqual">
      <formula>0.8</formula>
    </cfRule>
  </conditionalFormatting>
  <conditionalFormatting sqref="AW9">
    <cfRule type="cellIs" dxfId="491" priority="259" operator="lessThan">
      <formula>0.4</formula>
    </cfRule>
    <cfRule type="cellIs" dxfId="490" priority="260" operator="between">
      <formula>0.4</formula>
      <formula>0.799</formula>
    </cfRule>
    <cfRule type="cellIs" dxfId="489" priority="261" operator="greaterThanOrEqual">
      <formula>0.8</formula>
    </cfRule>
  </conditionalFormatting>
  <conditionalFormatting sqref="AW6">
    <cfRule type="cellIs" dxfId="488" priority="256" operator="lessThan">
      <formula>0.4</formula>
    </cfRule>
    <cfRule type="cellIs" dxfId="487" priority="257" operator="between">
      <formula>0.4</formula>
      <formula>0.799</formula>
    </cfRule>
    <cfRule type="cellIs" dxfId="486" priority="258" operator="greaterThanOrEqual">
      <formula>0.8</formula>
    </cfRule>
  </conditionalFormatting>
  <conditionalFormatting sqref="AW8">
    <cfRule type="cellIs" dxfId="485" priority="253" operator="lessThan">
      <formula>0.4</formula>
    </cfRule>
    <cfRule type="cellIs" dxfId="484" priority="254" operator="between">
      <formula>0.4</formula>
      <formula>0.799</formula>
    </cfRule>
    <cfRule type="cellIs" dxfId="483" priority="255" operator="greaterThanOrEqual">
      <formula>0.8</formula>
    </cfRule>
  </conditionalFormatting>
  <conditionalFormatting sqref="AW10">
    <cfRule type="cellIs" dxfId="482" priority="250" operator="lessThan">
      <formula>0.4</formula>
    </cfRule>
    <cfRule type="cellIs" dxfId="481" priority="251" operator="between">
      <formula>0.4</formula>
      <formula>0.799</formula>
    </cfRule>
    <cfRule type="cellIs" dxfId="480" priority="252" operator="greaterThanOrEqual">
      <formula>0.8</formula>
    </cfRule>
  </conditionalFormatting>
  <conditionalFormatting sqref="AW5">
    <cfRule type="cellIs" dxfId="479" priority="247" operator="lessThan">
      <formula>0.4</formula>
    </cfRule>
    <cfRule type="cellIs" dxfId="478" priority="248" operator="between">
      <formula>0.4</formula>
      <formula>0.799</formula>
    </cfRule>
    <cfRule type="cellIs" dxfId="477" priority="249" operator="greaterThanOrEqual">
      <formula>0.8</formula>
    </cfRule>
  </conditionalFormatting>
  <conditionalFormatting sqref="AW7">
    <cfRule type="cellIs" dxfId="476" priority="244" operator="lessThan">
      <formula>0.4</formula>
    </cfRule>
    <cfRule type="cellIs" dxfId="475" priority="245" operator="between">
      <formula>0.4</formula>
      <formula>0.799</formula>
    </cfRule>
    <cfRule type="cellIs" dxfId="474" priority="246" operator="greaterThanOrEqual">
      <formula>0.8</formula>
    </cfRule>
  </conditionalFormatting>
  <conditionalFormatting sqref="AZ11">
    <cfRule type="cellIs" dxfId="473" priority="241" operator="lessThan">
      <formula>0.4</formula>
    </cfRule>
    <cfRule type="cellIs" dxfId="472" priority="242" operator="between">
      <formula>0.4</formula>
      <formula>0.799</formula>
    </cfRule>
    <cfRule type="cellIs" dxfId="471" priority="243" operator="greaterThanOrEqual">
      <formula>0.8</formula>
    </cfRule>
  </conditionalFormatting>
  <conditionalFormatting sqref="AZ12">
    <cfRule type="cellIs" dxfId="470" priority="238" operator="lessThan">
      <formula>0.4</formula>
    </cfRule>
    <cfRule type="cellIs" dxfId="469" priority="239" operator="between">
      <formula>0.4</formula>
      <formula>0.799</formula>
    </cfRule>
    <cfRule type="cellIs" dxfId="468" priority="240" operator="greaterThanOrEqual">
      <formula>0.8</formula>
    </cfRule>
  </conditionalFormatting>
  <conditionalFormatting sqref="AZ9">
    <cfRule type="cellIs" dxfId="467" priority="235" operator="lessThan">
      <formula>0.4</formula>
    </cfRule>
    <cfRule type="cellIs" dxfId="466" priority="236" operator="between">
      <formula>0.4</formula>
      <formula>0.799</formula>
    </cfRule>
    <cfRule type="cellIs" dxfId="465" priority="237" operator="greaterThanOrEqual">
      <formula>0.8</formula>
    </cfRule>
  </conditionalFormatting>
  <conditionalFormatting sqref="AZ6">
    <cfRule type="cellIs" dxfId="464" priority="232" operator="lessThan">
      <formula>0.4</formula>
    </cfRule>
    <cfRule type="cellIs" dxfId="463" priority="233" operator="between">
      <formula>0.4</formula>
      <formula>0.799</formula>
    </cfRule>
    <cfRule type="cellIs" dxfId="462" priority="234" operator="greaterThanOrEqual">
      <formula>0.8</formula>
    </cfRule>
  </conditionalFormatting>
  <conditionalFormatting sqref="AZ8">
    <cfRule type="cellIs" dxfId="461" priority="229" operator="lessThan">
      <formula>0.4</formula>
    </cfRule>
    <cfRule type="cellIs" dxfId="460" priority="230" operator="between">
      <formula>0.4</formula>
      <formula>0.799</formula>
    </cfRule>
    <cfRule type="cellIs" dxfId="459" priority="231" operator="greaterThanOrEqual">
      <formula>0.8</formula>
    </cfRule>
  </conditionalFormatting>
  <conditionalFormatting sqref="AZ10">
    <cfRule type="cellIs" dxfId="458" priority="226" operator="lessThan">
      <formula>0.4</formula>
    </cfRule>
    <cfRule type="cellIs" dxfId="457" priority="227" operator="between">
      <formula>0.4</formula>
      <formula>0.799</formula>
    </cfRule>
    <cfRule type="cellIs" dxfId="456" priority="228" operator="greaterThanOrEqual">
      <formula>0.8</formula>
    </cfRule>
  </conditionalFormatting>
  <conditionalFormatting sqref="AZ5">
    <cfRule type="cellIs" dxfId="455" priority="223" operator="lessThan">
      <formula>0.4</formula>
    </cfRule>
    <cfRule type="cellIs" dxfId="454" priority="224" operator="between">
      <formula>0.4</formula>
      <formula>0.799</formula>
    </cfRule>
    <cfRule type="cellIs" dxfId="453" priority="225" operator="greaterThanOrEqual">
      <formula>0.8</formula>
    </cfRule>
  </conditionalFormatting>
  <conditionalFormatting sqref="AZ7">
    <cfRule type="cellIs" dxfId="452" priority="220" operator="lessThan">
      <formula>0.4</formula>
    </cfRule>
    <cfRule type="cellIs" dxfId="451" priority="221" operator="between">
      <formula>0.4</formula>
      <formula>0.799</formula>
    </cfRule>
    <cfRule type="cellIs" dxfId="450" priority="222" operator="greaterThanOrEqual">
      <formula>0.8</formula>
    </cfRule>
  </conditionalFormatting>
  <conditionalFormatting sqref="BR9">
    <cfRule type="cellIs" dxfId="449" priority="202" operator="lessThan">
      <formula>0.4</formula>
    </cfRule>
    <cfRule type="cellIs" dxfId="448" priority="203" operator="between">
      <formula>0.4</formula>
      <formula>0.799</formula>
    </cfRule>
    <cfRule type="cellIs" dxfId="447" priority="204" operator="greaterThanOrEqual">
      <formula>0.8</formula>
    </cfRule>
  </conditionalFormatting>
  <conditionalFormatting sqref="BF6 BH6">
    <cfRule type="cellIs" dxfId="446" priority="184" operator="lessThan">
      <formula>0.4</formula>
    </cfRule>
    <cfRule type="cellIs" dxfId="445" priority="185" operator="between">
      <formula>0.4</formula>
      <formula>0.799</formula>
    </cfRule>
    <cfRule type="cellIs" dxfId="444" priority="186" operator="greaterThanOrEqual">
      <formula>0.8</formula>
    </cfRule>
  </conditionalFormatting>
  <conditionalFormatting sqref="BF8:BH8">
    <cfRule type="cellIs" dxfId="443" priority="181" operator="lessThan">
      <formula>0.4</formula>
    </cfRule>
    <cfRule type="cellIs" dxfId="442" priority="182" operator="between">
      <formula>0.4</formula>
      <formula>0.799</formula>
    </cfRule>
    <cfRule type="cellIs" dxfId="441" priority="183" operator="greaterThanOrEqual">
      <formula>0.8</formula>
    </cfRule>
  </conditionalFormatting>
  <conditionalFormatting sqref="BF10:BH10">
    <cfRule type="cellIs" dxfId="440" priority="178" operator="lessThan">
      <formula>0.4</formula>
    </cfRule>
    <cfRule type="cellIs" dxfId="439" priority="179" operator="between">
      <formula>0.4</formula>
      <formula>0.799</formula>
    </cfRule>
    <cfRule type="cellIs" dxfId="438" priority="180" operator="greaterThanOrEqual">
      <formula>0.8</formula>
    </cfRule>
  </conditionalFormatting>
  <conditionalFormatting sqref="BF5 BF7">
    <cfRule type="cellIs" dxfId="437" priority="175" operator="lessThan">
      <formula>0.4</formula>
    </cfRule>
    <cfRule type="cellIs" dxfId="436" priority="176" operator="between">
      <formula>0.4</formula>
      <formula>0.799</formula>
    </cfRule>
    <cfRule type="cellIs" dxfId="435" priority="177" operator="greaterThanOrEqual">
      <formula>0.8</formula>
    </cfRule>
  </conditionalFormatting>
  <conditionalFormatting sqref="BF11">
    <cfRule type="cellIs" dxfId="434" priority="169" operator="lessThan">
      <formula>0.4</formula>
    </cfRule>
    <cfRule type="cellIs" dxfId="433" priority="170" operator="between">
      <formula>0.4</formula>
      <formula>0.799</formula>
    </cfRule>
    <cfRule type="cellIs" dxfId="432" priority="171" operator="greaterThanOrEqual">
      <formula>0.8</formula>
    </cfRule>
  </conditionalFormatting>
  <conditionalFormatting sqref="BF12">
    <cfRule type="cellIs" dxfId="431" priority="166" operator="lessThan">
      <formula>0.4</formula>
    </cfRule>
    <cfRule type="cellIs" dxfId="430" priority="167" operator="between">
      <formula>0.4</formula>
      <formula>0.799</formula>
    </cfRule>
    <cfRule type="cellIs" dxfId="429" priority="168" operator="greaterThanOrEqual">
      <formula>0.8</formula>
    </cfRule>
  </conditionalFormatting>
  <conditionalFormatting sqref="BF9">
    <cfRule type="cellIs" dxfId="428" priority="163" operator="lessThan">
      <formula>0.4</formula>
    </cfRule>
    <cfRule type="cellIs" dxfId="427" priority="164" operator="between">
      <formula>0.4</formula>
      <formula>0.799</formula>
    </cfRule>
    <cfRule type="cellIs" dxfId="426" priority="165" operator="greaterThanOrEqual">
      <formula>0.8</formula>
    </cfRule>
  </conditionalFormatting>
  <conditionalFormatting sqref="BR5 BR7">
    <cfRule type="cellIs" dxfId="425" priority="160" operator="lessThan">
      <formula>0.4</formula>
    </cfRule>
    <cfRule type="cellIs" dxfId="424" priority="161" operator="between">
      <formula>0.4</formula>
      <formula>0.799</formula>
    </cfRule>
    <cfRule type="cellIs" dxfId="423" priority="162" operator="greaterThanOrEqual">
      <formula>0.8</formula>
    </cfRule>
  </conditionalFormatting>
  <conditionalFormatting sqref="BR10">
    <cfRule type="cellIs" dxfId="422" priority="157" operator="lessThan">
      <formula>0.4</formula>
    </cfRule>
    <cfRule type="cellIs" dxfId="421" priority="158" operator="between">
      <formula>0.4</formula>
      <formula>0.799</formula>
    </cfRule>
    <cfRule type="cellIs" dxfId="420" priority="159" operator="greaterThanOrEqual">
      <formula>0.8</formula>
    </cfRule>
  </conditionalFormatting>
  <conditionalFormatting sqref="BY5 BY7">
    <cfRule type="cellIs" dxfId="419" priority="154" operator="lessThan">
      <formula>0.4</formula>
    </cfRule>
    <cfRule type="cellIs" dxfId="418" priority="155" operator="between">
      <formula>0.4</formula>
      <formula>0.799</formula>
    </cfRule>
    <cfRule type="cellIs" dxfId="417" priority="156" operator="greaterThanOrEqual">
      <formula>0.8</formula>
    </cfRule>
  </conditionalFormatting>
  <conditionalFormatting sqref="BY9">
    <cfRule type="cellIs" dxfId="416" priority="148" operator="lessThan">
      <formula>0.4</formula>
    </cfRule>
    <cfRule type="cellIs" dxfId="415" priority="149" operator="between">
      <formula>0.4</formula>
      <formula>0.799</formula>
    </cfRule>
    <cfRule type="cellIs" dxfId="414" priority="150" operator="greaterThanOrEqual">
      <formula>0.8</formula>
    </cfRule>
  </conditionalFormatting>
  <conditionalFormatting sqref="BY6 BY8">
    <cfRule type="cellIs" dxfId="413" priority="145" operator="lessThan">
      <formula>0.4</formula>
    </cfRule>
    <cfRule type="cellIs" dxfId="412" priority="146" operator="between">
      <formula>0.4</formula>
      <formula>0.799</formula>
    </cfRule>
    <cfRule type="cellIs" dxfId="411" priority="147" operator="greaterThanOrEqual">
      <formula>0.8</formula>
    </cfRule>
  </conditionalFormatting>
  <conditionalFormatting sqref="BY10">
    <cfRule type="cellIs" dxfId="410" priority="142" operator="lessThan">
      <formula>0.4</formula>
    </cfRule>
    <cfRule type="cellIs" dxfId="409" priority="143" operator="between">
      <formula>0.4</formula>
      <formula>0.799</formula>
    </cfRule>
    <cfRule type="cellIs" dxfId="408" priority="144" operator="greaterThanOrEqual">
      <formula>0.8</formula>
    </cfRule>
  </conditionalFormatting>
  <conditionalFormatting sqref="BR6">
    <cfRule type="cellIs" dxfId="407" priority="127" operator="lessThan">
      <formula>0.4</formula>
    </cfRule>
    <cfRule type="cellIs" dxfId="406" priority="128" operator="between">
      <formula>0.4</formula>
      <formula>0.799</formula>
    </cfRule>
    <cfRule type="cellIs" dxfId="405" priority="129" operator="greaterThanOrEqual">
      <formula>0.8</formula>
    </cfRule>
  </conditionalFormatting>
  <conditionalFormatting sqref="BR8">
    <cfRule type="cellIs" dxfId="404" priority="124" operator="lessThan">
      <formula>0.4</formula>
    </cfRule>
    <cfRule type="cellIs" dxfId="403" priority="125" operator="between">
      <formula>0.4</formula>
      <formula>0.799</formula>
    </cfRule>
    <cfRule type="cellIs" dxfId="402" priority="126" operator="greaterThanOrEqual">
      <formula>0.8</formula>
    </cfRule>
  </conditionalFormatting>
  <conditionalFormatting sqref="CF5:CF9">
    <cfRule type="cellIs" dxfId="401" priority="121" operator="lessThan">
      <formula>0.4</formula>
    </cfRule>
    <cfRule type="cellIs" dxfId="400" priority="122" operator="between">
      <formula>0.4</formula>
      <formula>0.799</formula>
    </cfRule>
    <cfRule type="cellIs" dxfId="399" priority="123" operator="greaterThanOrEqual">
      <formula>0.8</formula>
    </cfRule>
  </conditionalFormatting>
  <conditionalFormatting sqref="CF10">
    <cfRule type="cellIs" dxfId="398" priority="115" operator="lessThan">
      <formula>0.4</formula>
    </cfRule>
    <cfRule type="cellIs" dxfId="397" priority="116" operator="between">
      <formula>0.4</formula>
      <formula>0.799</formula>
    </cfRule>
    <cfRule type="cellIs" dxfId="396" priority="117" operator="greaterThanOrEqual">
      <formula>0.8</formula>
    </cfRule>
  </conditionalFormatting>
  <conditionalFormatting sqref="BR11">
    <cfRule type="cellIs" dxfId="395" priority="112" operator="lessThan">
      <formula>0.4</formula>
    </cfRule>
    <cfRule type="cellIs" dxfId="394" priority="113" operator="between">
      <formula>0.4</formula>
      <formula>0.799</formula>
    </cfRule>
    <cfRule type="cellIs" dxfId="393" priority="114" operator="greaterThanOrEqual">
      <formula>0.8</formula>
    </cfRule>
  </conditionalFormatting>
  <conditionalFormatting sqref="BY11">
    <cfRule type="cellIs" dxfId="392" priority="109" operator="lessThan">
      <formula>0.4</formula>
    </cfRule>
    <cfRule type="cellIs" dxfId="391" priority="110" operator="between">
      <formula>0.4</formula>
      <formula>0.799</formula>
    </cfRule>
    <cfRule type="cellIs" dxfId="390" priority="111" operator="greaterThanOrEqual">
      <formula>0.8</formula>
    </cfRule>
  </conditionalFormatting>
  <conditionalFormatting sqref="CF11">
    <cfRule type="cellIs" dxfId="389" priority="106" operator="lessThan">
      <formula>0.4</formula>
    </cfRule>
    <cfRule type="cellIs" dxfId="388" priority="107" operator="between">
      <formula>0.4</formula>
      <formula>0.799</formula>
    </cfRule>
    <cfRule type="cellIs" dxfId="387" priority="108" operator="greaterThanOrEqual">
      <formula>0.8</formula>
    </cfRule>
  </conditionalFormatting>
  <conditionalFormatting sqref="CF12">
    <cfRule type="cellIs" dxfId="386" priority="103" operator="lessThan">
      <formula>0.4</formula>
    </cfRule>
    <cfRule type="cellIs" dxfId="385" priority="104" operator="between">
      <formula>0.4</formula>
      <formula>0.799</formula>
    </cfRule>
    <cfRule type="cellIs" dxfId="384" priority="105" operator="greaterThanOrEqual">
      <formula>0.8</formula>
    </cfRule>
  </conditionalFormatting>
  <conditionalFormatting sqref="BR12">
    <cfRule type="cellIs" dxfId="383" priority="100" operator="lessThan">
      <formula>0.4</formula>
    </cfRule>
    <cfRule type="cellIs" dxfId="382" priority="101" operator="between">
      <formula>0.4</formula>
      <formula>0.799</formula>
    </cfRule>
    <cfRule type="cellIs" dxfId="381" priority="102" operator="greaterThanOrEqual">
      <formula>0.8</formula>
    </cfRule>
  </conditionalFormatting>
  <conditionalFormatting sqref="BY12">
    <cfRule type="cellIs" dxfId="380" priority="97" operator="lessThan">
      <formula>0.4</formula>
    </cfRule>
    <cfRule type="cellIs" dxfId="379" priority="98" operator="between">
      <formula>0.4</formula>
      <formula>0.799</formula>
    </cfRule>
    <cfRule type="cellIs" dxfId="378" priority="99" operator="greaterThanOrEqual">
      <formula>0.8</formula>
    </cfRule>
  </conditionalFormatting>
  <conditionalFormatting sqref="CM5:CM12">
    <cfRule type="cellIs" dxfId="377" priority="34" operator="lessThan">
      <formula>0.4</formula>
    </cfRule>
    <cfRule type="cellIs" dxfId="376" priority="35" operator="between">
      <formula>0.4</formula>
      <formula>0.799</formula>
    </cfRule>
    <cfRule type="cellIs" dxfId="375" priority="36" operator="greaterThanOrEqual">
      <formula>0.8</formula>
    </cfRule>
  </conditionalFormatting>
  <conditionalFormatting sqref="CT5:CT12">
    <cfRule type="cellIs" dxfId="374" priority="10" operator="lessThan">
      <formula>0.4</formula>
    </cfRule>
    <cfRule type="cellIs" dxfId="373" priority="11" operator="between">
      <formula>0.4</formula>
      <formula>0.799</formula>
    </cfRule>
    <cfRule type="cellIs" dxfId="372" priority="12" operator="greaterThanOrEqual">
      <formula>0.8</formula>
    </cfRule>
  </conditionalFormatting>
  <conditionalFormatting sqref="DA5:DA11">
    <cfRule type="cellIs" dxfId="371" priority="7" operator="lessThan">
      <formula>0.4</formula>
    </cfRule>
    <cfRule type="cellIs" dxfId="370" priority="8" operator="between">
      <formula>0.4</formula>
      <formula>0.799</formula>
    </cfRule>
    <cfRule type="cellIs" dxfId="369" priority="9" operator="greaterThanOrEqual">
      <formula>0.8</formula>
    </cfRule>
  </conditionalFormatting>
  <conditionalFormatting sqref="DA12">
    <cfRule type="cellIs" dxfId="368" priority="1" operator="lessThan">
      <formula>0.4</formula>
    </cfRule>
    <cfRule type="cellIs" dxfId="367" priority="2" operator="between">
      <formula>0.4</formula>
      <formula>0.799</formula>
    </cfRule>
    <cfRule type="cellIs" dxfId="366"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453" t="s">
        <v>2</v>
      </c>
      <c r="B1" s="446" t="s">
        <v>1</v>
      </c>
      <c r="C1" s="446" t="s">
        <v>3</v>
      </c>
      <c r="D1" s="446"/>
      <c r="E1" s="446"/>
      <c r="F1" s="446"/>
      <c r="G1" s="446" t="s">
        <v>36</v>
      </c>
      <c r="H1" s="456" t="s">
        <v>17</v>
      </c>
      <c r="I1" s="456"/>
      <c r="J1" s="456"/>
      <c r="K1" s="451" t="s">
        <v>20</v>
      </c>
      <c r="L1" s="452"/>
    </row>
    <row r="2" spans="1:12" ht="57.75" customHeight="1" thickBot="1" x14ac:dyDescent="0.3">
      <c r="A2" s="454"/>
      <c r="B2" s="455"/>
      <c r="C2" s="57">
        <v>2019</v>
      </c>
      <c r="D2" s="57">
        <v>2020</v>
      </c>
      <c r="E2" s="57">
        <v>2021</v>
      </c>
      <c r="F2" s="57">
        <v>2022</v>
      </c>
      <c r="G2" s="455"/>
      <c r="H2" s="58" t="s">
        <v>18</v>
      </c>
      <c r="I2" s="59" t="s">
        <v>19</v>
      </c>
      <c r="J2" s="59" t="s">
        <v>24</v>
      </c>
      <c r="K2" s="54" t="s">
        <v>92</v>
      </c>
      <c r="L2" s="55" t="s">
        <v>90</v>
      </c>
    </row>
    <row r="3" spans="1:12" ht="54" x14ac:dyDescent="0.25">
      <c r="A3" s="16" t="s">
        <v>4</v>
      </c>
      <c r="B3" s="7">
        <v>0.6</v>
      </c>
      <c r="C3" s="5">
        <v>0.23</v>
      </c>
      <c r="D3" s="5">
        <v>0.37</v>
      </c>
      <c r="E3" s="5">
        <v>0.49</v>
      </c>
      <c r="F3" s="5">
        <v>0.6</v>
      </c>
      <c r="G3" s="32" t="s">
        <v>23</v>
      </c>
      <c r="H3" s="8">
        <f>+C3</f>
        <v>0.23</v>
      </c>
      <c r="I3" s="8">
        <v>0.23</v>
      </c>
      <c r="J3" s="12">
        <f>I3/H3</f>
        <v>1</v>
      </c>
      <c r="K3" s="8">
        <v>0.37</v>
      </c>
      <c r="L3" s="8">
        <v>8.0000000000000002E-3</v>
      </c>
    </row>
  </sheetData>
  <mergeCells count="6">
    <mergeCell ref="K1:L1"/>
    <mergeCell ref="A1:A2"/>
    <mergeCell ref="B1:B2"/>
    <mergeCell ref="C1:F1"/>
    <mergeCell ref="G1:G2"/>
    <mergeCell ref="H1:J1"/>
  </mergeCells>
  <phoneticPr fontId="9" type="noConversion"/>
  <conditionalFormatting sqref="J3">
    <cfRule type="cellIs" dxfId="17" priority="22" operator="lessThan">
      <formula>0.4</formula>
    </cfRule>
    <cfRule type="cellIs" dxfId="16" priority="23" operator="between">
      <formula>0.4</formula>
      <formula>0.799</formula>
    </cfRule>
    <cfRule type="cellIs" dxfId="15" priority="24" operator="greaterThanOrEqual">
      <formula>0.8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453" t="s">
        <v>2</v>
      </c>
      <c r="B1" s="446" t="s">
        <v>1</v>
      </c>
      <c r="C1" s="446" t="s">
        <v>3</v>
      </c>
      <c r="D1" s="446"/>
      <c r="E1" s="446"/>
      <c r="F1" s="446"/>
      <c r="G1" s="446" t="s">
        <v>36</v>
      </c>
      <c r="H1" s="456" t="s">
        <v>17</v>
      </c>
      <c r="I1" s="456"/>
      <c r="J1" s="456"/>
      <c r="K1" s="451" t="s">
        <v>20</v>
      </c>
      <c r="L1" s="452"/>
    </row>
    <row r="2" spans="1:12" ht="60.75" customHeight="1" thickBot="1" x14ac:dyDescent="0.3">
      <c r="A2" s="454"/>
      <c r="B2" s="455"/>
      <c r="C2" s="57">
        <v>2019</v>
      </c>
      <c r="D2" s="57">
        <v>2020</v>
      </c>
      <c r="E2" s="57">
        <v>2021</v>
      </c>
      <c r="F2" s="57">
        <v>2022</v>
      </c>
      <c r="G2" s="455"/>
      <c r="H2" s="58" t="s">
        <v>18</v>
      </c>
      <c r="I2" s="59" t="s">
        <v>19</v>
      </c>
      <c r="J2" s="59" t="s">
        <v>24</v>
      </c>
      <c r="K2" s="54" t="s">
        <v>92</v>
      </c>
      <c r="L2" s="55" t="s">
        <v>90</v>
      </c>
    </row>
    <row r="3" spans="1:12" ht="36" x14ac:dyDescent="0.25">
      <c r="A3" s="60" t="s">
        <v>4</v>
      </c>
      <c r="B3" s="61">
        <v>0.6</v>
      </c>
      <c r="C3" s="48">
        <v>8.5000000000000006E-2</v>
      </c>
      <c r="D3" s="48">
        <v>0.20100000000000001</v>
      </c>
      <c r="E3" s="48">
        <v>0.35099999999999998</v>
      </c>
      <c r="F3" s="46">
        <v>0.6</v>
      </c>
      <c r="G3" s="62" t="s">
        <v>5</v>
      </c>
      <c r="H3" s="48">
        <v>8.5000000000000006E-2</v>
      </c>
      <c r="I3" s="48">
        <v>2.3E-2</v>
      </c>
      <c r="J3" s="63">
        <f>I3/H3</f>
        <v>0.27058823529411763</v>
      </c>
      <c r="K3" s="48">
        <v>0.20100000000000001</v>
      </c>
      <c r="L3" s="45">
        <v>0</v>
      </c>
    </row>
  </sheetData>
  <mergeCells count="6">
    <mergeCell ref="K1:L1"/>
    <mergeCell ref="A1:A2"/>
    <mergeCell ref="B1:B2"/>
    <mergeCell ref="C1:F1"/>
    <mergeCell ref="G1:G2"/>
    <mergeCell ref="H1:J1"/>
  </mergeCells>
  <conditionalFormatting sqref="J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453" t="s">
        <v>2</v>
      </c>
      <c r="B1" s="446" t="s">
        <v>1</v>
      </c>
      <c r="C1" s="446" t="s">
        <v>3</v>
      </c>
      <c r="D1" s="446"/>
      <c r="E1" s="446"/>
      <c r="F1" s="446"/>
      <c r="G1" s="446" t="s">
        <v>36</v>
      </c>
      <c r="H1" s="456" t="s">
        <v>17</v>
      </c>
      <c r="I1" s="456"/>
      <c r="J1" s="456"/>
      <c r="K1" s="451" t="s">
        <v>20</v>
      </c>
      <c r="L1" s="452"/>
    </row>
    <row r="2" spans="1:12" ht="58.5" customHeight="1" thickBot="1" x14ac:dyDescent="0.3">
      <c r="A2" s="454"/>
      <c r="B2" s="455"/>
      <c r="C2" s="57">
        <v>2019</v>
      </c>
      <c r="D2" s="57">
        <v>2020</v>
      </c>
      <c r="E2" s="57">
        <v>2021</v>
      </c>
      <c r="F2" s="57">
        <v>2022</v>
      </c>
      <c r="G2" s="455"/>
      <c r="H2" s="58" t="s">
        <v>18</v>
      </c>
      <c r="I2" s="59" t="s">
        <v>19</v>
      </c>
      <c r="J2" s="59" t="s">
        <v>24</v>
      </c>
      <c r="K2" s="54" t="s">
        <v>92</v>
      </c>
      <c r="L2" s="55" t="s">
        <v>90</v>
      </c>
    </row>
    <row r="3" spans="1:12" ht="36" x14ac:dyDescent="0.25">
      <c r="A3" s="60" t="s">
        <v>4</v>
      </c>
      <c r="B3" s="61">
        <v>1</v>
      </c>
      <c r="C3" s="45">
        <v>0.05</v>
      </c>
      <c r="D3" s="45">
        <v>0.3</v>
      </c>
      <c r="E3" s="45">
        <v>0.6</v>
      </c>
      <c r="F3" s="46">
        <v>1</v>
      </c>
      <c r="G3" s="64" t="s">
        <v>93</v>
      </c>
      <c r="H3" s="45">
        <v>0.05</v>
      </c>
      <c r="I3" s="45">
        <v>0.05</v>
      </c>
      <c r="J3" s="63">
        <f>I3/H3</f>
        <v>1</v>
      </c>
      <c r="K3" s="45">
        <v>0.3</v>
      </c>
      <c r="L3" s="45">
        <v>0.14000000000000001</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453" t="s">
        <v>2</v>
      </c>
      <c r="B1" s="446" t="s">
        <v>1</v>
      </c>
      <c r="C1" s="446" t="s">
        <v>3</v>
      </c>
      <c r="D1" s="446"/>
      <c r="E1" s="446"/>
      <c r="F1" s="446"/>
      <c r="G1" s="446" t="s">
        <v>36</v>
      </c>
      <c r="H1" s="456" t="s">
        <v>17</v>
      </c>
      <c r="I1" s="456"/>
      <c r="J1" s="456"/>
      <c r="K1" s="451" t="s">
        <v>20</v>
      </c>
      <c r="L1" s="452"/>
    </row>
    <row r="2" spans="1:12" ht="72.75" thickBot="1" x14ac:dyDescent="0.3">
      <c r="A2" s="454"/>
      <c r="B2" s="455"/>
      <c r="C2" s="57">
        <v>2019</v>
      </c>
      <c r="D2" s="57">
        <v>2020</v>
      </c>
      <c r="E2" s="57">
        <v>2021</v>
      </c>
      <c r="F2" s="57">
        <v>2022</v>
      </c>
      <c r="G2" s="455"/>
      <c r="H2" s="58" t="s">
        <v>18</v>
      </c>
      <c r="I2" s="59" t="s">
        <v>19</v>
      </c>
      <c r="J2" s="59" t="s">
        <v>24</v>
      </c>
      <c r="K2" s="54" t="s">
        <v>92</v>
      </c>
      <c r="L2" s="55" t="s">
        <v>90</v>
      </c>
    </row>
    <row r="3" spans="1:12" ht="36" x14ac:dyDescent="0.25">
      <c r="A3" s="65" t="s">
        <v>8</v>
      </c>
      <c r="B3" s="67">
        <v>20</v>
      </c>
      <c r="C3" s="67">
        <v>6</v>
      </c>
      <c r="D3" s="67">
        <v>10</v>
      </c>
      <c r="E3" s="67">
        <v>17</v>
      </c>
      <c r="F3" s="67">
        <v>20</v>
      </c>
      <c r="G3" s="64" t="s">
        <v>5</v>
      </c>
      <c r="H3" s="67">
        <v>6</v>
      </c>
      <c r="I3" s="67">
        <v>8</v>
      </c>
      <c r="J3" s="63">
        <f>I3/H3</f>
        <v>1.3333333333333333</v>
      </c>
      <c r="K3" s="66">
        <v>10</v>
      </c>
      <c r="L3" s="66">
        <v>11</v>
      </c>
    </row>
  </sheetData>
  <mergeCells count="6">
    <mergeCell ref="K1:L1"/>
    <mergeCell ref="A1:A2"/>
    <mergeCell ref="B1:B2"/>
    <mergeCell ref="C1:F1"/>
    <mergeCell ref="G1:G2"/>
    <mergeCell ref="H1:J1"/>
  </mergeCells>
  <conditionalFormatting sqref="J3">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446" t="s">
        <v>1</v>
      </c>
      <c r="B1" s="446" t="s">
        <v>3</v>
      </c>
      <c r="C1" s="446"/>
      <c r="D1" s="446"/>
      <c r="E1" s="446"/>
      <c r="F1" s="446" t="s">
        <v>36</v>
      </c>
      <c r="G1" s="456" t="s">
        <v>17</v>
      </c>
      <c r="H1" s="456"/>
      <c r="I1" s="456"/>
      <c r="J1" s="451" t="s">
        <v>20</v>
      </c>
      <c r="K1" s="452"/>
    </row>
    <row r="2" spans="1:11" ht="79.5" customHeight="1" thickBot="1" x14ac:dyDescent="0.3">
      <c r="A2" s="455"/>
      <c r="B2" s="57">
        <v>2019</v>
      </c>
      <c r="C2" s="57">
        <v>2020</v>
      </c>
      <c r="D2" s="57">
        <v>2021</v>
      </c>
      <c r="E2" s="57">
        <v>2022</v>
      </c>
      <c r="F2" s="455"/>
      <c r="G2" s="58" t="s">
        <v>18</v>
      </c>
      <c r="H2" s="59" t="s">
        <v>19</v>
      </c>
      <c r="I2" s="59" t="s">
        <v>24</v>
      </c>
      <c r="J2" s="54" t="s">
        <v>92</v>
      </c>
      <c r="K2" s="55" t="s">
        <v>90</v>
      </c>
    </row>
    <row r="3" spans="1:11" ht="25.5" x14ac:dyDescent="0.25">
      <c r="A3" s="67">
        <v>250</v>
      </c>
      <c r="B3" s="67">
        <v>175</v>
      </c>
      <c r="C3" s="67">
        <v>200</v>
      </c>
      <c r="D3" s="67">
        <v>225</v>
      </c>
      <c r="E3" s="67">
        <v>250</v>
      </c>
      <c r="F3" s="65" t="s">
        <v>12</v>
      </c>
      <c r="G3" s="67">
        <v>175</v>
      </c>
      <c r="H3" s="67">
        <v>185</v>
      </c>
      <c r="I3" s="63">
        <f>H3/G3</f>
        <v>1.0571428571428572</v>
      </c>
      <c r="J3" s="66">
        <v>200</v>
      </c>
      <c r="K3" s="66">
        <v>200</v>
      </c>
    </row>
  </sheetData>
  <mergeCells count="5">
    <mergeCell ref="A1:A2"/>
    <mergeCell ref="B1:E1"/>
    <mergeCell ref="F1:F2"/>
    <mergeCell ref="G1:I1"/>
    <mergeCell ref="J1:K1"/>
  </mergeCells>
  <conditionalFormatting sqref="I3">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453" t="s">
        <v>2</v>
      </c>
      <c r="B1" s="446" t="s">
        <v>1</v>
      </c>
      <c r="C1" s="446" t="s">
        <v>3</v>
      </c>
      <c r="D1" s="446"/>
      <c r="E1" s="446"/>
      <c r="F1" s="446"/>
      <c r="G1" s="446" t="s">
        <v>36</v>
      </c>
      <c r="H1" s="456" t="s">
        <v>17</v>
      </c>
      <c r="I1" s="456"/>
      <c r="J1" s="456"/>
      <c r="K1" s="451" t="s">
        <v>20</v>
      </c>
      <c r="L1" s="452"/>
    </row>
    <row r="2" spans="1:12" ht="76.5" customHeight="1" thickBot="1" x14ac:dyDescent="0.3">
      <c r="A2" s="454"/>
      <c r="B2" s="455"/>
      <c r="C2" s="57">
        <v>2019</v>
      </c>
      <c r="D2" s="57">
        <v>2020</v>
      </c>
      <c r="E2" s="57">
        <v>2021</v>
      </c>
      <c r="F2" s="57">
        <v>2022</v>
      </c>
      <c r="G2" s="455"/>
      <c r="H2" s="58" t="s">
        <v>18</v>
      </c>
      <c r="I2" s="59" t="s">
        <v>19</v>
      </c>
      <c r="J2" s="59" t="s">
        <v>24</v>
      </c>
      <c r="K2" s="54" t="s">
        <v>92</v>
      </c>
      <c r="L2" s="55" t="s">
        <v>90</v>
      </c>
    </row>
    <row r="3" spans="1:12" ht="36" x14ac:dyDescent="0.25">
      <c r="A3" s="60" t="s">
        <v>4</v>
      </c>
      <c r="B3" s="61">
        <v>1</v>
      </c>
      <c r="C3" s="48">
        <v>3.0000000000000001E-3</v>
      </c>
      <c r="D3" s="48">
        <v>0.19900000000000001</v>
      </c>
      <c r="E3" s="48">
        <v>0.20300000000000001</v>
      </c>
      <c r="F3" s="48">
        <v>0.59399999999999997</v>
      </c>
      <c r="G3" s="62" t="s">
        <v>5</v>
      </c>
      <c r="H3" s="48">
        <v>3.0000000000000001E-3</v>
      </c>
      <c r="I3" s="48">
        <v>3.0000000000000001E-3</v>
      </c>
      <c r="J3" s="63">
        <f>I3/H3</f>
        <v>1</v>
      </c>
      <c r="K3" s="48">
        <v>0.19900000000000001</v>
      </c>
      <c r="L3" s="45">
        <v>0</v>
      </c>
    </row>
  </sheetData>
  <mergeCells count="6">
    <mergeCell ref="K1:L1"/>
    <mergeCell ref="A1:A2"/>
    <mergeCell ref="B1:B2"/>
    <mergeCell ref="C1:F1"/>
    <mergeCell ref="G1:G2"/>
    <mergeCell ref="H1:J1"/>
  </mergeCells>
  <conditionalFormatting sqref="J3">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FBFE-0E01-4A6F-A43B-D6AD7841164B}">
  <dimension ref="A1:CT25"/>
  <sheetViews>
    <sheetView showGridLines="0" tabSelected="1" topLeftCell="A2" zoomScale="40" zoomScaleNormal="40" workbookViewId="0">
      <pane xSplit="3" ySplit="3" topLeftCell="D5" activePane="bottomRight" state="frozen"/>
      <selection activeCell="A2" sqref="A2"/>
      <selection pane="topRight" activeCell="C2" sqref="C2"/>
      <selection pane="bottomLeft" activeCell="A4" sqref="A4"/>
      <selection pane="bottomRight" activeCell="L6" sqref="L6"/>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144" hidden="1" customWidth="1"/>
    <col min="26" max="26" width="28.140625" style="144" hidden="1" customWidth="1"/>
    <col min="27" max="27" width="28" style="144" hidden="1" customWidth="1"/>
    <col min="28" max="28" width="32.7109375" style="144"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hidden="1" customWidth="1"/>
    <col min="64" max="64" width="28.85546875" style="3" hidden="1" customWidth="1"/>
    <col min="65" max="65" width="27.7109375" style="3" hidden="1"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0" width="43.28515625" style="3" customWidth="1"/>
    <col min="91" max="92" width="27.85546875" style="3" customWidth="1"/>
    <col min="93" max="93" width="167" style="3" customWidth="1"/>
    <col min="94" max="94" width="27.85546875" style="3" customWidth="1"/>
    <col min="95" max="95" width="27.85546875" style="3" hidden="1" customWidth="1"/>
    <col min="96" max="96" width="27.85546875" style="3" customWidth="1"/>
    <col min="97" max="97" width="29.85546875" style="3" hidden="1" customWidth="1"/>
    <col min="98" max="98" width="37.42578125" style="1" hidden="1" customWidth="1"/>
    <col min="99" max="16384" width="11.42578125" style="1"/>
  </cols>
  <sheetData>
    <row r="1" spans="1:98" ht="178.5" customHeight="1" thickBot="1" x14ac:dyDescent="0.25">
      <c r="B1" s="390" t="s">
        <v>44</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203"/>
      <c r="CM1" s="242" t="s">
        <v>216</v>
      </c>
      <c r="CN1" s="242"/>
      <c r="CO1" s="242"/>
      <c r="CP1" s="242"/>
      <c r="CQ1" s="242"/>
      <c r="CR1" s="242"/>
      <c r="CS1" s="3" t="s">
        <v>217</v>
      </c>
    </row>
    <row r="2" spans="1:98" s="311" customFormat="1" ht="178.5" customHeight="1" thickBot="1" x14ac:dyDescent="0.3"/>
    <row r="3" spans="1:98" ht="44.25" customHeight="1" thickBot="1" x14ac:dyDescent="0.25">
      <c r="A3" s="383" t="s">
        <v>299</v>
      </c>
      <c r="B3" s="389" t="s">
        <v>0</v>
      </c>
      <c r="C3" s="387" t="s">
        <v>13</v>
      </c>
      <c r="D3" s="404" t="s">
        <v>2</v>
      </c>
      <c r="E3" s="404" t="s">
        <v>86</v>
      </c>
      <c r="F3" s="404" t="s">
        <v>246</v>
      </c>
      <c r="G3" s="386" t="s">
        <v>3</v>
      </c>
      <c r="H3" s="386"/>
      <c r="I3" s="386"/>
      <c r="J3" s="386"/>
      <c r="K3" s="395" t="s">
        <v>36</v>
      </c>
      <c r="L3" s="393" t="s">
        <v>62</v>
      </c>
      <c r="M3" s="395" t="s">
        <v>102</v>
      </c>
      <c r="N3" s="397" t="s">
        <v>263</v>
      </c>
      <c r="O3" s="393" t="s">
        <v>264</v>
      </c>
      <c r="P3" s="402" t="s">
        <v>215</v>
      </c>
      <c r="Q3" s="402"/>
      <c r="R3" s="403"/>
      <c r="S3" s="403"/>
      <c r="T3" s="402"/>
      <c r="U3" s="403"/>
      <c r="V3" s="402"/>
      <c r="W3" s="398" t="s">
        <v>134</v>
      </c>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8"/>
      <c r="BC3" s="399"/>
      <c r="BD3" s="400"/>
      <c r="BE3" s="400"/>
      <c r="BF3" s="401"/>
      <c r="BG3" s="398"/>
      <c r="BH3" s="398"/>
      <c r="BI3" s="401"/>
      <c r="BJ3" s="398"/>
      <c r="BK3" s="407" t="s">
        <v>386</v>
      </c>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9"/>
    </row>
    <row r="4" spans="1:98" ht="79.5" customHeight="1" thickBot="1" x14ac:dyDescent="0.25">
      <c r="A4" s="384"/>
      <c r="B4" s="389"/>
      <c r="C4" s="388"/>
      <c r="D4" s="406"/>
      <c r="E4" s="406"/>
      <c r="F4" s="405"/>
      <c r="G4" s="371">
        <v>2019</v>
      </c>
      <c r="H4" s="371">
        <v>2020</v>
      </c>
      <c r="I4" s="371">
        <v>2021</v>
      </c>
      <c r="J4" s="371">
        <v>2022</v>
      </c>
      <c r="K4" s="396"/>
      <c r="L4" s="394"/>
      <c r="M4" s="396"/>
      <c r="N4" s="394"/>
      <c r="O4" s="394"/>
      <c r="P4" s="192" t="s">
        <v>220</v>
      </c>
      <c r="Q4" s="193" t="s">
        <v>219</v>
      </c>
      <c r="R4" s="193" t="s">
        <v>211</v>
      </c>
      <c r="S4" s="193" t="s">
        <v>226</v>
      </c>
      <c r="T4" s="193" t="s">
        <v>244</v>
      </c>
      <c r="U4" s="193" t="s">
        <v>25</v>
      </c>
      <c r="V4" s="193" t="s">
        <v>245</v>
      </c>
      <c r="W4" s="195" t="s">
        <v>221</v>
      </c>
      <c r="X4" s="194" t="s">
        <v>212</v>
      </c>
      <c r="Y4" s="194" t="s">
        <v>213</v>
      </c>
      <c r="Z4" s="195" t="s">
        <v>88</v>
      </c>
      <c r="AA4" s="195" t="s">
        <v>49</v>
      </c>
      <c r="AB4" s="195" t="s">
        <v>21</v>
      </c>
      <c r="AC4" s="196" t="s">
        <v>50</v>
      </c>
      <c r="AD4" s="195" t="s">
        <v>51</v>
      </c>
      <c r="AE4" s="195" t="s">
        <v>52</v>
      </c>
      <c r="AF4" s="196" t="s">
        <v>53</v>
      </c>
      <c r="AG4" s="195" t="s">
        <v>71</v>
      </c>
      <c r="AH4" s="195" t="s">
        <v>72</v>
      </c>
      <c r="AI4" s="197" t="s">
        <v>73</v>
      </c>
      <c r="AJ4" s="198" t="s">
        <v>89</v>
      </c>
      <c r="AK4" s="195" t="s">
        <v>90</v>
      </c>
      <c r="AL4" s="195" t="s">
        <v>91</v>
      </c>
      <c r="AM4" s="198" t="s">
        <v>103</v>
      </c>
      <c r="AN4" s="195" t="s">
        <v>104</v>
      </c>
      <c r="AO4" s="195" t="s">
        <v>112</v>
      </c>
      <c r="AP4" s="195" t="s">
        <v>115</v>
      </c>
      <c r="AQ4" s="195" t="s">
        <v>114</v>
      </c>
      <c r="AR4" s="321" t="s">
        <v>113</v>
      </c>
      <c r="AS4" s="195" t="s">
        <v>123</v>
      </c>
      <c r="AT4" s="195" t="s">
        <v>124</v>
      </c>
      <c r="AU4" s="321" t="s">
        <v>125</v>
      </c>
      <c r="AV4" s="195" t="s">
        <v>135</v>
      </c>
      <c r="AW4" s="195" t="s">
        <v>136</v>
      </c>
      <c r="AX4" s="321" t="s">
        <v>137</v>
      </c>
      <c r="AY4" s="195" t="s">
        <v>148</v>
      </c>
      <c r="AZ4" s="195" t="s">
        <v>146</v>
      </c>
      <c r="BA4" s="321" t="s">
        <v>147</v>
      </c>
      <c r="BB4" s="321" t="s">
        <v>266</v>
      </c>
      <c r="BC4" s="321" t="s">
        <v>214</v>
      </c>
      <c r="BD4" s="322" t="s">
        <v>211</v>
      </c>
      <c r="BE4" s="322" t="s">
        <v>226</v>
      </c>
      <c r="BF4" s="322" t="s">
        <v>224</v>
      </c>
      <c r="BG4" s="195" t="s">
        <v>368</v>
      </c>
      <c r="BH4" s="195" t="s">
        <v>223</v>
      </c>
      <c r="BI4" s="322" t="s">
        <v>218</v>
      </c>
      <c r="BJ4" s="195" t="s">
        <v>222</v>
      </c>
      <c r="BK4" s="323" t="s">
        <v>234</v>
      </c>
      <c r="BL4" s="324" t="s">
        <v>235</v>
      </c>
      <c r="BM4" s="324" t="s">
        <v>240</v>
      </c>
      <c r="BN4" s="324" t="s">
        <v>241</v>
      </c>
      <c r="BO4" s="325" t="s">
        <v>236</v>
      </c>
      <c r="BP4" s="325" t="s">
        <v>238</v>
      </c>
      <c r="BQ4" s="326" t="s">
        <v>237</v>
      </c>
      <c r="BR4" s="326" t="s">
        <v>250</v>
      </c>
      <c r="BS4" s="326" t="s">
        <v>239</v>
      </c>
      <c r="BT4" s="326" t="s">
        <v>274</v>
      </c>
      <c r="BU4" s="326" t="s">
        <v>369</v>
      </c>
      <c r="BV4" s="326" t="s">
        <v>370</v>
      </c>
      <c r="BW4" s="326" t="s">
        <v>275</v>
      </c>
      <c r="BX4" s="327" t="s">
        <v>260</v>
      </c>
      <c r="BY4" s="327" t="s">
        <v>250</v>
      </c>
      <c r="BZ4" s="327" t="s">
        <v>261</v>
      </c>
      <c r="CA4" s="328" t="s">
        <v>286</v>
      </c>
      <c r="CB4" s="328" t="s">
        <v>371</v>
      </c>
      <c r="CC4" s="328" t="s">
        <v>372</v>
      </c>
      <c r="CD4" s="328" t="s">
        <v>275</v>
      </c>
      <c r="CE4" s="329" t="s">
        <v>287</v>
      </c>
      <c r="CF4" s="329" t="s">
        <v>250</v>
      </c>
      <c r="CG4" s="329" t="s">
        <v>288</v>
      </c>
      <c r="CH4" s="329" t="s">
        <v>274</v>
      </c>
      <c r="CI4" s="329" t="s">
        <v>369</v>
      </c>
      <c r="CJ4" s="329" t="s">
        <v>370</v>
      </c>
      <c r="CK4" s="329" t="s">
        <v>275</v>
      </c>
      <c r="CL4" s="330" t="s">
        <v>234</v>
      </c>
      <c r="CM4" s="330" t="s">
        <v>384</v>
      </c>
      <c r="CN4" s="330" t="s">
        <v>250</v>
      </c>
      <c r="CO4" s="330" t="s">
        <v>385</v>
      </c>
      <c r="CP4" s="362" t="s">
        <v>274</v>
      </c>
      <c r="CQ4" s="362" t="s">
        <v>369</v>
      </c>
      <c r="CR4" s="362" t="s">
        <v>370</v>
      </c>
      <c r="CS4" s="362" t="s">
        <v>275</v>
      </c>
      <c r="CT4" s="367" t="s">
        <v>275</v>
      </c>
    </row>
    <row r="5" spans="1:98" ht="207.75" customHeight="1" x14ac:dyDescent="0.2">
      <c r="A5" s="312">
        <v>1</v>
      </c>
      <c r="B5" s="21" t="s">
        <v>35</v>
      </c>
      <c r="C5" s="220" t="s">
        <v>272</v>
      </c>
      <c r="D5" s="44" t="s">
        <v>4</v>
      </c>
      <c r="E5" s="33" t="s">
        <v>84</v>
      </c>
      <c r="F5" s="71" t="s">
        <v>242</v>
      </c>
      <c r="G5" s="48">
        <v>4.9000000000000002E-2</v>
      </c>
      <c r="H5" s="48">
        <v>0.249</v>
      </c>
      <c r="I5" s="48">
        <v>0.51900000000000002</v>
      </c>
      <c r="J5" s="48">
        <v>0.61899999999999999</v>
      </c>
      <c r="K5" s="47" t="s">
        <v>314</v>
      </c>
      <c r="L5" s="71" t="s">
        <v>63</v>
      </c>
      <c r="M5" s="382">
        <v>0.61899999999999999</v>
      </c>
      <c r="N5" s="282">
        <v>68457962</v>
      </c>
      <c r="O5" s="282">
        <v>114174800</v>
      </c>
      <c r="P5" s="48">
        <v>0.03</v>
      </c>
      <c r="Q5" s="49">
        <v>0.03</v>
      </c>
      <c r="R5" s="254">
        <v>3820715.53</v>
      </c>
      <c r="S5" s="254">
        <v>3820715.53</v>
      </c>
      <c r="T5" s="163">
        <f t="shared" ref="T5:T10" si="0">Q5/P5</f>
        <v>1</v>
      </c>
      <c r="U5" s="161" t="s">
        <v>373</v>
      </c>
      <c r="V5" s="255">
        <f>Q5/M5</f>
        <v>4.8465266558966075E-2</v>
      </c>
      <c r="W5" s="152">
        <v>0.23</v>
      </c>
      <c r="X5" s="238"/>
      <c r="Y5" s="238"/>
      <c r="Z5" s="145">
        <v>20253667.789999999</v>
      </c>
      <c r="AA5" s="145">
        <v>0</v>
      </c>
      <c r="AB5" s="163">
        <f>AA5/20%</f>
        <v>0</v>
      </c>
      <c r="AC5" s="72" t="s">
        <v>37</v>
      </c>
      <c r="AD5" s="145">
        <v>34421</v>
      </c>
      <c r="AE5" s="168">
        <f>AD5/Z5</f>
        <v>1.6994946474334367E-3</v>
      </c>
      <c r="AF5" s="72" t="s">
        <v>374</v>
      </c>
      <c r="AG5" s="158">
        <v>101437</v>
      </c>
      <c r="AH5" s="169">
        <f>AG5/Z5</f>
        <v>5.0083274324309434E-3</v>
      </c>
      <c r="AI5" s="68" t="s">
        <v>375</v>
      </c>
      <c r="AJ5" s="158">
        <v>102037</v>
      </c>
      <c r="AK5" s="169">
        <f>AJ5/Z5</f>
        <v>5.0379516963529698E-3</v>
      </c>
      <c r="AL5" s="313" t="s">
        <v>376</v>
      </c>
      <c r="AM5" s="158">
        <v>1805376</v>
      </c>
      <c r="AN5" s="169">
        <f>AM5/Z5</f>
        <v>8.913822517081979E-2</v>
      </c>
      <c r="AO5" s="313" t="s">
        <v>377</v>
      </c>
      <c r="AP5" s="158">
        <v>4784680</v>
      </c>
      <c r="AQ5" s="169">
        <f>AP5/Z5</f>
        <v>0.23623770517073345</v>
      </c>
      <c r="AR5" s="314" t="s">
        <v>378</v>
      </c>
      <c r="AS5" s="335">
        <v>6037259.96</v>
      </c>
      <c r="AT5" s="169">
        <f>+AS5/Z5</f>
        <v>0.29808230403486835</v>
      </c>
      <c r="AU5" s="314" t="s">
        <v>379</v>
      </c>
      <c r="AV5" s="335">
        <v>7415231.2000000002</v>
      </c>
      <c r="AW5" s="169">
        <f>+AV5/Z5</f>
        <v>0.36611794351940441</v>
      </c>
      <c r="AX5" s="315" t="s">
        <v>380</v>
      </c>
      <c r="AY5" s="336">
        <v>7918051.8399999999</v>
      </c>
      <c r="AZ5" s="83">
        <f>+AY5/Z5</f>
        <v>0.39094409576074124</v>
      </c>
      <c r="BA5" s="316" t="s">
        <v>381</v>
      </c>
      <c r="BB5" s="317">
        <v>0.1176</v>
      </c>
      <c r="BC5" s="243"/>
      <c r="BD5" s="283">
        <v>26242218.77</v>
      </c>
      <c r="BE5" s="283">
        <v>13418129</v>
      </c>
      <c r="BF5" s="163">
        <f t="shared" ref="BF5:BF10" si="1">BB5/W5</f>
        <v>0.51130434782608691</v>
      </c>
      <c r="BG5" s="256"/>
      <c r="BH5" s="243"/>
      <c r="BI5" s="266" t="s">
        <v>248</v>
      </c>
      <c r="BJ5" s="337">
        <f t="shared" ref="BJ5:BJ10" si="2">BB5/M5</f>
        <v>0.189983844911147</v>
      </c>
      <c r="BK5" s="372">
        <f>I5</f>
        <v>0.51900000000000002</v>
      </c>
      <c r="BL5" s="339"/>
      <c r="BM5" s="339">
        <v>59216137.130000003</v>
      </c>
      <c r="BN5" s="339"/>
      <c r="BO5" s="339"/>
      <c r="BP5" s="315"/>
      <c r="BQ5" s="339">
        <v>77801</v>
      </c>
      <c r="BR5" s="318">
        <f>BQ5/BM5</f>
        <v>1.3138479436644063E-3</v>
      </c>
      <c r="BS5" s="340" t="s">
        <v>251</v>
      </c>
      <c r="BT5" s="306">
        <f>BB5/M5</f>
        <v>0.189983844911147</v>
      </c>
      <c r="BU5" s="339">
        <v>13495930.109999999</v>
      </c>
      <c r="BV5" s="306">
        <f>BU5/O5</f>
        <v>0.11820410554693329</v>
      </c>
      <c r="BW5" s="306">
        <f>+BU5/N5</f>
        <v>0.19714186218397795</v>
      </c>
      <c r="BX5" s="339">
        <v>31966</v>
      </c>
      <c r="BY5" s="318">
        <f>BX5/BM5</f>
        <v>5.3981906874174383E-4</v>
      </c>
      <c r="BZ5" s="340" t="s">
        <v>265</v>
      </c>
      <c r="CA5" s="306">
        <f>BB5/M5</f>
        <v>0.189983844911147</v>
      </c>
      <c r="CB5" s="339">
        <f>+BU5+BX5</f>
        <v>13527896.109999999</v>
      </c>
      <c r="CC5" s="306">
        <f>CB5/O5</f>
        <v>0.11848407976190893</v>
      </c>
      <c r="CD5" s="306">
        <f>CB5/N5</f>
        <v>0.19760880567843955</v>
      </c>
      <c r="CE5" s="341">
        <v>57741.22</v>
      </c>
      <c r="CF5" s="318">
        <f t="shared" ref="CF5:CF10" si="3">CE5/BM5</f>
        <v>9.7509264870212586E-4</v>
      </c>
      <c r="CG5" s="340" t="s">
        <v>289</v>
      </c>
      <c r="CH5" s="319">
        <f>BB5/M5</f>
        <v>0.189983844911147</v>
      </c>
      <c r="CI5" s="320">
        <f>+CE5+CB5</f>
        <v>13585637.33</v>
      </c>
      <c r="CJ5" s="306">
        <f>CI5/O5</f>
        <v>0.11898980624446025</v>
      </c>
      <c r="CK5" s="306">
        <f>CI5/N5</f>
        <v>0.19845226081956691</v>
      </c>
      <c r="CL5" s="372">
        <v>0.51900000000000002</v>
      </c>
      <c r="CM5" s="378">
        <v>36099509.710000001</v>
      </c>
      <c r="CN5" s="293">
        <f>CM5/BM5</f>
        <v>0.60962284032051994</v>
      </c>
      <c r="CO5" s="340" t="s">
        <v>387</v>
      </c>
      <c r="CP5" s="271">
        <f>(31.64-1.9)/(61.9-1.9)</f>
        <v>0.4956666666666667</v>
      </c>
      <c r="CQ5" s="320">
        <v>26975489.239999998</v>
      </c>
      <c r="CR5" s="275">
        <f>CM5/O5</f>
        <v>0.31617756028475635</v>
      </c>
      <c r="CS5" s="275">
        <f>CQ5/N5</f>
        <v>0.394044585201061</v>
      </c>
      <c r="CT5" s="306" t="e">
        <f>#REF!/N5</f>
        <v>#REF!</v>
      </c>
    </row>
    <row r="6" spans="1:98" ht="409.5" customHeight="1" x14ac:dyDescent="0.2">
      <c r="A6" s="295">
        <v>2</v>
      </c>
      <c r="B6" s="21" t="s">
        <v>35</v>
      </c>
      <c r="C6" s="10" t="s">
        <v>227</v>
      </c>
      <c r="D6" s="4" t="s">
        <v>4</v>
      </c>
      <c r="E6" s="33" t="s">
        <v>83</v>
      </c>
      <c r="F6" s="33" t="s">
        <v>242</v>
      </c>
      <c r="G6" s="8">
        <v>8.5000000000000006E-2</v>
      </c>
      <c r="H6" s="8">
        <v>0.20100000000000001</v>
      </c>
      <c r="I6" s="8">
        <v>0.35099999999999998</v>
      </c>
      <c r="J6" s="5">
        <v>0.6</v>
      </c>
      <c r="K6" s="142" t="s">
        <v>315</v>
      </c>
      <c r="L6" s="70" t="s">
        <v>64</v>
      </c>
      <c r="M6" s="30">
        <v>0.6</v>
      </c>
      <c r="N6" s="241">
        <v>68457962</v>
      </c>
      <c r="O6" s="282">
        <v>114174800</v>
      </c>
      <c r="P6" s="8">
        <f t="shared" ref="P6:P11" si="4">+G6</f>
        <v>8.5000000000000006E-2</v>
      </c>
      <c r="Q6" s="8">
        <v>2.3E-2</v>
      </c>
      <c r="R6" s="240">
        <v>5818927</v>
      </c>
      <c r="S6" s="240">
        <v>2564383.61</v>
      </c>
      <c r="T6" s="164">
        <f t="shared" si="0"/>
        <v>0.27058823529411763</v>
      </c>
      <c r="U6" s="162" t="s">
        <v>232</v>
      </c>
      <c r="V6" s="245">
        <f>Q6/M6</f>
        <v>3.8333333333333337E-2</v>
      </c>
      <c r="W6" s="153">
        <v>0.20100000000000001</v>
      </c>
      <c r="X6" s="239">
        <v>6.2E-2</v>
      </c>
      <c r="Y6" s="148">
        <v>3256070</v>
      </c>
      <c r="Z6" s="148">
        <v>13763388</v>
      </c>
      <c r="AA6" s="146">
        <v>0</v>
      </c>
      <c r="AB6" s="165">
        <f t="shared" ref="AB6:AB12" si="5">AA6/Z6</f>
        <v>0</v>
      </c>
      <c r="AC6" s="17" t="s">
        <v>38</v>
      </c>
      <c r="AD6" s="146">
        <v>0</v>
      </c>
      <c r="AE6" s="165">
        <f>AD6/Z6</f>
        <v>0</v>
      </c>
      <c r="AF6" s="17" t="s">
        <v>59</v>
      </c>
      <c r="AG6" s="148">
        <v>0</v>
      </c>
      <c r="AH6" s="170">
        <f t="shared" ref="AH6:AH12" si="6">AG6/Z6</f>
        <v>0</v>
      </c>
      <c r="AI6" s="68" t="s">
        <v>82</v>
      </c>
      <c r="AJ6" s="147">
        <v>0</v>
      </c>
      <c r="AK6" s="173">
        <f t="shared" ref="AK6:AK12" si="7">AJ6/Z6</f>
        <v>0</v>
      </c>
      <c r="AL6" s="78" t="s">
        <v>95</v>
      </c>
      <c r="AM6" s="147">
        <v>0</v>
      </c>
      <c r="AN6" s="173">
        <f>AM6/Z6</f>
        <v>0</v>
      </c>
      <c r="AO6" s="78" t="s">
        <v>382</v>
      </c>
      <c r="AP6" s="158">
        <v>0</v>
      </c>
      <c r="AQ6" s="169">
        <f>AP6/Z6</f>
        <v>0</v>
      </c>
      <c r="AR6" s="78" t="s">
        <v>383</v>
      </c>
      <c r="AS6" s="158">
        <v>0</v>
      </c>
      <c r="AT6" s="169">
        <v>0</v>
      </c>
      <c r="AU6" s="78" t="s">
        <v>130</v>
      </c>
      <c r="AV6" s="158">
        <v>0</v>
      </c>
      <c r="AW6" s="169">
        <v>0</v>
      </c>
      <c r="AX6" s="143" t="s">
        <v>144</v>
      </c>
      <c r="AY6" s="158">
        <v>0</v>
      </c>
      <c r="AZ6" s="83">
        <v>0</v>
      </c>
      <c r="BA6" s="143" t="s">
        <v>152</v>
      </c>
      <c r="BB6" s="244">
        <v>0.154</v>
      </c>
      <c r="BC6" s="247">
        <v>17560383</v>
      </c>
      <c r="BD6" s="148">
        <f>114000000*20.1/100</f>
        <v>22914000</v>
      </c>
      <c r="BE6" s="342">
        <v>17560382.690000001</v>
      </c>
      <c r="BF6" s="272">
        <f t="shared" si="1"/>
        <v>0.76616915422885568</v>
      </c>
      <c r="BG6" s="244">
        <f>W6-BB6</f>
        <v>4.7000000000000014E-2</v>
      </c>
      <c r="BH6" s="164">
        <f>M6-BB6</f>
        <v>0.44599999999999995</v>
      </c>
      <c r="BI6" s="259" t="s">
        <v>279</v>
      </c>
      <c r="BJ6" s="260">
        <f t="shared" si="2"/>
        <v>0.25666666666666665</v>
      </c>
      <c r="BK6" s="268">
        <v>0.35099999999999998</v>
      </c>
      <c r="BL6" s="269"/>
      <c r="BM6" s="342">
        <v>40047907.710000001</v>
      </c>
      <c r="BN6" s="247"/>
      <c r="BO6" s="239"/>
      <c r="BP6" s="239"/>
      <c r="BQ6" s="239">
        <v>0</v>
      </c>
      <c r="BR6" s="293">
        <v>0</v>
      </c>
      <c r="BS6" s="78" t="s">
        <v>258</v>
      </c>
      <c r="BT6" s="275">
        <f>BB6/M6</f>
        <v>0.25666666666666665</v>
      </c>
      <c r="BU6" s="247">
        <v>17560383</v>
      </c>
      <c r="BV6" s="271">
        <f>BU6/O6</f>
        <v>0.15380261668949716</v>
      </c>
      <c r="BW6" s="275">
        <f>BU6/N6</f>
        <v>0.25651337677858421</v>
      </c>
      <c r="BX6" s="343">
        <v>0</v>
      </c>
      <c r="BY6" s="293">
        <f>BX6/BM6</f>
        <v>0</v>
      </c>
      <c r="BZ6" s="281" t="s">
        <v>280</v>
      </c>
      <c r="CA6" s="271">
        <f>BB6/M7</f>
        <v>0.21241379310344827</v>
      </c>
      <c r="CB6" s="247">
        <v>17560383</v>
      </c>
      <c r="CC6" s="271">
        <f>BU6/O6</f>
        <v>0.15380261668949716</v>
      </c>
      <c r="CD6" s="275">
        <f>CB6/N6</f>
        <v>0.25651337677858421</v>
      </c>
      <c r="CE6" s="247">
        <v>0</v>
      </c>
      <c r="CF6" s="293">
        <f t="shared" si="3"/>
        <v>0</v>
      </c>
      <c r="CG6" s="281" t="s">
        <v>291</v>
      </c>
      <c r="CH6" s="275">
        <f>BB6/M6</f>
        <v>0.25666666666666665</v>
      </c>
      <c r="CI6" s="344">
        <v>17560383</v>
      </c>
      <c r="CJ6" s="271">
        <f>CI6/O6</f>
        <v>0.15380261668949716</v>
      </c>
      <c r="CK6" s="275">
        <f>CB6/N6</f>
        <v>0.25651337677858421</v>
      </c>
      <c r="CL6" s="376">
        <v>0.35099999999999998</v>
      </c>
      <c r="CM6" s="379">
        <v>23283380</v>
      </c>
      <c r="CN6" s="293">
        <f>CM6/BM6</f>
        <v>0.5813881755971515</v>
      </c>
      <c r="CO6" s="281" t="s">
        <v>388</v>
      </c>
      <c r="CP6" s="275">
        <v>0.3392</v>
      </c>
      <c r="CQ6" s="344">
        <v>17560383</v>
      </c>
      <c r="CR6" s="275">
        <v>0.20349999999999999</v>
      </c>
      <c r="CS6" s="275">
        <f>CB6/N6</f>
        <v>0.25651337677858421</v>
      </c>
      <c r="CT6" s="306">
        <f>CB6/N6</f>
        <v>0.25651337677858421</v>
      </c>
    </row>
    <row r="7" spans="1:98" ht="231" customHeight="1" x14ac:dyDescent="0.2">
      <c r="A7" s="295">
        <v>3</v>
      </c>
      <c r="B7" s="21" t="s">
        <v>35</v>
      </c>
      <c r="C7" s="10" t="s">
        <v>273</v>
      </c>
      <c r="D7" s="16" t="s">
        <v>4</v>
      </c>
      <c r="E7" s="33" t="s">
        <v>84</v>
      </c>
      <c r="F7" s="33" t="s">
        <v>242</v>
      </c>
      <c r="G7" s="5">
        <v>0.23</v>
      </c>
      <c r="H7" s="5">
        <v>0.37</v>
      </c>
      <c r="I7" s="5">
        <v>0.49</v>
      </c>
      <c r="J7" s="5">
        <v>0.6</v>
      </c>
      <c r="K7" s="47" t="s">
        <v>314</v>
      </c>
      <c r="L7" s="33" t="s">
        <v>65</v>
      </c>
      <c r="M7" s="285">
        <v>0.72499999999999998</v>
      </c>
      <c r="N7" s="282">
        <v>68457962</v>
      </c>
      <c r="O7" s="282">
        <v>114174800</v>
      </c>
      <c r="P7" s="8">
        <f t="shared" si="4"/>
        <v>0.23</v>
      </c>
      <c r="Q7" s="8">
        <v>0.23</v>
      </c>
      <c r="R7" s="240">
        <v>26242218.77</v>
      </c>
      <c r="S7" s="240">
        <v>11980143.35</v>
      </c>
      <c r="T7" s="165">
        <f t="shared" si="0"/>
        <v>1</v>
      </c>
      <c r="U7" s="17" t="s">
        <v>31</v>
      </c>
      <c r="V7" s="245">
        <f>Q7/M7</f>
        <v>0.31724137931034485</v>
      </c>
      <c r="W7" s="153">
        <v>0.37</v>
      </c>
      <c r="X7" s="153"/>
      <c r="Y7" s="153"/>
      <c r="Z7" s="154">
        <v>15973524.470000001</v>
      </c>
      <c r="AA7" s="154">
        <v>12368</v>
      </c>
      <c r="AB7" s="167">
        <f>AA7/Z7</f>
        <v>7.7428121910279952E-4</v>
      </c>
      <c r="AC7" s="17" t="s">
        <v>39</v>
      </c>
      <c r="AD7" s="148">
        <v>75374</v>
      </c>
      <c r="AE7" s="167">
        <f>AD7/Z7</f>
        <v>4.7186831022521351E-3</v>
      </c>
      <c r="AF7" s="17" t="s">
        <v>57</v>
      </c>
      <c r="AG7" s="147">
        <v>43006</v>
      </c>
      <c r="AH7" s="171">
        <f t="shared" si="6"/>
        <v>2.6923300540697766E-3</v>
      </c>
      <c r="AI7" s="39" t="s">
        <v>345</v>
      </c>
      <c r="AJ7" s="147">
        <v>168576</v>
      </c>
      <c r="AK7" s="173">
        <f t="shared" si="7"/>
        <v>1.0553463032945789E-2</v>
      </c>
      <c r="AL7" s="39" t="s">
        <v>346</v>
      </c>
      <c r="AM7" s="174">
        <v>7114924.2199999997</v>
      </c>
      <c r="AN7" s="173">
        <f>AM7/Z7</f>
        <v>0.44541980909489287</v>
      </c>
      <c r="AO7" s="78" t="s">
        <v>108</v>
      </c>
      <c r="AP7" s="158">
        <v>7362927</v>
      </c>
      <c r="AQ7" s="169">
        <f>AP7/Z7</f>
        <v>0.46094567381346363</v>
      </c>
      <c r="AR7" s="78" t="s">
        <v>347</v>
      </c>
      <c r="AS7" s="345">
        <v>7362927.5</v>
      </c>
      <c r="AT7" s="169">
        <f>+AS7/Z7</f>
        <v>0.46094570511525934</v>
      </c>
      <c r="AU7" s="78" t="s">
        <v>348</v>
      </c>
      <c r="AV7" s="345">
        <v>7906008.1799999997</v>
      </c>
      <c r="AW7" s="169">
        <f>+AV7/Z7</f>
        <v>0.49494450613252788</v>
      </c>
      <c r="AX7" s="94" t="s">
        <v>349</v>
      </c>
      <c r="AY7" s="346">
        <v>8784660.1699999999</v>
      </c>
      <c r="AZ7" s="83">
        <f>+AY7/Z7</f>
        <v>0.54995127634471264</v>
      </c>
      <c r="BA7" s="94" t="s">
        <v>350</v>
      </c>
      <c r="BB7" s="153">
        <v>0.14230000000000001</v>
      </c>
      <c r="BC7" s="94"/>
      <c r="BD7" s="261">
        <v>42215743.240000002</v>
      </c>
      <c r="BE7" s="261">
        <v>16231703.439999999</v>
      </c>
      <c r="BF7" s="165">
        <f t="shared" si="1"/>
        <v>0.38459459459459461</v>
      </c>
      <c r="BG7" s="94"/>
      <c r="BH7" s="94"/>
      <c r="BI7" s="78" t="s">
        <v>351</v>
      </c>
      <c r="BJ7" s="347">
        <f t="shared" si="2"/>
        <v>0.19627586206896552</v>
      </c>
      <c r="BK7" s="348">
        <v>0.49</v>
      </c>
      <c r="BL7" s="269"/>
      <c r="BM7" s="343">
        <v>70169411.049999997</v>
      </c>
      <c r="BN7" s="343"/>
      <c r="BO7" s="239"/>
      <c r="BP7" s="143"/>
      <c r="BQ7" s="343">
        <v>128375.7452</v>
      </c>
      <c r="BR7" s="293">
        <f>BQ7/BM7</f>
        <v>1.8295115104860213E-3</v>
      </c>
      <c r="BS7" s="281" t="s">
        <v>252</v>
      </c>
      <c r="BT7" s="308">
        <f>BB7/M7</f>
        <v>0.19627586206896552</v>
      </c>
      <c r="BU7" s="343">
        <v>16360079.189999999</v>
      </c>
      <c r="BV7" s="275">
        <f>BU7/O7</f>
        <v>0.14328975562032953</v>
      </c>
      <c r="BW7" s="275">
        <f>+BU7/N7</f>
        <v>0.23897993326181693</v>
      </c>
      <c r="BX7" s="343">
        <v>48037</v>
      </c>
      <c r="BY7" s="293">
        <f>BX7/BM7</f>
        <v>6.8458605083304323E-4</v>
      </c>
      <c r="BZ7" s="281" t="s">
        <v>262</v>
      </c>
      <c r="CA7" s="275">
        <f>BB7/M7</f>
        <v>0.19627586206896552</v>
      </c>
      <c r="CB7" s="344">
        <f>BU7+BX7</f>
        <v>16408116.189999999</v>
      </c>
      <c r="CC7" s="275">
        <f>CB7/O7</f>
        <v>0.14371048769080391</v>
      </c>
      <c r="CD7" s="275">
        <f>CB7/N7</f>
        <v>0.23968163396392081</v>
      </c>
      <c r="CE7" s="344">
        <v>287686.40000000002</v>
      </c>
      <c r="CF7" s="293">
        <f t="shared" si="3"/>
        <v>4.0998833493843334E-3</v>
      </c>
      <c r="CG7" s="340" t="s">
        <v>290</v>
      </c>
      <c r="CH7" s="306">
        <f>BB7/M7</f>
        <v>0.19627586206896552</v>
      </c>
      <c r="CI7" s="307">
        <f>+CE7+CB7</f>
        <v>16695802.59</v>
      </c>
      <c r="CJ7" s="306">
        <f>CI7/O7</f>
        <v>0.14623018906098367</v>
      </c>
      <c r="CK7" s="306">
        <f>CI7/N7</f>
        <v>0.24388401439703974</v>
      </c>
      <c r="CL7" s="377">
        <v>0.61499999999999999</v>
      </c>
      <c r="CM7" s="289">
        <v>73305836.390000001</v>
      </c>
      <c r="CN7" s="293">
        <f t="shared" ref="CN7:CN12" si="8">CM7/BM7</f>
        <v>1.0446979003110788</v>
      </c>
      <c r="CO7" s="281" t="s">
        <v>389</v>
      </c>
      <c r="CP7" s="308">
        <v>0.86199999999999999</v>
      </c>
      <c r="CQ7" s="289">
        <v>30245459.239999998</v>
      </c>
      <c r="CR7" s="275">
        <f>CM7/O7</f>
        <v>0.6420491771389133</v>
      </c>
      <c r="CS7" s="275">
        <f>CQ7/N7</f>
        <v>0.44181068726527378</v>
      </c>
      <c r="CT7" s="275" t="e">
        <f>#REF!/N7</f>
        <v>#REF!</v>
      </c>
    </row>
    <row r="8" spans="1:98" ht="243" customHeight="1" x14ac:dyDescent="0.2">
      <c r="A8" s="295">
        <v>4</v>
      </c>
      <c r="B8" s="9" t="s">
        <v>34</v>
      </c>
      <c r="C8" s="10" t="s">
        <v>271</v>
      </c>
      <c r="D8" s="4" t="s">
        <v>4</v>
      </c>
      <c r="E8" s="33" t="s">
        <v>276</v>
      </c>
      <c r="F8" s="33" t="s">
        <v>242</v>
      </c>
      <c r="G8" s="236">
        <v>3.0999999999999999E-3</v>
      </c>
      <c r="H8" s="8">
        <v>0.19900000000000001</v>
      </c>
      <c r="I8" s="8">
        <v>0.20300000000000001</v>
      </c>
      <c r="J8" s="8">
        <v>0.59399999999999997</v>
      </c>
      <c r="K8" s="142" t="s">
        <v>315</v>
      </c>
      <c r="L8" s="33" t="s">
        <v>64</v>
      </c>
      <c r="M8" s="7">
        <v>1</v>
      </c>
      <c r="N8" s="241">
        <v>39084775.049999997</v>
      </c>
      <c r="O8" s="241">
        <v>39084775.049999997</v>
      </c>
      <c r="P8" s="8">
        <f t="shared" si="4"/>
        <v>3.0999999999999999E-3</v>
      </c>
      <c r="Q8" s="14">
        <v>3.0999999999999999E-3</v>
      </c>
      <c r="R8" s="240">
        <v>121595.52</v>
      </c>
      <c r="S8" s="240">
        <v>121595.52</v>
      </c>
      <c r="T8" s="165">
        <f t="shared" si="0"/>
        <v>1</v>
      </c>
      <c r="U8" s="18" t="s">
        <v>233</v>
      </c>
      <c r="V8" s="248">
        <f>Q8/M8</f>
        <v>3.0999999999999999E-3</v>
      </c>
      <c r="W8" s="252">
        <v>0.19969999999999999</v>
      </c>
      <c r="X8" s="239"/>
      <c r="Y8" s="239"/>
      <c r="Z8" s="237">
        <v>999718</v>
      </c>
      <c r="AA8" s="148">
        <v>0</v>
      </c>
      <c r="AB8" s="165">
        <f t="shared" si="5"/>
        <v>0</v>
      </c>
      <c r="AC8" s="17" t="s">
        <v>40</v>
      </c>
      <c r="AD8" s="148">
        <v>0</v>
      </c>
      <c r="AE8" s="165">
        <f>AD8/Z8</f>
        <v>0</v>
      </c>
      <c r="AF8" s="17" t="s">
        <v>60</v>
      </c>
      <c r="AG8" s="148">
        <v>0</v>
      </c>
      <c r="AH8" s="170">
        <f t="shared" si="6"/>
        <v>0</v>
      </c>
      <c r="AI8" s="39" t="s">
        <v>81</v>
      </c>
      <c r="AJ8" s="147">
        <v>0</v>
      </c>
      <c r="AK8" s="173">
        <f>AJ8/Z8</f>
        <v>0</v>
      </c>
      <c r="AL8" s="39" t="s">
        <v>81</v>
      </c>
      <c r="AM8" s="147">
        <v>0</v>
      </c>
      <c r="AN8" s="173">
        <f>+AM8/Z8</f>
        <v>0</v>
      </c>
      <c r="AO8" s="17" t="s">
        <v>81</v>
      </c>
      <c r="AP8" s="147">
        <v>0</v>
      </c>
      <c r="AQ8" s="169">
        <f>AP8/Z8</f>
        <v>0</v>
      </c>
      <c r="AR8" s="17" t="s">
        <v>81</v>
      </c>
      <c r="AS8" s="147">
        <v>0</v>
      </c>
      <c r="AT8" s="169">
        <v>0</v>
      </c>
      <c r="AU8" s="349" t="s">
        <v>131</v>
      </c>
      <c r="AV8" s="158">
        <v>0</v>
      </c>
      <c r="AW8" s="169">
        <f>+AV8/Z8</f>
        <v>0</v>
      </c>
      <c r="AX8" s="89" t="s">
        <v>140</v>
      </c>
      <c r="AY8" s="158">
        <v>0</v>
      </c>
      <c r="AZ8" s="83">
        <f>+AY8/Z8</f>
        <v>0</v>
      </c>
      <c r="BA8" s="94" t="s">
        <v>140</v>
      </c>
      <c r="BB8" s="252">
        <v>0.10440000000000001</v>
      </c>
      <c r="BC8" s="94"/>
      <c r="BD8" s="350">
        <f>39084775*19.9/100</f>
        <v>7777870.2249999996</v>
      </c>
      <c r="BE8" s="344">
        <v>4083550.05</v>
      </c>
      <c r="BF8" s="273">
        <f t="shared" si="1"/>
        <v>0.52278417626439666</v>
      </c>
      <c r="BG8" s="14">
        <f>20.3-10.3</f>
        <v>10</v>
      </c>
      <c r="BH8" s="14"/>
      <c r="BI8" s="162" t="s">
        <v>278</v>
      </c>
      <c r="BJ8" s="253">
        <f t="shared" si="2"/>
        <v>0.10440000000000001</v>
      </c>
      <c r="BK8" s="268">
        <v>0.20300000000000001</v>
      </c>
      <c r="BL8" s="269"/>
      <c r="BM8" s="241">
        <v>15829333</v>
      </c>
      <c r="BN8" s="249"/>
      <c r="BO8" s="75"/>
      <c r="BP8" s="75"/>
      <c r="BQ8" s="153" t="s">
        <v>200</v>
      </c>
      <c r="BR8" s="293">
        <v>0</v>
      </c>
      <c r="BS8" s="78" t="s">
        <v>258</v>
      </c>
      <c r="BT8" s="271">
        <f>BB8/M8</f>
        <v>0.10440000000000001</v>
      </c>
      <c r="BU8" s="247">
        <f>4038252.91+121595.52</f>
        <v>4159848.43</v>
      </c>
      <c r="BV8" s="275">
        <f>BU8/N8</f>
        <v>0.10643142821414295</v>
      </c>
      <c r="BW8" s="271">
        <f>+BU8/N8</f>
        <v>0.10643142821414295</v>
      </c>
      <c r="BX8" s="343">
        <v>0</v>
      </c>
      <c r="BY8" s="293">
        <v>0</v>
      </c>
      <c r="BZ8" s="281" t="s">
        <v>281</v>
      </c>
      <c r="CA8" s="275">
        <f>10.44%+0.31%</f>
        <v>0.1075</v>
      </c>
      <c r="CB8" s="247">
        <f>4038252.91+121595.52</f>
        <v>4159848.43</v>
      </c>
      <c r="CC8" s="275">
        <f>10.44%+0.31%</f>
        <v>0.1075</v>
      </c>
      <c r="CD8" s="275">
        <f>10.44%+0.31%</f>
        <v>0.1075</v>
      </c>
      <c r="CE8" s="344">
        <v>0</v>
      </c>
      <c r="CF8" s="293">
        <v>0</v>
      </c>
      <c r="CG8" s="281" t="s">
        <v>292</v>
      </c>
      <c r="CH8" s="275">
        <f>10.44%+0.31%</f>
        <v>0.1075</v>
      </c>
      <c r="CI8" s="247">
        <f>4038252.91+121595.52</f>
        <v>4159848.43</v>
      </c>
      <c r="CJ8" s="275">
        <f>10.44%+0.31%</f>
        <v>0.1075</v>
      </c>
      <c r="CK8" s="275">
        <f>10.44%+0.31%</f>
        <v>0.1075</v>
      </c>
      <c r="CL8" s="8">
        <v>0.20300000000000001</v>
      </c>
      <c r="CM8" s="381">
        <v>4205145.5699999994</v>
      </c>
      <c r="CN8" s="293">
        <f t="shared" si="8"/>
        <v>0.26565525976362991</v>
      </c>
      <c r="CO8" s="281" t="s">
        <v>390</v>
      </c>
      <c r="CP8" s="275">
        <f>10.44%+0.31%</f>
        <v>0.1075</v>
      </c>
      <c r="CQ8" s="344">
        <f>4038252.91+121595.52</f>
        <v>4159848.43</v>
      </c>
      <c r="CR8" s="275">
        <f>10.44%+0.31%</f>
        <v>0.1075</v>
      </c>
      <c r="CS8" s="275">
        <f>10.44%+0.31%</f>
        <v>0.1075</v>
      </c>
      <c r="CT8" s="361"/>
    </row>
    <row r="9" spans="1:98" ht="386.25" customHeight="1" x14ac:dyDescent="0.2">
      <c r="A9" s="295">
        <v>5</v>
      </c>
      <c r="B9" s="21" t="s">
        <v>35</v>
      </c>
      <c r="C9" s="10" t="s">
        <v>15</v>
      </c>
      <c r="D9" s="16" t="s">
        <v>4</v>
      </c>
      <c r="E9" s="33" t="s">
        <v>84</v>
      </c>
      <c r="F9" s="33" t="s">
        <v>254</v>
      </c>
      <c r="G9" s="5">
        <v>0.05</v>
      </c>
      <c r="H9" s="5">
        <v>0.3</v>
      </c>
      <c r="I9" s="5">
        <v>0.6</v>
      </c>
      <c r="J9" s="5">
        <v>1</v>
      </c>
      <c r="K9" s="333" t="s">
        <v>322</v>
      </c>
      <c r="L9" s="33" t="s">
        <v>66</v>
      </c>
      <c r="M9" s="34">
        <v>1</v>
      </c>
      <c r="N9" s="34" t="s">
        <v>70</v>
      </c>
      <c r="O9" s="34" t="s">
        <v>200</v>
      </c>
      <c r="P9" s="5">
        <f t="shared" si="4"/>
        <v>0.05</v>
      </c>
      <c r="Q9" s="5">
        <v>0.05</v>
      </c>
      <c r="R9" s="5">
        <v>0.05</v>
      </c>
      <c r="S9" s="5">
        <v>0.05</v>
      </c>
      <c r="T9" s="165">
        <f t="shared" si="0"/>
        <v>1</v>
      </c>
      <c r="U9" s="18" t="s">
        <v>33</v>
      </c>
      <c r="V9" s="248">
        <f>S9/M9</f>
        <v>0.05</v>
      </c>
      <c r="W9" s="149">
        <v>0.3</v>
      </c>
      <c r="X9" s="149"/>
      <c r="Y9" s="149"/>
      <c r="Z9" s="149">
        <v>0.25</v>
      </c>
      <c r="AA9" s="149">
        <v>0.04</v>
      </c>
      <c r="AB9" s="165">
        <f>AA9/Z9</f>
        <v>0.16</v>
      </c>
      <c r="AC9" s="17" t="s">
        <v>41</v>
      </c>
      <c r="AD9" s="149">
        <v>7.0000000000000007E-2</v>
      </c>
      <c r="AE9" s="165">
        <f>AD9/Z9</f>
        <v>0.28000000000000003</v>
      </c>
      <c r="AF9" s="17" t="s">
        <v>56</v>
      </c>
      <c r="AG9" s="149">
        <v>0.11</v>
      </c>
      <c r="AH9" s="170">
        <f t="shared" si="6"/>
        <v>0.44</v>
      </c>
      <c r="AI9" s="40" t="s">
        <v>77</v>
      </c>
      <c r="AJ9" s="149">
        <v>0.14000000000000001</v>
      </c>
      <c r="AK9" s="170">
        <f t="shared" si="7"/>
        <v>0.56000000000000005</v>
      </c>
      <c r="AL9" s="39" t="s">
        <v>352</v>
      </c>
      <c r="AM9" s="175">
        <v>0.15</v>
      </c>
      <c r="AN9" s="170">
        <f>AM9/Z9</f>
        <v>0.6</v>
      </c>
      <c r="AO9" s="17" t="s">
        <v>109</v>
      </c>
      <c r="AP9" s="151">
        <v>0.15</v>
      </c>
      <c r="AQ9" s="169">
        <f>AP9/Z9</f>
        <v>0.6</v>
      </c>
      <c r="AR9" s="17" t="s">
        <v>121</v>
      </c>
      <c r="AS9" s="151">
        <v>0.15</v>
      </c>
      <c r="AT9" s="169">
        <v>0.5</v>
      </c>
      <c r="AU9" s="351" t="s">
        <v>126</v>
      </c>
      <c r="AV9" s="276">
        <v>0.15</v>
      </c>
      <c r="AW9" s="169">
        <v>0.5</v>
      </c>
      <c r="AX9" s="89" t="s">
        <v>353</v>
      </c>
      <c r="AY9" s="352">
        <v>0.15</v>
      </c>
      <c r="AZ9" s="83">
        <v>0.5</v>
      </c>
      <c r="BA9" s="94" t="s">
        <v>151</v>
      </c>
      <c r="BB9" s="149">
        <v>0.2</v>
      </c>
      <c r="BC9" s="94"/>
      <c r="BD9" s="149">
        <v>0.3</v>
      </c>
      <c r="BE9" s="149">
        <v>0.2</v>
      </c>
      <c r="BF9" s="165">
        <f t="shared" si="1"/>
        <v>0.66666666666666674</v>
      </c>
      <c r="BG9" s="94"/>
      <c r="BH9" s="94"/>
      <c r="BI9" s="353" t="s">
        <v>354</v>
      </c>
      <c r="BJ9" s="267">
        <f t="shared" si="2"/>
        <v>0.2</v>
      </c>
      <c r="BK9" s="276" t="s">
        <v>294</v>
      </c>
      <c r="BL9" s="269"/>
      <c r="BM9" s="276">
        <v>0.6</v>
      </c>
      <c r="BN9" s="276"/>
      <c r="BO9" s="276"/>
      <c r="BP9" s="276"/>
      <c r="BQ9" s="354">
        <v>0</v>
      </c>
      <c r="BR9" s="294">
        <v>0</v>
      </c>
      <c r="BS9" s="280" t="s">
        <v>253</v>
      </c>
      <c r="BT9" s="267">
        <f>BB9/M9</f>
        <v>0.2</v>
      </c>
      <c r="BU9" s="286" t="s">
        <v>200</v>
      </c>
      <c r="BV9" s="286" t="s">
        <v>200</v>
      </c>
      <c r="BW9" s="267">
        <f>BT9/M9</f>
        <v>0.2</v>
      </c>
      <c r="BX9" s="285">
        <v>0</v>
      </c>
      <c r="BY9" s="293">
        <f>BX9/60</f>
        <v>0</v>
      </c>
      <c r="BZ9" s="281" t="s">
        <v>355</v>
      </c>
      <c r="CA9" s="267">
        <f>BW9/M9</f>
        <v>0.2</v>
      </c>
      <c r="CB9" s="286" t="s">
        <v>200</v>
      </c>
      <c r="CC9" s="286" t="s">
        <v>200</v>
      </c>
      <c r="CD9" s="288">
        <f>BT9/M9</f>
        <v>0.2</v>
      </c>
      <c r="CE9" s="290">
        <v>0</v>
      </c>
      <c r="CF9" s="293">
        <f t="shared" si="3"/>
        <v>0</v>
      </c>
      <c r="CG9" s="281" t="s">
        <v>293</v>
      </c>
      <c r="CH9" s="288">
        <f>CA9/M9</f>
        <v>0.2</v>
      </c>
      <c r="CI9" s="291" t="s">
        <v>200</v>
      </c>
      <c r="CJ9" s="291" t="s">
        <v>200</v>
      </c>
      <c r="CK9" s="288">
        <f>CA9/M9</f>
        <v>0.2</v>
      </c>
      <c r="CL9" s="276" t="s">
        <v>294</v>
      </c>
      <c r="CM9" s="309">
        <v>0.27</v>
      </c>
      <c r="CN9" s="331">
        <f t="shared" si="8"/>
        <v>0.45000000000000007</v>
      </c>
      <c r="CO9" s="281" t="s">
        <v>391</v>
      </c>
      <c r="CP9" s="332">
        <v>0.27</v>
      </c>
      <c r="CQ9" s="305" t="s">
        <v>200</v>
      </c>
      <c r="CR9" s="305" t="s">
        <v>200</v>
      </c>
      <c r="CS9" s="288">
        <v>0.21</v>
      </c>
      <c r="CT9" s="361"/>
    </row>
    <row r="10" spans="1:98" ht="240" x14ac:dyDescent="0.2">
      <c r="A10" s="295">
        <v>6</v>
      </c>
      <c r="B10" s="21" t="s">
        <v>35</v>
      </c>
      <c r="C10" s="32" t="s">
        <v>9</v>
      </c>
      <c r="D10" s="20" t="s">
        <v>10</v>
      </c>
      <c r="E10" s="33" t="s">
        <v>277</v>
      </c>
      <c r="F10" s="33" t="s">
        <v>243</v>
      </c>
      <c r="G10" s="16">
        <v>6</v>
      </c>
      <c r="H10" s="16">
        <v>10</v>
      </c>
      <c r="I10" s="16">
        <v>17</v>
      </c>
      <c r="J10" s="16">
        <v>20</v>
      </c>
      <c r="K10" s="333" t="s">
        <v>323</v>
      </c>
      <c r="L10" s="33" t="s">
        <v>64</v>
      </c>
      <c r="M10" s="20">
        <v>20</v>
      </c>
      <c r="N10" s="20">
        <v>20</v>
      </c>
      <c r="O10" s="20" t="s">
        <v>200</v>
      </c>
      <c r="P10" s="13">
        <f t="shared" si="4"/>
        <v>6</v>
      </c>
      <c r="Q10" s="13">
        <v>8</v>
      </c>
      <c r="R10" s="13">
        <v>6</v>
      </c>
      <c r="S10" s="13">
        <v>8</v>
      </c>
      <c r="T10" s="165">
        <f t="shared" si="0"/>
        <v>1.3333333333333333</v>
      </c>
      <c r="U10" s="17" t="s">
        <v>29</v>
      </c>
      <c r="V10" s="251">
        <f>Q10/M10</f>
        <v>0.4</v>
      </c>
      <c r="W10" s="155">
        <v>10</v>
      </c>
      <c r="X10" s="155"/>
      <c r="Y10" s="155"/>
      <c r="Z10" s="150">
        <v>4</v>
      </c>
      <c r="AA10" s="150">
        <v>1</v>
      </c>
      <c r="AB10" s="165">
        <f>AA10/4</f>
        <v>0.25</v>
      </c>
      <c r="AC10" s="17" t="s">
        <v>42</v>
      </c>
      <c r="AD10" s="150">
        <v>2</v>
      </c>
      <c r="AE10" s="165">
        <f>AD10/4</f>
        <v>0.5</v>
      </c>
      <c r="AF10" s="17" t="s">
        <v>55</v>
      </c>
      <c r="AG10" s="150">
        <v>2</v>
      </c>
      <c r="AH10" s="170">
        <f>AG10/4</f>
        <v>0.5</v>
      </c>
      <c r="AI10" s="39" t="s">
        <v>80</v>
      </c>
      <c r="AJ10" s="155">
        <v>3</v>
      </c>
      <c r="AK10" s="170">
        <f>AJ10/4</f>
        <v>0.75</v>
      </c>
      <c r="AL10" s="43" t="s">
        <v>356</v>
      </c>
      <c r="AM10" s="176">
        <v>3</v>
      </c>
      <c r="AN10" s="170">
        <f>AM10/4</f>
        <v>0.75</v>
      </c>
      <c r="AO10" s="78" t="s">
        <v>357</v>
      </c>
      <c r="AP10" s="150">
        <v>5</v>
      </c>
      <c r="AQ10" s="169">
        <f>AP10/4</f>
        <v>1.25</v>
      </c>
      <c r="AR10" s="17" t="s">
        <v>358</v>
      </c>
      <c r="AS10" s="178">
        <v>8</v>
      </c>
      <c r="AT10" s="169">
        <f>+AS10/4</f>
        <v>2</v>
      </c>
      <c r="AU10" s="17" t="s">
        <v>132</v>
      </c>
      <c r="AV10" s="178">
        <v>8</v>
      </c>
      <c r="AW10" s="169">
        <f>+AV10/Z10</f>
        <v>2</v>
      </c>
      <c r="AX10" s="89" t="s">
        <v>141</v>
      </c>
      <c r="AY10" s="159">
        <v>9</v>
      </c>
      <c r="AZ10" s="83">
        <f>+AY10/Z10</f>
        <v>2.25</v>
      </c>
      <c r="BA10" s="94" t="s">
        <v>153</v>
      </c>
      <c r="BB10" s="155">
        <v>19</v>
      </c>
      <c r="BC10" s="94"/>
      <c r="BD10" s="155">
        <v>10</v>
      </c>
      <c r="BE10" s="155">
        <v>19</v>
      </c>
      <c r="BF10" s="274">
        <f t="shared" si="1"/>
        <v>1.9</v>
      </c>
      <c r="BG10" s="165"/>
      <c r="BH10" s="165"/>
      <c r="BI10" s="162" t="s">
        <v>259</v>
      </c>
      <c r="BJ10" s="355">
        <f t="shared" si="2"/>
        <v>0.95</v>
      </c>
      <c r="BK10" s="354">
        <v>17</v>
      </c>
      <c r="BL10" s="269"/>
      <c r="BM10" s="354">
        <v>17</v>
      </c>
      <c r="BN10" s="356"/>
      <c r="BO10" s="356"/>
      <c r="BP10" s="356"/>
      <c r="BQ10" s="354">
        <v>19</v>
      </c>
      <c r="BR10" s="293">
        <f>BQ10/BM10</f>
        <v>1.1176470588235294</v>
      </c>
      <c r="BS10" s="162" t="s">
        <v>255</v>
      </c>
      <c r="BT10" s="277">
        <f>BE10/N10</f>
        <v>0.95</v>
      </c>
      <c r="BU10" s="287" t="s">
        <v>200</v>
      </c>
      <c r="BV10" s="287" t="s">
        <v>200</v>
      </c>
      <c r="BW10" s="277">
        <f>BE10/N10</f>
        <v>0.95</v>
      </c>
      <c r="BX10" s="354">
        <v>21</v>
      </c>
      <c r="BY10" s="293">
        <f>BX10/BM10</f>
        <v>1.2352941176470589</v>
      </c>
      <c r="BZ10" s="281" t="s">
        <v>283</v>
      </c>
      <c r="CA10" s="284">
        <f>19/20</f>
        <v>0.95</v>
      </c>
      <c r="CB10" s="286" t="s">
        <v>200</v>
      </c>
      <c r="CC10" s="286" t="s">
        <v>200</v>
      </c>
      <c r="CD10" s="288">
        <f>21/20</f>
        <v>1.05</v>
      </c>
      <c r="CE10" s="356">
        <v>23</v>
      </c>
      <c r="CF10" s="293">
        <f t="shared" si="3"/>
        <v>1.3529411764705883</v>
      </c>
      <c r="CG10" s="281" t="s">
        <v>295</v>
      </c>
      <c r="CH10" s="288">
        <f>CE10/M10</f>
        <v>1.1499999999999999</v>
      </c>
      <c r="CI10" s="286" t="s">
        <v>200</v>
      </c>
      <c r="CJ10" s="286" t="s">
        <v>200</v>
      </c>
      <c r="CK10" s="288">
        <f>CE10/M10</f>
        <v>1.1499999999999999</v>
      </c>
      <c r="CL10" s="354">
        <v>17</v>
      </c>
      <c r="CM10" s="344">
        <v>34</v>
      </c>
      <c r="CN10" s="331">
        <f t="shared" si="8"/>
        <v>2</v>
      </c>
      <c r="CO10" s="357" t="s">
        <v>392</v>
      </c>
      <c r="CP10" s="288">
        <f>34/M10</f>
        <v>1.7</v>
      </c>
      <c r="CQ10" s="305" t="s">
        <v>200</v>
      </c>
      <c r="CR10" s="373" t="s">
        <v>200</v>
      </c>
      <c r="CS10" s="374">
        <f>CM10/M10</f>
        <v>1.7</v>
      </c>
      <c r="CT10" s="375"/>
    </row>
    <row r="11" spans="1:98" ht="365.25" customHeight="1" x14ac:dyDescent="0.2">
      <c r="A11" s="295">
        <v>7</v>
      </c>
      <c r="B11" s="22" t="s">
        <v>35</v>
      </c>
      <c r="C11" s="76" t="s">
        <v>11</v>
      </c>
      <c r="D11" s="16" t="s">
        <v>8</v>
      </c>
      <c r="E11" s="33" t="s">
        <v>84</v>
      </c>
      <c r="F11" s="33" t="s">
        <v>243</v>
      </c>
      <c r="G11" s="77">
        <v>175</v>
      </c>
      <c r="H11" s="77">
        <v>200</v>
      </c>
      <c r="I11" s="77">
        <v>225</v>
      </c>
      <c r="J11" s="35">
        <v>250</v>
      </c>
      <c r="K11" s="333" t="s">
        <v>322</v>
      </c>
      <c r="L11" s="38" t="s">
        <v>67</v>
      </c>
      <c r="M11" s="310">
        <v>500</v>
      </c>
      <c r="N11" s="310">
        <v>500</v>
      </c>
      <c r="O11" s="37" t="s">
        <v>200</v>
      </c>
      <c r="P11" s="23">
        <f t="shared" si="4"/>
        <v>175</v>
      </c>
      <c r="Q11" s="23">
        <v>185</v>
      </c>
      <c r="R11" s="23">
        <v>175</v>
      </c>
      <c r="S11" s="23">
        <v>185</v>
      </c>
      <c r="T11" s="166">
        <f>(Q11-150)/(P11-150)</f>
        <v>1.4</v>
      </c>
      <c r="U11" s="24" t="s">
        <v>30</v>
      </c>
      <c r="V11" s="262">
        <f>Q11/N11</f>
        <v>0.37</v>
      </c>
      <c r="W11" s="156">
        <v>200</v>
      </c>
      <c r="X11" s="156"/>
      <c r="Y11" s="156"/>
      <c r="Z11" s="157">
        <v>25</v>
      </c>
      <c r="AA11" s="147">
        <v>0</v>
      </c>
      <c r="AB11" s="166">
        <f>AA11/25</f>
        <v>0</v>
      </c>
      <c r="AC11" s="24" t="s">
        <v>43</v>
      </c>
      <c r="AD11" s="147">
        <v>0</v>
      </c>
      <c r="AE11" s="166">
        <f>AD11/25</f>
        <v>0</v>
      </c>
      <c r="AF11" s="24" t="s">
        <v>54</v>
      </c>
      <c r="AG11" s="147">
        <v>0</v>
      </c>
      <c r="AH11" s="172">
        <f>AG11/25</f>
        <v>0</v>
      </c>
      <c r="AI11" s="41" t="s">
        <v>79</v>
      </c>
      <c r="AJ11" s="150">
        <v>15</v>
      </c>
      <c r="AK11" s="170">
        <f>AJ11/25</f>
        <v>0.6</v>
      </c>
      <c r="AL11" s="41" t="s">
        <v>99</v>
      </c>
      <c r="AM11" s="174">
        <v>33</v>
      </c>
      <c r="AN11" s="170">
        <f>AM11/25</f>
        <v>1.32</v>
      </c>
      <c r="AO11" s="17" t="s">
        <v>111</v>
      </c>
      <c r="AP11" s="150">
        <v>55</v>
      </c>
      <c r="AQ11" s="170">
        <f>AP11/25</f>
        <v>2.2000000000000002</v>
      </c>
      <c r="AR11" s="17" t="s">
        <v>116</v>
      </c>
      <c r="AS11" s="178">
        <v>77</v>
      </c>
      <c r="AT11" s="170">
        <f>+AS11/25</f>
        <v>3.08</v>
      </c>
      <c r="AU11" s="17" t="s">
        <v>127</v>
      </c>
      <c r="AV11" s="178">
        <v>117</v>
      </c>
      <c r="AW11" s="170">
        <f>+AV11/25</f>
        <v>4.68</v>
      </c>
      <c r="AX11" s="358" t="s">
        <v>145</v>
      </c>
      <c r="AY11" s="159">
        <v>150</v>
      </c>
      <c r="AZ11" s="84">
        <f>+AY11/25</f>
        <v>6</v>
      </c>
      <c r="BA11" s="94" t="s">
        <v>359</v>
      </c>
      <c r="BB11" s="156">
        <v>372</v>
      </c>
      <c r="BC11" s="94"/>
      <c r="BD11" s="156">
        <v>200</v>
      </c>
      <c r="BE11" s="156">
        <v>372</v>
      </c>
      <c r="BF11" s="279">
        <f>(BB11-150)/(W11-150)</f>
        <v>4.4400000000000004</v>
      </c>
      <c r="BG11" s="94"/>
      <c r="BH11" s="94"/>
      <c r="BI11" s="162" t="s">
        <v>360</v>
      </c>
      <c r="BJ11" s="251">
        <f>(BE11-150)/(250-150)</f>
        <v>2.2200000000000002</v>
      </c>
      <c r="BK11" s="263">
        <v>472</v>
      </c>
      <c r="BL11" s="178"/>
      <c r="BM11" s="263">
        <v>472</v>
      </c>
      <c r="BN11" s="246"/>
      <c r="BO11" s="246"/>
      <c r="BP11" s="162"/>
      <c r="BQ11" s="354">
        <v>372</v>
      </c>
      <c r="BR11" s="293">
        <f>BQ11/BK11</f>
        <v>0.78813559322033899</v>
      </c>
      <c r="BS11" s="162" t="s">
        <v>256</v>
      </c>
      <c r="BT11" s="355">
        <f>(BE11-150)/(250-150)</f>
        <v>2.2200000000000002</v>
      </c>
      <c r="BU11" s="359" t="s">
        <v>200</v>
      </c>
      <c r="BV11" s="359" t="s">
        <v>200</v>
      </c>
      <c r="BW11" s="355">
        <f>(BE11-150)/(250-150)</f>
        <v>2.2200000000000002</v>
      </c>
      <c r="BX11" s="354">
        <v>372</v>
      </c>
      <c r="BY11" s="293">
        <f>BX11/472</f>
        <v>0.78813559322033899</v>
      </c>
      <c r="BZ11" s="281" t="s">
        <v>284</v>
      </c>
      <c r="CA11" s="355">
        <f>(BE11-150)/(250-150)</f>
        <v>2.2200000000000002</v>
      </c>
      <c r="CB11" s="286" t="s">
        <v>200</v>
      </c>
      <c r="CC11" s="286" t="s">
        <v>200</v>
      </c>
      <c r="CD11" s="288">
        <f>(BE11-150)/(250-150)</f>
        <v>2.2200000000000002</v>
      </c>
      <c r="CE11" s="356">
        <v>372</v>
      </c>
      <c r="CF11" s="293">
        <f>CE11/BK11</f>
        <v>0.78813559322033899</v>
      </c>
      <c r="CG11" s="281" t="s">
        <v>296</v>
      </c>
      <c r="CH11" s="288">
        <f>(BE11-150)/(250-150)</f>
        <v>2.2200000000000002</v>
      </c>
      <c r="CI11" s="286" t="s">
        <v>200</v>
      </c>
      <c r="CJ11" s="286" t="s">
        <v>200</v>
      </c>
      <c r="CK11" s="288">
        <f>(BE11-150)/(250-150)</f>
        <v>2.2200000000000002</v>
      </c>
      <c r="CL11" s="263">
        <v>472</v>
      </c>
      <c r="CM11" s="305">
        <v>935</v>
      </c>
      <c r="CN11" s="331">
        <f t="shared" si="8"/>
        <v>1.9809322033898304</v>
      </c>
      <c r="CO11" s="281" t="s">
        <v>393</v>
      </c>
      <c r="CP11" s="275">
        <f>(CM11-150)/(500-150)</f>
        <v>2.2428571428571429</v>
      </c>
      <c r="CQ11" s="76" t="s">
        <v>200</v>
      </c>
      <c r="CR11" s="76" t="s">
        <v>200</v>
      </c>
      <c r="CS11" s="288">
        <f>(CM11-150)/(500-150)</f>
        <v>2.2428571428571429</v>
      </c>
      <c r="CT11" s="361"/>
    </row>
    <row r="12" spans="1:98" ht="402.75" customHeight="1" x14ac:dyDescent="0.2">
      <c r="A12" s="295">
        <v>8</v>
      </c>
      <c r="B12" s="25" t="s">
        <v>298</v>
      </c>
      <c r="C12" s="25" t="s">
        <v>361</v>
      </c>
      <c r="D12" s="26" t="s">
        <v>4</v>
      </c>
      <c r="E12" s="33" t="s">
        <v>85</v>
      </c>
      <c r="F12" s="278" t="s">
        <v>242</v>
      </c>
      <c r="G12" s="27">
        <v>0.1</v>
      </c>
      <c r="H12" s="27">
        <v>0.3</v>
      </c>
      <c r="I12" s="27">
        <v>0.3</v>
      </c>
      <c r="J12" s="27">
        <v>0.3</v>
      </c>
      <c r="K12" s="333" t="s">
        <v>324</v>
      </c>
      <c r="L12" s="33" t="s">
        <v>67</v>
      </c>
      <c r="M12" s="28">
        <v>1</v>
      </c>
      <c r="N12" s="28">
        <v>1</v>
      </c>
      <c r="O12" s="28" t="s">
        <v>200</v>
      </c>
      <c r="P12" s="28">
        <v>0.1</v>
      </c>
      <c r="Q12" s="28">
        <v>0.1</v>
      </c>
      <c r="R12" s="28">
        <v>0.1</v>
      </c>
      <c r="S12" s="28">
        <v>0.1</v>
      </c>
      <c r="T12" s="165">
        <f>Q12/P12</f>
        <v>1</v>
      </c>
      <c r="U12" s="17" t="s">
        <v>47</v>
      </c>
      <c r="V12" s="264">
        <f>S12/M12</f>
        <v>0.1</v>
      </c>
      <c r="W12" s="151">
        <v>0.3</v>
      </c>
      <c r="X12" s="151"/>
      <c r="Y12" s="151"/>
      <c r="Z12" s="151">
        <v>0.3</v>
      </c>
      <c r="AA12" s="151">
        <v>0.01</v>
      </c>
      <c r="AB12" s="166">
        <f t="shared" si="5"/>
        <v>3.3333333333333333E-2</v>
      </c>
      <c r="AC12" s="17" t="s">
        <v>362</v>
      </c>
      <c r="AD12" s="149">
        <v>0.02</v>
      </c>
      <c r="AE12" s="165">
        <f>AD12/Z12</f>
        <v>6.6666666666666666E-2</v>
      </c>
      <c r="AF12" s="17" t="s">
        <v>61</v>
      </c>
      <c r="AG12" s="149">
        <v>0.05</v>
      </c>
      <c r="AH12" s="165">
        <f t="shared" si="6"/>
        <v>0.16666666666666669</v>
      </c>
      <c r="AI12" s="17" t="s">
        <v>76</v>
      </c>
      <c r="AJ12" s="151">
        <v>0.06</v>
      </c>
      <c r="AK12" s="165">
        <f t="shared" si="7"/>
        <v>0.2</v>
      </c>
      <c r="AL12" s="17" t="s">
        <v>100</v>
      </c>
      <c r="AM12" s="177">
        <v>0.09</v>
      </c>
      <c r="AN12" s="165">
        <f>AM12/Z12</f>
        <v>0.3</v>
      </c>
      <c r="AO12" s="17" t="s">
        <v>110</v>
      </c>
      <c r="AP12" s="177">
        <v>0.16</v>
      </c>
      <c r="AQ12" s="170">
        <f>AP12/Z12</f>
        <v>0.53333333333333333</v>
      </c>
      <c r="AR12" s="17" t="s">
        <v>363</v>
      </c>
      <c r="AS12" s="177">
        <v>0.21</v>
      </c>
      <c r="AT12" s="170">
        <f>+AS12/Z12</f>
        <v>0.7</v>
      </c>
      <c r="AU12" s="17" t="s">
        <v>364</v>
      </c>
      <c r="AV12" s="180">
        <v>0.23499999999999999</v>
      </c>
      <c r="AW12" s="170">
        <f>+AV12/Z12</f>
        <v>0.78333333333333333</v>
      </c>
      <c r="AX12" s="17" t="s">
        <v>365</v>
      </c>
      <c r="AY12" s="140">
        <v>0.27</v>
      </c>
      <c r="AZ12" s="84">
        <f>+AY12/Z12</f>
        <v>0.90000000000000013</v>
      </c>
      <c r="BA12" s="162" t="s">
        <v>366</v>
      </c>
      <c r="BB12" s="151">
        <v>0.3</v>
      </c>
      <c r="BC12" s="162"/>
      <c r="BD12" s="151">
        <v>0.3</v>
      </c>
      <c r="BE12" s="151">
        <v>0.3</v>
      </c>
      <c r="BF12" s="279">
        <f>BE12/BD12</f>
        <v>1</v>
      </c>
      <c r="BG12" s="162"/>
      <c r="BH12" s="162"/>
      <c r="BI12" s="162" t="s">
        <v>230</v>
      </c>
      <c r="BJ12" s="251">
        <f>(BE12+Q12)</f>
        <v>0.4</v>
      </c>
      <c r="BK12" s="265">
        <v>0.3</v>
      </c>
      <c r="BL12" s="175"/>
      <c r="BM12" s="265">
        <v>0.3</v>
      </c>
      <c r="BN12" s="175"/>
      <c r="BO12" s="246"/>
      <c r="BP12" s="162"/>
      <c r="BQ12" s="360">
        <v>0.01</v>
      </c>
      <c r="BR12" s="293">
        <f>BQ12/BK12</f>
        <v>3.3333333333333333E-2</v>
      </c>
      <c r="BS12" s="162" t="s">
        <v>257</v>
      </c>
      <c r="BT12" s="264">
        <f>BE12+Q12</f>
        <v>0.4</v>
      </c>
      <c r="BU12" s="7" t="s">
        <v>200</v>
      </c>
      <c r="BV12" s="7" t="s">
        <v>200</v>
      </c>
      <c r="BW12" s="264">
        <f>BE12+Q12+BQ12</f>
        <v>0.41000000000000003</v>
      </c>
      <c r="BX12" s="285">
        <v>1.4999999999999999E-2</v>
      </c>
      <c r="BY12" s="293">
        <f>BX12/BM12</f>
        <v>0.05</v>
      </c>
      <c r="BZ12" s="281" t="s">
        <v>367</v>
      </c>
      <c r="CA12" s="264">
        <f>BE12+Q12</f>
        <v>0.4</v>
      </c>
      <c r="CB12" s="286" t="s">
        <v>200</v>
      </c>
      <c r="CC12" s="286" t="s">
        <v>200</v>
      </c>
      <c r="CD12" s="275">
        <f>BE12+Q12+BQ12+BX12</f>
        <v>0.42500000000000004</v>
      </c>
      <c r="CE12" s="292">
        <v>2.5000000000000001E-2</v>
      </c>
      <c r="CF12" s="293">
        <f>CE12/BK12</f>
        <v>8.3333333333333343E-2</v>
      </c>
      <c r="CG12" s="281" t="s">
        <v>297</v>
      </c>
      <c r="CH12" s="288">
        <f>CA12</f>
        <v>0.4</v>
      </c>
      <c r="CI12" s="286" t="s">
        <v>200</v>
      </c>
      <c r="CJ12" s="286" t="s">
        <v>200</v>
      </c>
      <c r="CK12" s="288">
        <f>CE12+BX12+BQ12+BJ12</f>
        <v>0.45</v>
      </c>
      <c r="CL12" s="265">
        <v>0.3</v>
      </c>
      <c r="CM12" s="334">
        <v>0.3</v>
      </c>
      <c r="CN12" s="331">
        <f t="shared" si="8"/>
        <v>1</v>
      </c>
      <c r="CO12" s="281" t="s">
        <v>394</v>
      </c>
      <c r="CP12" s="288">
        <v>0.7</v>
      </c>
      <c r="CQ12" s="305" t="s">
        <v>200</v>
      </c>
      <c r="CR12" s="305" t="s">
        <v>200</v>
      </c>
      <c r="CS12" s="271">
        <v>0.58199999999999996</v>
      </c>
      <c r="CT12" s="361"/>
    </row>
    <row r="13" spans="1:98" ht="17.25" customHeight="1" x14ac:dyDescent="0.2">
      <c r="B13" s="385"/>
      <c r="C13" s="385"/>
      <c r="D13" s="385"/>
      <c r="E13" s="385"/>
      <c r="F13" s="370"/>
      <c r="G13" s="2"/>
      <c r="H13" s="2"/>
      <c r="I13" s="2"/>
      <c r="J13" s="2"/>
      <c r="K13" s="2"/>
      <c r="L13" s="2"/>
      <c r="M13" s="2"/>
      <c r="N13" s="2"/>
      <c r="O13" s="2"/>
      <c r="AM13" s="85"/>
      <c r="AQ13" s="85"/>
      <c r="AS13" s="86"/>
      <c r="BI13" s="250"/>
      <c r="BT13" s="85"/>
      <c r="BU13" s="85"/>
      <c r="BV13" s="85"/>
      <c r="BW13" s="85"/>
      <c r="BX13" s="85"/>
      <c r="BY13" s="85"/>
      <c r="BZ13" s="85"/>
      <c r="CA13" s="85"/>
      <c r="CB13" s="85"/>
      <c r="CC13" s="85"/>
      <c r="CD13" s="85"/>
      <c r="CE13" s="85"/>
      <c r="CF13" s="85"/>
      <c r="CG13" s="85"/>
      <c r="CH13" s="85"/>
      <c r="CI13" s="85"/>
      <c r="CJ13" s="85"/>
      <c r="CK13" s="85"/>
      <c r="CL13" s="85"/>
    </row>
    <row r="14" spans="1:98" ht="23.25" hidden="1" customHeight="1" x14ac:dyDescent="0.2">
      <c r="B14" s="385"/>
      <c r="C14" s="385"/>
      <c r="D14" s="370"/>
      <c r="E14" s="370"/>
      <c r="F14" s="370"/>
      <c r="G14" s="2"/>
      <c r="H14" s="2"/>
      <c r="I14" s="2"/>
      <c r="J14" s="2"/>
      <c r="K14" s="81"/>
      <c r="L14" s="2"/>
      <c r="M14" s="2"/>
      <c r="N14" s="2"/>
      <c r="O14" s="2"/>
      <c r="T14" s="3">
        <v>42180000</v>
      </c>
      <c r="V14" s="85">
        <f>U15/T14</f>
        <v>0.38481990137505928</v>
      </c>
      <c r="AQ14" s="85"/>
      <c r="AS14" s="85"/>
      <c r="AV14" s="87"/>
      <c r="BI14" s="250"/>
      <c r="BJ14" s="122"/>
      <c r="BK14" s="122"/>
      <c r="BL14" s="122"/>
      <c r="BM14" s="122"/>
      <c r="BN14" s="122"/>
    </row>
    <row r="15" spans="1:98" hidden="1" x14ac:dyDescent="0.2">
      <c r="B15" s="2"/>
      <c r="C15" s="2"/>
      <c r="D15" s="2"/>
      <c r="E15" s="2"/>
      <c r="F15" s="2"/>
      <c r="G15" s="2"/>
      <c r="H15" s="2"/>
      <c r="I15" s="2"/>
      <c r="J15" s="2"/>
      <c r="K15" s="2"/>
      <c r="L15" s="2"/>
      <c r="M15" s="2"/>
      <c r="N15" s="2"/>
      <c r="O15" s="2"/>
      <c r="T15" s="86">
        <v>25329445.940000001</v>
      </c>
      <c r="U15" s="86">
        <v>16231703.439999999</v>
      </c>
      <c r="V15" s="85">
        <f>U15/T15</f>
        <v>0.64082346998230466</v>
      </c>
      <c r="AS15" s="85"/>
    </row>
    <row r="16" spans="1:98" x14ac:dyDescent="0.2">
      <c r="C16" s="2"/>
      <c r="D16" s="2"/>
      <c r="E16" s="2"/>
      <c r="F16" s="2"/>
      <c r="G16" s="2"/>
      <c r="H16" s="92"/>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85"/>
    </row>
    <row r="23" spans="3:71" x14ac:dyDescent="0.2">
      <c r="BJ23" s="93"/>
      <c r="BK23" s="93"/>
      <c r="BL23" s="93"/>
      <c r="BM23" s="93"/>
      <c r="BN23" s="93"/>
    </row>
    <row r="25" spans="3:71" ht="15.75" x14ac:dyDescent="0.25">
      <c r="BO25" s="98"/>
      <c r="BP25" s="98"/>
      <c r="BQ25" s="98"/>
      <c r="BR25" s="98"/>
    </row>
  </sheetData>
  <mergeCells count="18">
    <mergeCell ref="B13:E13"/>
    <mergeCell ref="B14:C14"/>
    <mergeCell ref="M3:M4"/>
    <mergeCell ref="N3:N4"/>
    <mergeCell ref="O3:O4"/>
    <mergeCell ref="P3:V3"/>
    <mergeCell ref="W3:BJ3"/>
    <mergeCell ref="B1:CK1"/>
    <mergeCell ref="A3:A4"/>
    <mergeCell ref="B3:B4"/>
    <mergeCell ref="C3:C4"/>
    <mergeCell ref="D3:D4"/>
    <mergeCell ref="E3:E4"/>
    <mergeCell ref="F3:F4"/>
    <mergeCell ref="G3:J3"/>
    <mergeCell ref="K3:K4"/>
    <mergeCell ref="L3:L4"/>
    <mergeCell ref="BK3:CT3"/>
  </mergeCells>
  <conditionalFormatting sqref="T5:T12 AB11:AB12">
    <cfRule type="cellIs" dxfId="365" priority="211" operator="lessThan">
      <formula>0.4</formula>
    </cfRule>
    <cfRule type="cellIs" dxfId="364" priority="212" operator="between">
      <formula>0.4</formula>
      <formula>0.799</formula>
    </cfRule>
    <cfRule type="cellIs" dxfId="363" priority="213" operator="greaterThanOrEqual">
      <formula>0.8</formula>
    </cfRule>
  </conditionalFormatting>
  <conditionalFormatting sqref="AB10">
    <cfRule type="cellIs" dxfId="362" priority="208" operator="lessThan">
      <formula>0.4</formula>
    </cfRule>
    <cfRule type="cellIs" dxfId="361" priority="209" operator="between">
      <formula>0.4</formula>
      <formula>0.799</formula>
    </cfRule>
    <cfRule type="cellIs" dxfId="360" priority="210" operator="greaterThanOrEqual">
      <formula>0.8</formula>
    </cfRule>
  </conditionalFormatting>
  <conditionalFormatting sqref="AH5:AH6">
    <cfRule type="cellIs" dxfId="359" priority="205" operator="lessThan">
      <formula>0.4</formula>
    </cfRule>
    <cfRule type="cellIs" dxfId="358" priority="206" operator="between">
      <formula>0.4</formula>
      <formula>0.799</formula>
    </cfRule>
    <cfRule type="cellIs" dxfId="357" priority="207" operator="greaterThanOrEqual">
      <formula>0.8</formula>
    </cfRule>
  </conditionalFormatting>
  <conditionalFormatting sqref="AB7:AB9">
    <cfRule type="cellIs" dxfId="356" priority="202" operator="lessThan">
      <formula>0.4</formula>
    </cfRule>
    <cfRule type="cellIs" dxfId="355" priority="203" operator="between">
      <formula>0.4</formula>
      <formula>0.799</formula>
    </cfRule>
    <cfRule type="cellIs" dxfId="354" priority="204" operator="greaterThanOrEqual">
      <formula>0.8</formula>
    </cfRule>
  </conditionalFormatting>
  <conditionalFormatting sqref="AE7:AE12">
    <cfRule type="cellIs" dxfId="353" priority="199" operator="lessThan">
      <formula>0.4</formula>
    </cfRule>
    <cfRule type="cellIs" dxfId="352" priority="200" operator="between">
      <formula>0.4</formula>
      <formula>0.799</formula>
    </cfRule>
    <cfRule type="cellIs" dxfId="351" priority="201" operator="greaterThanOrEqual">
      <formula>0.8</formula>
    </cfRule>
  </conditionalFormatting>
  <conditionalFormatting sqref="AH7:AH12">
    <cfRule type="cellIs" dxfId="350" priority="196" operator="lessThan">
      <formula>0.4</formula>
    </cfRule>
    <cfRule type="cellIs" dxfId="349" priority="197" operator="between">
      <formula>0.4</formula>
      <formula>0.799</formula>
    </cfRule>
    <cfRule type="cellIs" dxfId="348" priority="198" operator="greaterThanOrEqual">
      <formula>0.8</formula>
    </cfRule>
  </conditionalFormatting>
  <conditionalFormatting sqref="AB5:AB6">
    <cfRule type="cellIs" dxfId="347" priority="193" operator="lessThan">
      <formula>0.4</formula>
    </cfRule>
    <cfRule type="cellIs" dxfId="346" priority="194" operator="between">
      <formula>0.4</formula>
      <formula>0.799</formula>
    </cfRule>
    <cfRule type="cellIs" dxfId="345" priority="195" operator="greaterThanOrEqual">
      <formula>0.8</formula>
    </cfRule>
  </conditionalFormatting>
  <conditionalFormatting sqref="AE5:AE6">
    <cfRule type="cellIs" dxfId="344" priority="190" operator="lessThan">
      <formula>0.4</formula>
    </cfRule>
    <cfRule type="cellIs" dxfId="343" priority="191" operator="between">
      <formula>0.4</formula>
      <formula>0.799</formula>
    </cfRule>
    <cfRule type="cellIs" dxfId="342" priority="192" operator="greaterThanOrEqual">
      <formula>0.8</formula>
    </cfRule>
  </conditionalFormatting>
  <conditionalFormatting sqref="AK5:AK12">
    <cfRule type="cellIs" dxfId="341" priority="187" operator="lessThan">
      <formula>0.4</formula>
    </cfRule>
    <cfRule type="cellIs" dxfId="340" priority="188" operator="between">
      <formula>0.4</formula>
      <formula>0.799</formula>
    </cfRule>
    <cfRule type="cellIs" dxfId="339" priority="189" operator="greaterThanOrEqual">
      <formula>0.8</formula>
    </cfRule>
  </conditionalFormatting>
  <conditionalFormatting sqref="AN10">
    <cfRule type="cellIs" dxfId="338" priority="184" operator="lessThan">
      <formula>0.4</formula>
    </cfRule>
    <cfRule type="cellIs" dxfId="337" priority="185" operator="between">
      <formula>0.4</formula>
      <formula>0.799</formula>
    </cfRule>
    <cfRule type="cellIs" dxfId="336" priority="186" operator="greaterThanOrEqual">
      <formula>0.8</formula>
    </cfRule>
  </conditionalFormatting>
  <conditionalFormatting sqref="AN8">
    <cfRule type="cellIs" dxfId="335" priority="181" operator="lessThan">
      <formula>0.4</formula>
    </cfRule>
    <cfRule type="cellIs" dxfId="334" priority="182" operator="between">
      <formula>0.4</formula>
      <formula>0.799</formula>
    </cfRule>
    <cfRule type="cellIs" dxfId="333" priority="183" operator="greaterThanOrEqual">
      <formula>0.8</formula>
    </cfRule>
  </conditionalFormatting>
  <conditionalFormatting sqref="AN6:AN7">
    <cfRule type="cellIs" dxfId="332" priority="178" operator="lessThan">
      <formula>0.4</formula>
    </cfRule>
    <cfRule type="cellIs" dxfId="331" priority="179" operator="between">
      <formula>0.4</formula>
      <formula>0.799</formula>
    </cfRule>
    <cfRule type="cellIs" dxfId="330" priority="180" operator="greaterThanOrEqual">
      <formula>0.8</formula>
    </cfRule>
  </conditionalFormatting>
  <conditionalFormatting sqref="AN5">
    <cfRule type="cellIs" dxfId="329" priority="175" operator="lessThan">
      <formula>0.4</formula>
    </cfRule>
    <cfRule type="cellIs" dxfId="328" priority="176" operator="between">
      <formula>0.4</formula>
      <formula>0.799</formula>
    </cfRule>
    <cfRule type="cellIs" dxfId="327" priority="177" operator="greaterThanOrEqual">
      <formula>0.8</formula>
    </cfRule>
  </conditionalFormatting>
  <conditionalFormatting sqref="AN9">
    <cfRule type="cellIs" dxfId="326" priority="172" operator="lessThan">
      <formula>0.4</formula>
    </cfRule>
    <cfRule type="cellIs" dxfId="325" priority="173" operator="between">
      <formula>0.4</formula>
      <formula>0.799</formula>
    </cfRule>
    <cfRule type="cellIs" dxfId="324" priority="174" operator="greaterThanOrEqual">
      <formula>0.8</formula>
    </cfRule>
  </conditionalFormatting>
  <conditionalFormatting sqref="AN12">
    <cfRule type="cellIs" dxfId="323" priority="169" operator="lessThan">
      <formula>0.4</formula>
    </cfRule>
    <cfRule type="cellIs" dxfId="322" priority="170" operator="between">
      <formula>0.4</formula>
      <formula>0.799</formula>
    </cfRule>
    <cfRule type="cellIs" dxfId="321" priority="171" operator="greaterThanOrEqual">
      <formula>0.8</formula>
    </cfRule>
  </conditionalFormatting>
  <conditionalFormatting sqref="AN11">
    <cfRule type="cellIs" dxfId="320" priority="166" operator="lessThan">
      <formula>0.4</formula>
    </cfRule>
    <cfRule type="cellIs" dxfId="319" priority="167" operator="between">
      <formula>0.4</formula>
      <formula>0.799</formula>
    </cfRule>
    <cfRule type="cellIs" dxfId="318" priority="168" operator="greaterThanOrEqual">
      <formula>0.8</formula>
    </cfRule>
  </conditionalFormatting>
  <conditionalFormatting sqref="AQ11:AQ12">
    <cfRule type="cellIs" dxfId="317" priority="163" operator="lessThan">
      <formula>0.4</formula>
    </cfRule>
    <cfRule type="cellIs" dxfId="316" priority="164" operator="between">
      <formula>0.4</formula>
      <formula>0.799</formula>
    </cfRule>
    <cfRule type="cellIs" dxfId="315" priority="165" operator="greaterThanOrEqual">
      <formula>0.8</formula>
    </cfRule>
  </conditionalFormatting>
  <conditionalFormatting sqref="AQ5:AQ10">
    <cfRule type="cellIs" dxfId="314" priority="160" operator="lessThan">
      <formula>0.4</formula>
    </cfRule>
    <cfRule type="cellIs" dxfId="313" priority="161" operator="between">
      <formula>0.4</formula>
      <formula>0.799</formula>
    </cfRule>
    <cfRule type="cellIs" dxfId="312" priority="162" operator="greaterThanOrEqual">
      <formula>0.8</formula>
    </cfRule>
  </conditionalFormatting>
  <conditionalFormatting sqref="AT9">
    <cfRule type="cellIs" dxfId="311" priority="157" operator="lessThan">
      <formula>0.4</formula>
    </cfRule>
    <cfRule type="cellIs" dxfId="310" priority="158" operator="between">
      <formula>0.4</formula>
      <formula>0.799</formula>
    </cfRule>
    <cfRule type="cellIs" dxfId="309" priority="159" operator="greaterThanOrEqual">
      <formula>0.8</formula>
    </cfRule>
  </conditionalFormatting>
  <conditionalFormatting sqref="AT11">
    <cfRule type="cellIs" dxfId="308" priority="154" operator="lessThan">
      <formula>0.4</formula>
    </cfRule>
    <cfRule type="cellIs" dxfId="307" priority="155" operator="between">
      <formula>0.4</formula>
      <formula>0.799</formula>
    </cfRule>
    <cfRule type="cellIs" dxfId="306" priority="156" operator="greaterThanOrEqual">
      <formula>0.8</formula>
    </cfRule>
  </conditionalFormatting>
  <conditionalFormatting sqref="AT5">
    <cfRule type="cellIs" dxfId="305" priority="151" operator="lessThan">
      <formula>0.4</formula>
    </cfRule>
    <cfRule type="cellIs" dxfId="304" priority="152" operator="between">
      <formula>0.4</formula>
      <formula>0.799</formula>
    </cfRule>
    <cfRule type="cellIs" dxfId="303" priority="153" operator="greaterThanOrEqual">
      <formula>0.8</formula>
    </cfRule>
  </conditionalFormatting>
  <conditionalFormatting sqref="AT7">
    <cfRule type="cellIs" dxfId="302" priority="148" operator="lessThan">
      <formula>0.4</formula>
    </cfRule>
    <cfRule type="cellIs" dxfId="301" priority="149" operator="between">
      <formula>0.4</formula>
      <formula>0.799</formula>
    </cfRule>
    <cfRule type="cellIs" dxfId="300" priority="150" operator="greaterThanOrEqual">
      <formula>0.8</formula>
    </cfRule>
  </conditionalFormatting>
  <conditionalFormatting sqref="AT6">
    <cfRule type="cellIs" dxfId="299" priority="145" operator="lessThan">
      <formula>0.4</formula>
    </cfRule>
    <cfRule type="cellIs" dxfId="298" priority="146" operator="between">
      <formula>0.4</formula>
      <formula>0.799</formula>
    </cfRule>
    <cfRule type="cellIs" dxfId="297" priority="147" operator="greaterThanOrEqual">
      <formula>0.8</formula>
    </cfRule>
  </conditionalFormatting>
  <conditionalFormatting sqref="AT8">
    <cfRule type="cellIs" dxfId="296" priority="142" operator="lessThan">
      <formula>0.4</formula>
    </cfRule>
    <cfRule type="cellIs" dxfId="295" priority="143" operator="between">
      <formula>0.4</formula>
      <formula>0.799</formula>
    </cfRule>
    <cfRule type="cellIs" dxfId="294" priority="144" operator="greaterThanOrEqual">
      <formula>0.8</formula>
    </cfRule>
  </conditionalFormatting>
  <conditionalFormatting sqref="AT10">
    <cfRule type="cellIs" dxfId="293" priority="139" operator="lessThan">
      <formula>0.4</formula>
    </cfRule>
    <cfRule type="cellIs" dxfId="292" priority="140" operator="between">
      <formula>0.4</formula>
      <formula>0.799</formula>
    </cfRule>
    <cfRule type="cellIs" dxfId="291" priority="141" operator="greaterThanOrEqual">
      <formula>0.8</formula>
    </cfRule>
  </conditionalFormatting>
  <conditionalFormatting sqref="AT12">
    <cfRule type="cellIs" dxfId="290" priority="136" operator="lessThan">
      <formula>0.4</formula>
    </cfRule>
    <cfRule type="cellIs" dxfId="289" priority="137" operator="between">
      <formula>0.4</formula>
      <formula>0.799</formula>
    </cfRule>
    <cfRule type="cellIs" dxfId="288" priority="138" operator="greaterThanOrEqual">
      <formula>0.8</formula>
    </cfRule>
  </conditionalFormatting>
  <conditionalFormatting sqref="AW11">
    <cfRule type="cellIs" dxfId="287" priority="133" operator="lessThan">
      <formula>0.4</formula>
    </cfRule>
    <cfRule type="cellIs" dxfId="286" priority="134" operator="between">
      <formula>0.4</formula>
      <formula>0.799</formula>
    </cfRule>
    <cfRule type="cellIs" dxfId="285" priority="135" operator="greaterThanOrEqual">
      <formula>0.8</formula>
    </cfRule>
  </conditionalFormatting>
  <conditionalFormatting sqref="AW12">
    <cfRule type="cellIs" dxfId="284" priority="130" operator="lessThan">
      <formula>0.4</formula>
    </cfRule>
    <cfRule type="cellIs" dxfId="283" priority="131" operator="between">
      <formula>0.4</formula>
      <formula>0.799</formula>
    </cfRule>
    <cfRule type="cellIs" dxfId="282" priority="132" operator="greaterThanOrEqual">
      <formula>0.8</formula>
    </cfRule>
  </conditionalFormatting>
  <conditionalFormatting sqref="AW9">
    <cfRule type="cellIs" dxfId="281" priority="127" operator="lessThan">
      <formula>0.4</formula>
    </cfRule>
    <cfRule type="cellIs" dxfId="280" priority="128" operator="between">
      <formula>0.4</formula>
      <formula>0.799</formula>
    </cfRule>
    <cfRule type="cellIs" dxfId="279" priority="129" operator="greaterThanOrEqual">
      <formula>0.8</formula>
    </cfRule>
  </conditionalFormatting>
  <conditionalFormatting sqref="AW6">
    <cfRule type="cellIs" dxfId="278" priority="124" operator="lessThan">
      <formula>0.4</formula>
    </cfRule>
    <cfRule type="cellIs" dxfId="277" priority="125" operator="between">
      <formula>0.4</formula>
      <formula>0.799</formula>
    </cfRule>
    <cfRule type="cellIs" dxfId="276" priority="126" operator="greaterThanOrEqual">
      <formula>0.8</formula>
    </cfRule>
  </conditionalFormatting>
  <conditionalFormatting sqref="AW8">
    <cfRule type="cellIs" dxfId="275" priority="121" operator="lessThan">
      <formula>0.4</formula>
    </cfRule>
    <cfRule type="cellIs" dxfId="274" priority="122" operator="between">
      <formula>0.4</formula>
      <formula>0.799</formula>
    </cfRule>
    <cfRule type="cellIs" dxfId="273" priority="123" operator="greaterThanOrEqual">
      <formula>0.8</formula>
    </cfRule>
  </conditionalFormatting>
  <conditionalFormatting sqref="AW10">
    <cfRule type="cellIs" dxfId="272" priority="118" operator="lessThan">
      <formula>0.4</formula>
    </cfRule>
    <cfRule type="cellIs" dxfId="271" priority="119" operator="between">
      <formula>0.4</formula>
      <formula>0.799</formula>
    </cfRule>
    <cfRule type="cellIs" dxfId="270" priority="120" operator="greaterThanOrEqual">
      <formula>0.8</formula>
    </cfRule>
  </conditionalFormatting>
  <conditionalFormatting sqref="AW5">
    <cfRule type="cellIs" dxfId="269" priority="115" operator="lessThan">
      <formula>0.4</formula>
    </cfRule>
    <cfRule type="cellIs" dxfId="268" priority="116" operator="between">
      <formula>0.4</formula>
      <formula>0.799</formula>
    </cfRule>
    <cfRule type="cellIs" dxfId="267" priority="117" operator="greaterThanOrEqual">
      <formula>0.8</formula>
    </cfRule>
  </conditionalFormatting>
  <conditionalFormatting sqref="AW7">
    <cfRule type="cellIs" dxfId="266" priority="112" operator="lessThan">
      <formula>0.4</formula>
    </cfRule>
    <cfRule type="cellIs" dxfId="265" priority="113" operator="between">
      <formula>0.4</formula>
      <formula>0.799</formula>
    </cfRule>
    <cfRule type="cellIs" dxfId="264" priority="114" operator="greaterThanOrEqual">
      <formula>0.8</formula>
    </cfRule>
  </conditionalFormatting>
  <conditionalFormatting sqref="AZ11">
    <cfRule type="cellIs" dxfId="263" priority="109" operator="lessThan">
      <formula>0.4</formula>
    </cfRule>
    <cfRule type="cellIs" dxfId="262" priority="110" operator="between">
      <formula>0.4</formula>
      <formula>0.799</formula>
    </cfRule>
    <cfRule type="cellIs" dxfId="261" priority="111" operator="greaterThanOrEqual">
      <formula>0.8</formula>
    </cfRule>
  </conditionalFormatting>
  <conditionalFormatting sqref="AZ12">
    <cfRule type="cellIs" dxfId="260" priority="106" operator="lessThan">
      <formula>0.4</formula>
    </cfRule>
    <cfRule type="cellIs" dxfId="259" priority="107" operator="between">
      <formula>0.4</formula>
      <formula>0.799</formula>
    </cfRule>
    <cfRule type="cellIs" dxfId="258" priority="108" operator="greaterThanOrEqual">
      <formula>0.8</formula>
    </cfRule>
  </conditionalFormatting>
  <conditionalFormatting sqref="AZ9">
    <cfRule type="cellIs" dxfId="257" priority="103" operator="lessThan">
      <formula>0.4</formula>
    </cfRule>
    <cfRule type="cellIs" dxfId="256" priority="104" operator="between">
      <formula>0.4</formula>
      <formula>0.799</formula>
    </cfRule>
    <cfRule type="cellIs" dxfId="255" priority="105" operator="greaterThanOrEqual">
      <formula>0.8</formula>
    </cfRule>
  </conditionalFormatting>
  <conditionalFormatting sqref="AZ6">
    <cfRule type="cellIs" dxfId="254" priority="100" operator="lessThan">
      <formula>0.4</formula>
    </cfRule>
    <cfRule type="cellIs" dxfId="253" priority="101" operator="between">
      <formula>0.4</formula>
      <formula>0.799</formula>
    </cfRule>
    <cfRule type="cellIs" dxfId="252" priority="102" operator="greaterThanOrEqual">
      <formula>0.8</formula>
    </cfRule>
  </conditionalFormatting>
  <conditionalFormatting sqref="AZ8">
    <cfRule type="cellIs" dxfId="251" priority="97" operator="lessThan">
      <formula>0.4</formula>
    </cfRule>
    <cfRule type="cellIs" dxfId="250" priority="98" operator="between">
      <formula>0.4</formula>
      <formula>0.799</formula>
    </cfRule>
    <cfRule type="cellIs" dxfId="249" priority="99" operator="greaterThanOrEqual">
      <formula>0.8</formula>
    </cfRule>
  </conditionalFormatting>
  <conditionalFormatting sqref="AZ10">
    <cfRule type="cellIs" dxfId="248" priority="94" operator="lessThan">
      <formula>0.4</formula>
    </cfRule>
    <cfRule type="cellIs" dxfId="247" priority="95" operator="between">
      <formula>0.4</formula>
      <formula>0.799</formula>
    </cfRule>
    <cfRule type="cellIs" dxfId="246" priority="96" operator="greaterThanOrEqual">
      <formula>0.8</formula>
    </cfRule>
  </conditionalFormatting>
  <conditionalFormatting sqref="AZ5">
    <cfRule type="cellIs" dxfId="245" priority="91" operator="lessThan">
      <formula>0.4</formula>
    </cfRule>
    <cfRule type="cellIs" dxfId="244" priority="92" operator="between">
      <formula>0.4</formula>
      <formula>0.799</formula>
    </cfRule>
    <cfRule type="cellIs" dxfId="243" priority="93" operator="greaterThanOrEqual">
      <formula>0.8</formula>
    </cfRule>
  </conditionalFormatting>
  <conditionalFormatting sqref="AZ7">
    <cfRule type="cellIs" dxfId="242" priority="88" operator="lessThan">
      <formula>0.4</formula>
    </cfRule>
    <cfRule type="cellIs" dxfId="241" priority="89" operator="between">
      <formula>0.4</formula>
      <formula>0.799</formula>
    </cfRule>
    <cfRule type="cellIs" dxfId="240" priority="90" operator="greaterThanOrEqual">
      <formula>0.8</formula>
    </cfRule>
  </conditionalFormatting>
  <conditionalFormatting sqref="BR9">
    <cfRule type="cellIs" dxfId="239" priority="85" operator="lessThan">
      <formula>0.4</formula>
    </cfRule>
    <cfRule type="cellIs" dxfId="238" priority="86" operator="between">
      <formula>0.4</formula>
      <formula>0.799</formula>
    </cfRule>
    <cfRule type="cellIs" dxfId="237" priority="87" operator="greaterThanOrEqual">
      <formula>0.8</formula>
    </cfRule>
  </conditionalFormatting>
  <conditionalFormatting sqref="BF6 BH6">
    <cfRule type="cellIs" dxfId="236" priority="82" operator="lessThan">
      <formula>0.4</formula>
    </cfRule>
    <cfRule type="cellIs" dxfId="235" priority="83" operator="between">
      <formula>0.4</formula>
      <formula>0.799</formula>
    </cfRule>
    <cfRule type="cellIs" dxfId="234" priority="84" operator="greaterThanOrEqual">
      <formula>0.8</formula>
    </cfRule>
  </conditionalFormatting>
  <conditionalFormatting sqref="BF8:BH8">
    <cfRule type="cellIs" dxfId="233" priority="79" operator="lessThan">
      <formula>0.4</formula>
    </cfRule>
    <cfRule type="cellIs" dxfId="232" priority="80" operator="between">
      <formula>0.4</formula>
      <formula>0.799</formula>
    </cfRule>
    <cfRule type="cellIs" dxfId="231" priority="81" operator="greaterThanOrEqual">
      <formula>0.8</formula>
    </cfRule>
  </conditionalFormatting>
  <conditionalFormatting sqref="BF10:BH10">
    <cfRule type="cellIs" dxfId="230" priority="76" operator="lessThan">
      <formula>0.4</formula>
    </cfRule>
    <cfRule type="cellIs" dxfId="229" priority="77" operator="between">
      <formula>0.4</formula>
      <formula>0.799</formula>
    </cfRule>
    <cfRule type="cellIs" dxfId="228" priority="78" operator="greaterThanOrEqual">
      <formula>0.8</formula>
    </cfRule>
  </conditionalFormatting>
  <conditionalFormatting sqref="BF5 BF7">
    <cfRule type="cellIs" dxfId="227" priority="73" operator="lessThan">
      <formula>0.4</formula>
    </cfRule>
    <cfRule type="cellIs" dxfId="226" priority="74" operator="between">
      <formula>0.4</formula>
      <formula>0.799</formula>
    </cfRule>
    <cfRule type="cellIs" dxfId="225" priority="75" operator="greaterThanOrEqual">
      <formula>0.8</formula>
    </cfRule>
  </conditionalFormatting>
  <conditionalFormatting sqref="BF11">
    <cfRule type="cellIs" dxfId="224" priority="70" operator="lessThan">
      <formula>0.4</formula>
    </cfRule>
    <cfRule type="cellIs" dxfId="223" priority="71" operator="between">
      <formula>0.4</formula>
      <formula>0.799</formula>
    </cfRule>
    <cfRule type="cellIs" dxfId="222" priority="72" operator="greaterThanOrEqual">
      <formula>0.8</formula>
    </cfRule>
  </conditionalFormatting>
  <conditionalFormatting sqref="BF12">
    <cfRule type="cellIs" dxfId="221" priority="67" operator="lessThan">
      <formula>0.4</formula>
    </cfRule>
    <cfRule type="cellIs" dxfId="220" priority="68" operator="between">
      <formula>0.4</formula>
      <formula>0.799</formula>
    </cfRule>
    <cfRule type="cellIs" dxfId="219" priority="69" operator="greaterThanOrEqual">
      <formula>0.8</formula>
    </cfRule>
  </conditionalFormatting>
  <conditionalFormatting sqref="BF9">
    <cfRule type="cellIs" dxfId="218" priority="64" operator="lessThan">
      <formula>0.4</formula>
    </cfRule>
    <cfRule type="cellIs" dxfId="217" priority="65" operator="between">
      <formula>0.4</formula>
      <formula>0.799</formula>
    </cfRule>
    <cfRule type="cellIs" dxfId="216" priority="66" operator="greaterThanOrEqual">
      <formula>0.8</formula>
    </cfRule>
  </conditionalFormatting>
  <conditionalFormatting sqref="BR5 BR7">
    <cfRule type="cellIs" dxfId="215" priority="61" operator="lessThan">
      <formula>0.4</formula>
    </cfRule>
    <cfRule type="cellIs" dxfId="214" priority="62" operator="between">
      <formula>0.4</formula>
      <formula>0.799</formula>
    </cfRule>
    <cfRule type="cellIs" dxfId="213" priority="63" operator="greaterThanOrEqual">
      <formula>0.8</formula>
    </cfRule>
  </conditionalFormatting>
  <conditionalFormatting sqref="BR10">
    <cfRule type="cellIs" dxfId="212" priority="58" operator="lessThan">
      <formula>0.4</formula>
    </cfRule>
    <cfRule type="cellIs" dxfId="211" priority="59" operator="between">
      <formula>0.4</formula>
      <formula>0.799</formula>
    </cfRule>
    <cfRule type="cellIs" dxfId="210" priority="60" operator="greaterThanOrEqual">
      <formula>0.8</formula>
    </cfRule>
  </conditionalFormatting>
  <conditionalFormatting sqref="BY5 BY7">
    <cfRule type="cellIs" dxfId="209" priority="55" operator="lessThan">
      <formula>0.4</formula>
    </cfRule>
    <cfRule type="cellIs" dxfId="208" priority="56" operator="between">
      <formula>0.4</formula>
      <formula>0.799</formula>
    </cfRule>
    <cfRule type="cellIs" dxfId="207" priority="57" operator="greaterThanOrEqual">
      <formula>0.8</formula>
    </cfRule>
  </conditionalFormatting>
  <conditionalFormatting sqref="BY9">
    <cfRule type="cellIs" dxfId="206" priority="52" operator="lessThan">
      <formula>0.4</formula>
    </cfRule>
    <cfRule type="cellIs" dxfId="205" priority="53" operator="between">
      <formula>0.4</formula>
      <formula>0.799</formula>
    </cfRule>
    <cfRule type="cellIs" dxfId="204" priority="54" operator="greaterThanOrEqual">
      <formula>0.8</formula>
    </cfRule>
  </conditionalFormatting>
  <conditionalFormatting sqref="BY6 BY8">
    <cfRule type="cellIs" dxfId="203" priority="49" operator="lessThan">
      <formula>0.4</formula>
    </cfRule>
    <cfRule type="cellIs" dxfId="202" priority="50" operator="between">
      <formula>0.4</formula>
      <formula>0.799</formula>
    </cfRule>
    <cfRule type="cellIs" dxfId="201" priority="51" operator="greaterThanOrEqual">
      <formula>0.8</formula>
    </cfRule>
  </conditionalFormatting>
  <conditionalFormatting sqref="BY10">
    <cfRule type="cellIs" dxfId="200" priority="46" operator="lessThan">
      <formula>0.4</formula>
    </cfRule>
    <cfRule type="cellIs" dxfId="199" priority="47" operator="between">
      <formula>0.4</formula>
      <formula>0.799</formula>
    </cfRule>
    <cfRule type="cellIs" dxfId="198" priority="48" operator="greaterThanOrEqual">
      <formula>0.8</formula>
    </cfRule>
  </conditionalFormatting>
  <conditionalFormatting sqref="BR6">
    <cfRule type="cellIs" dxfId="197" priority="43" operator="lessThan">
      <formula>0.4</formula>
    </cfRule>
    <cfRule type="cellIs" dxfId="196" priority="44" operator="between">
      <formula>0.4</formula>
      <formula>0.799</formula>
    </cfRule>
    <cfRule type="cellIs" dxfId="195" priority="45" operator="greaterThanOrEqual">
      <formula>0.8</formula>
    </cfRule>
  </conditionalFormatting>
  <conditionalFormatting sqref="BR8">
    <cfRule type="cellIs" dxfId="194" priority="40" operator="lessThan">
      <formula>0.4</formula>
    </cfRule>
    <cfRule type="cellIs" dxfId="193" priority="41" operator="between">
      <formula>0.4</formula>
      <formula>0.799</formula>
    </cfRule>
    <cfRule type="cellIs" dxfId="192" priority="42" operator="greaterThanOrEqual">
      <formula>0.8</formula>
    </cfRule>
  </conditionalFormatting>
  <conditionalFormatting sqref="CF5:CF9">
    <cfRule type="cellIs" dxfId="191" priority="37" operator="lessThan">
      <formula>0.4</formula>
    </cfRule>
    <cfRule type="cellIs" dxfId="190" priority="38" operator="between">
      <formula>0.4</formula>
      <formula>0.799</formula>
    </cfRule>
    <cfRule type="cellIs" dxfId="189" priority="39" operator="greaterThanOrEqual">
      <formula>0.8</formula>
    </cfRule>
  </conditionalFormatting>
  <conditionalFormatting sqref="CF10">
    <cfRule type="cellIs" dxfId="188" priority="34" operator="lessThan">
      <formula>0.4</formula>
    </cfRule>
    <cfRule type="cellIs" dxfId="187" priority="35" operator="between">
      <formula>0.4</formula>
      <formula>0.799</formula>
    </cfRule>
    <cfRule type="cellIs" dxfId="186" priority="36" operator="greaterThanOrEqual">
      <formula>0.8</formula>
    </cfRule>
  </conditionalFormatting>
  <conditionalFormatting sqref="BR11">
    <cfRule type="cellIs" dxfId="185" priority="31" operator="lessThan">
      <formula>0.4</formula>
    </cfRule>
    <cfRule type="cellIs" dxfId="184" priority="32" operator="between">
      <formula>0.4</formula>
      <formula>0.799</formula>
    </cfRule>
    <cfRule type="cellIs" dxfId="183" priority="33" operator="greaterThanOrEqual">
      <formula>0.8</formula>
    </cfRule>
  </conditionalFormatting>
  <conditionalFormatting sqref="BY11">
    <cfRule type="cellIs" dxfId="182" priority="28" operator="lessThan">
      <formula>0.4</formula>
    </cfRule>
    <cfRule type="cellIs" dxfId="181" priority="29" operator="between">
      <formula>0.4</formula>
      <formula>0.799</formula>
    </cfRule>
    <cfRule type="cellIs" dxfId="180" priority="30" operator="greaterThanOrEqual">
      <formula>0.8</formula>
    </cfRule>
  </conditionalFormatting>
  <conditionalFormatting sqref="CF11">
    <cfRule type="cellIs" dxfId="179" priority="25" operator="lessThan">
      <formula>0.4</formula>
    </cfRule>
    <cfRule type="cellIs" dxfId="178" priority="26" operator="between">
      <formula>0.4</formula>
      <formula>0.799</formula>
    </cfRule>
    <cfRule type="cellIs" dxfId="177" priority="27" operator="greaterThanOrEqual">
      <formula>0.8</formula>
    </cfRule>
  </conditionalFormatting>
  <conditionalFormatting sqref="CF12">
    <cfRule type="cellIs" dxfId="176" priority="22" operator="lessThan">
      <formula>0.4</formula>
    </cfRule>
    <cfRule type="cellIs" dxfId="175" priority="23" operator="between">
      <formula>0.4</formula>
      <formula>0.799</formula>
    </cfRule>
    <cfRule type="cellIs" dxfId="174" priority="24" operator="greaterThanOrEqual">
      <formula>0.8</formula>
    </cfRule>
  </conditionalFormatting>
  <conditionalFormatting sqref="BR12">
    <cfRule type="cellIs" dxfId="173" priority="19" operator="lessThan">
      <formula>0.4</formula>
    </cfRule>
    <cfRule type="cellIs" dxfId="172" priority="20" operator="between">
      <formula>0.4</formula>
      <formula>0.799</formula>
    </cfRule>
    <cfRule type="cellIs" dxfId="171" priority="21" operator="greaterThanOrEqual">
      <formula>0.8</formula>
    </cfRule>
  </conditionalFormatting>
  <conditionalFormatting sqref="BY12">
    <cfRule type="cellIs" dxfId="170" priority="16" operator="lessThan">
      <formula>0.4</formula>
    </cfRule>
    <cfRule type="cellIs" dxfId="169" priority="17" operator="between">
      <formula>0.4</formula>
      <formula>0.799</formula>
    </cfRule>
    <cfRule type="cellIs" dxfId="168" priority="18" operator="greaterThanOrEqual">
      <formula>0.8</formula>
    </cfRule>
  </conditionalFormatting>
  <conditionalFormatting sqref="CN5:CN12">
    <cfRule type="cellIs" dxfId="167" priority="13" operator="lessThan">
      <formula>0.4</formula>
    </cfRule>
    <cfRule type="cellIs" dxfId="166" priority="14" operator="between">
      <formula>0.4</formula>
      <formula>0.799</formula>
    </cfRule>
    <cfRule type="cellIs" dxfId="165" priority="15"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6DD5-DEAD-4CBA-B3D8-486FB651A2C1}">
  <dimension ref="A1:C1"/>
  <sheetViews>
    <sheetView workbookViewId="0">
      <selection activeCell="C1" sqref="C1"/>
    </sheetView>
  </sheetViews>
  <sheetFormatPr baseColWidth="10" defaultRowHeight="15" x14ac:dyDescent="0.25"/>
  <cols>
    <col min="1" max="1" width="17.85546875" customWidth="1"/>
    <col min="3" max="3" width="11.7109375" bestFit="1" customWidth="1"/>
  </cols>
  <sheetData>
    <row r="1" spans="1:3" x14ac:dyDescent="0.25">
      <c r="A1" s="380">
        <v>4083550.05</v>
      </c>
      <c r="B1" s="380">
        <v>121595.52</v>
      </c>
      <c r="C1" s="95">
        <f>A1+B1</f>
        <v>4205145.5699999994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4D51-291D-420F-8A45-9076F40A0EA1}">
  <dimension ref="A1:H10"/>
  <sheetViews>
    <sheetView topLeftCell="A6" workbookViewId="0">
      <selection activeCell="H7" sqref="H7"/>
    </sheetView>
  </sheetViews>
  <sheetFormatPr baseColWidth="10" defaultRowHeight="15" x14ac:dyDescent="0.25"/>
  <cols>
    <col min="2" max="2" width="31.7109375" customWidth="1"/>
    <col min="3" max="3" width="38" customWidth="1"/>
    <col min="4" max="4" width="23" customWidth="1"/>
  </cols>
  <sheetData>
    <row r="1" spans="1:8" x14ac:dyDescent="0.25">
      <c r="A1" s="410" t="s">
        <v>299</v>
      </c>
      <c r="B1" s="411" t="s">
        <v>0</v>
      </c>
      <c r="C1" s="412" t="s">
        <v>13</v>
      </c>
      <c r="D1" s="412" t="s">
        <v>308</v>
      </c>
    </row>
    <row r="2" spans="1:8" ht="15.75" customHeight="1" x14ac:dyDescent="0.25">
      <c r="A2" s="410"/>
      <c r="B2" s="411"/>
      <c r="C2" s="412"/>
      <c r="D2" s="412"/>
    </row>
    <row r="3" spans="1:8" ht="81" x14ac:dyDescent="0.25">
      <c r="A3" s="296">
        <v>1</v>
      </c>
      <c r="B3" s="297" t="s">
        <v>35</v>
      </c>
      <c r="C3" s="298" t="s">
        <v>272</v>
      </c>
      <c r="D3" s="299" t="s">
        <v>303</v>
      </c>
      <c r="F3">
        <v>172591</v>
      </c>
      <c r="G3">
        <v>183311</v>
      </c>
      <c r="H3">
        <f>G3-F3</f>
        <v>10720</v>
      </c>
    </row>
    <row r="4" spans="1:8" ht="67.5" x14ac:dyDescent="0.25">
      <c r="A4" s="296">
        <v>2</v>
      </c>
      <c r="B4" s="297" t="s">
        <v>35</v>
      </c>
      <c r="C4" s="298" t="s">
        <v>227</v>
      </c>
      <c r="D4" s="299" t="s">
        <v>304</v>
      </c>
      <c r="F4">
        <v>14262</v>
      </c>
      <c r="G4">
        <v>17223</v>
      </c>
      <c r="H4">
        <f>G4-F4</f>
        <v>2961</v>
      </c>
    </row>
    <row r="5" spans="1:8" ht="148.5" x14ac:dyDescent="0.25">
      <c r="A5" s="296">
        <v>3</v>
      </c>
      <c r="B5" s="297" t="s">
        <v>35</v>
      </c>
      <c r="C5" s="298" t="s">
        <v>273</v>
      </c>
      <c r="D5" s="299" t="s">
        <v>305</v>
      </c>
      <c r="F5">
        <v>76339</v>
      </c>
      <c r="G5">
        <v>82454</v>
      </c>
      <c r="H5">
        <f>G5-F5</f>
        <v>6115</v>
      </c>
    </row>
    <row r="6" spans="1:8" ht="108" x14ac:dyDescent="0.25">
      <c r="A6" s="296">
        <v>4</v>
      </c>
      <c r="B6" s="300" t="s">
        <v>34</v>
      </c>
      <c r="C6" s="298" t="s">
        <v>271</v>
      </c>
      <c r="D6" s="301" t="s">
        <v>306</v>
      </c>
      <c r="F6">
        <v>180647</v>
      </c>
      <c r="G6">
        <v>181834</v>
      </c>
      <c r="H6">
        <f>G6-F6</f>
        <v>1187</v>
      </c>
    </row>
    <row r="7" spans="1:8" ht="108" x14ac:dyDescent="0.25">
      <c r="A7" s="296">
        <v>5</v>
      </c>
      <c r="B7" s="297" t="s">
        <v>35</v>
      </c>
      <c r="C7" s="298" t="s">
        <v>15</v>
      </c>
      <c r="D7" s="302" t="s">
        <v>307</v>
      </c>
      <c r="F7">
        <v>1630</v>
      </c>
      <c r="G7">
        <v>1932</v>
      </c>
      <c r="H7">
        <f>G7-F7</f>
        <v>302</v>
      </c>
    </row>
    <row r="8" spans="1:8" ht="94.5" x14ac:dyDescent="0.25">
      <c r="A8" s="296">
        <v>6</v>
      </c>
      <c r="B8" s="297" t="s">
        <v>35</v>
      </c>
      <c r="C8" s="303" t="s">
        <v>9</v>
      </c>
      <c r="D8" s="302" t="s">
        <v>300</v>
      </c>
    </row>
    <row r="9" spans="1:8" ht="94.5" x14ac:dyDescent="0.25">
      <c r="A9" s="296">
        <v>7</v>
      </c>
      <c r="B9" s="297" t="s">
        <v>35</v>
      </c>
      <c r="C9" s="304" t="s">
        <v>11</v>
      </c>
      <c r="D9" s="302" t="s">
        <v>301</v>
      </c>
    </row>
    <row r="10" spans="1:8" ht="121.5" x14ac:dyDescent="0.25">
      <c r="A10" s="296">
        <v>8</v>
      </c>
      <c r="B10" s="301" t="s">
        <v>298</v>
      </c>
      <c r="C10" s="301" t="s">
        <v>46</v>
      </c>
      <c r="D10" s="302" t="s">
        <v>302</v>
      </c>
    </row>
  </sheetData>
  <mergeCells count="4">
    <mergeCell ref="A1:A2"/>
    <mergeCell ref="B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A815-BD4E-4912-A315-D119CAD04744}">
  <dimension ref="A1:CC30"/>
  <sheetViews>
    <sheetView showGridLines="0" topLeftCell="BC1" zoomScale="70" zoomScaleNormal="70" workbookViewId="0">
      <pane ySplit="3" topLeftCell="A4" activePane="bottomLeft" state="frozen"/>
      <selection pane="bottomLeft" activeCell="BE4" sqref="BE4"/>
    </sheetView>
  </sheetViews>
  <sheetFormatPr baseColWidth="10" defaultColWidth="11.42578125" defaultRowHeight="15" x14ac:dyDescent="0.2"/>
  <cols>
    <col min="1" max="1" width="43.42578125" style="1" hidden="1" customWidth="1"/>
    <col min="2" max="2" width="44.7109375" style="1" customWidth="1"/>
    <col min="3" max="3" width="34.42578125" style="1" customWidth="1"/>
    <col min="4" max="4" width="46.28515625" style="1" customWidth="1"/>
    <col min="5" max="5" width="19" style="1" customWidth="1"/>
    <col min="6" max="6" width="18.5703125" style="1" customWidth="1"/>
    <col min="7" max="7" width="16.7109375" style="1" customWidth="1"/>
    <col min="8" max="8" width="16.85546875" style="1" customWidth="1"/>
    <col min="9" max="9" width="32.42578125" style="1" customWidth="1"/>
    <col min="10" max="10" width="37.28515625" style="1" customWidth="1"/>
    <col min="11" max="11" width="22.28515625" style="1" customWidth="1"/>
    <col min="12" max="12" width="28" style="1" customWidth="1"/>
    <col min="13" max="13" width="21" style="3" hidden="1" customWidth="1"/>
    <col min="14" max="14" width="25.5703125" style="3" hidden="1" customWidth="1"/>
    <col min="15" max="15" width="28.140625" style="3" hidden="1" customWidth="1"/>
    <col min="16" max="16" width="72.7109375" style="3" hidden="1" customWidth="1"/>
    <col min="17" max="17" width="20.5703125" style="144" hidden="1" customWidth="1"/>
    <col min="18" max="18" width="28.140625" style="144" hidden="1" customWidth="1"/>
    <col min="19" max="19" width="28" style="144" hidden="1" customWidth="1"/>
    <col min="20" max="20" width="32.7109375" style="144" hidden="1" customWidth="1"/>
    <col min="21" max="21" width="71" style="3" hidden="1" customWidth="1"/>
    <col min="22" max="23" width="32.7109375" style="3" hidden="1" customWidth="1"/>
    <col min="24" max="24" width="72.7109375" style="3" hidden="1" customWidth="1"/>
    <col min="25" max="25" width="34" style="3" hidden="1" customWidth="1"/>
    <col min="26" max="26" width="30.7109375" style="3" hidden="1" customWidth="1"/>
    <col min="27" max="27" width="102.42578125" style="3" hidden="1" customWidth="1"/>
    <col min="28" max="28" width="25.7109375" style="3" hidden="1" customWidth="1"/>
    <col min="29" max="29" width="27.42578125" style="3" hidden="1" customWidth="1"/>
    <col min="30" max="30" width="112" style="3" hidden="1" customWidth="1"/>
    <col min="31" max="31" width="34.85546875" style="3" hidden="1" customWidth="1"/>
    <col min="32" max="32" width="36.5703125" style="3" hidden="1" customWidth="1"/>
    <col min="33" max="33" width="87.5703125" style="3" hidden="1" customWidth="1"/>
    <col min="34" max="35" width="31.42578125" style="3" hidden="1" customWidth="1"/>
    <col min="36" max="36" width="134.28515625" style="3" hidden="1" customWidth="1"/>
    <col min="37" max="37" width="36.42578125" style="3" hidden="1" customWidth="1"/>
    <col min="38" max="38" width="28.28515625" style="3" hidden="1" customWidth="1"/>
    <col min="39" max="39" width="98.7109375" style="3" hidden="1" customWidth="1"/>
    <col min="40" max="40" width="40" style="3" hidden="1" customWidth="1"/>
    <col min="41" max="41" width="45.42578125" style="3" hidden="1" customWidth="1"/>
    <col min="42" max="42" width="98.7109375" style="3" hidden="1" customWidth="1"/>
    <col min="43" max="43" width="50" style="3" hidden="1" customWidth="1"/>
    <col min="44" max="44" width="38.140625" style="3" hidden="1" customWidth="1"/>
    <col min="45" max="45" width="98.7109375" style="3" hidden="1" customWidth="1"/>
    <col min="46" max="46" width="27.85546875" style="3" customWidth="1"/>
    <col min="47" max="47" width="34.140625" style="3" customWidth="1"/>
    <col min="48" max="48" width="35.42578125" style="3" customWidth="1"/>
    <col min="49" max="49" width="45.28515625" style="3" customWidth="1"/>
    <col min="50" max="50" width="52.42578125" style="3" customWidth="1"/>
    <col min="51" max="51" width="107.5703125" style="3" hidden="1" customWidth="1"/>
    <col min="52" max="52" width="37" style="3" customWidth="1"/>
    <col min="53" max="53" width="36.28515625" style="3" customWidth="1"/>
    <col min="54" max="54" width="50.5703125" style="3" customWidth="1"/>
    <col min="55" max="56" width="44.5703125" style="3" customWidth="1"/>
    <col min="57" max="57" width="39.5703125" style="3" customWidth="1"/>
    <col min="58" max="58" width="40.5703125" style="3" customWidth="1"/>
    <col min="59" max="59" width="49.140625" style="3" customWidth="1"/>
    <col min="60" max="81" width="11.42578125" style="3"/>
    <col min="82" max="16384" width="11.42578125" style="1"/>
  </cols>
  <sheetData>
    <row r="1" spans="1:61" ht="178.5" hidden="1" customHeight="1" thickBot="1" x14ac:dyDescent="0.25">
      <c r="A1" s="390" t="s">
        <v>44</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203"/>
      <c r="BA1" s="203"/>
      <c r="BB1" s="203"/>
      <c r="BC1" s="203"/>
      <c r="BD1" s="203"/>
      <c r="BE1" s="203"/>
      <c r="BF1" s="203"/>
    </row>
    <row r="2" spans="1:61" ht="44.25" customHeight="1" thickBot="1" x14ac:dyDescent="0.25">
      <c r="A2" s="413" t="s">
        <v>0</v>
      </c>
      <c r="B2" s="393" t="s">
        <v>13</v>
      </c>
      <c r="C2" s="393" t="s">
        <v>2</v>
      </c>
      <c r="D2" s="414" t="s">
        <v>86</v>
      </c>
      <c r="E2" s="415" t="s">
        <v>3</v>
      </c>
      <c r="F2" s="416"/>
      <c r="G2" s="416"/>
      <c r="H2" s="417"/>
      <c r="I2" s="418" t="s">
        <v>36</v>
      </c>
      <c r="J2" s="420" t="s">
        <v>62</v>
      </c>
      <c r="K2" s="420" t="s">
        <v>102</v>
      </c>
      <c r="L2" s="420" t="s">
        <v>101</v>
      </c>
      <c r="M2" s="421" t="s">
        <v>17</v>
      </c>
      <c r="N2" s="421"/>
      <c r="O2" s="421"/>
      <c r="P2" s="422"/>
      <c r="Q2" s="204" t="s">
        <v>134</v>
      </c>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427" t="s">
        <v>193</v>
      </c>
      <c r="AU2" s="429" t="s">
        <v>20</v>
      </c>
      <c r="AV2" s="430"/>
      <c r="AW2" s="430"/>
      <c r="AX2" s="430"/>
      <c r="AY2" s="431"/>
      <c r="AZ2" s="424" t="s">
        <v>204</v>
      </c>
      <c r="BA2" s="425"/>
      <c r="BB2" s="425"/>
      <c r="BC2" s="425"/>
      <c r="BD2" s="425"/>
      <c r="BE2" s="425"/>
      <c r="BF2" s="426"/>
      <c r="BG2" s="423" t="s">
        <v>32</v>
      </c>
    </row>
    <row r="3" spans="1:61" ht="73.5" customHeight="1" thickBot="1" x14ac:dyDescent="0.25">
      <c r="A3" s="389"/>
      <c r="B3" s="394"/>
      <c r="C3" s="394"/>
      <c r="D3" s="414"/>
      <c r="E3" s="221">
        <v>2019</v>
      </c>
      <c r="F3" s="222">
        <v>2020</v>
      </c>
      <c r="G3" s="222">
        <v>2021</v>
      </c>
      <c r="H3" s="223">
        <v>2022</v>
      </c>
      <c r="I3" s="419"/>
      <c r="J3" s="394"/>
      <c r="K3" s="394"/>
      <c r="L3" s="394"/>
      <c r="M3" s="232" t="s">
        <v>18</v>
      </c>
      <c r="N3" s="233" t="s">
        <v>19</v>
      </c>
      <c r="O3" s="233" t="s">
        <v>24</v>
      </c>
      <c r="P3" s="193" t="s">
        <v>25</v>
      </c>
      <c r="Q3" s="194" t="s">
        <v>87</v>
      </c>
      <c r="R3" s="195" t="s">
        <v>88</v>
      </c>
      <c r="S3" s="195" t="s">
        <v>49</v>
      </c>
      <c r="T3" s="195" t="s">
        <v>21</v>
      </c>
      <c r="U3" s="196" t="s">
        <v>50</v>
      </c>
      <c r="V3" s="195" t="s">
        <v>51</v>
      </c>
      <c r="W3" s="195" t="s">
        <v>52</v>
      </c>
      <c r="X3" s="196" t="s">
        <v>53</v>
      </c>
      <c r="Y3" s="195" t="s">
        <v>71</v>
      </c>
      <c r="Z3" s="195" t="s">
        <v>72</v>
      </c>
      <c r="AA3" s="197" t="s">
        <v>73</v>
      </c>
      <c r="AB3" s="198" t="s">
        <v>89</v>
      </c>
      <c r="AC3" s="195" t="s">
        <v>90</v>
      </c>
      <c r="AD3" s="195" t="s">
        <v>91</v>
      </c>
      <c r="AE3" s="198" t="s">
        <v>103</v>
      </c>
      <c r="AF3" s="195" t="s">
        <v>104</v>
      </c>
      <c r="AG3" s="199" t="s">
        <v>112</v>
      </c>
      <c r="AH3" s="199" t="s">
        <v>115</v>
      </c>
      <c r="AI3" s="199" t="s">
        <v>114</v>
      </c>
      <c r="AJ3" s="200" t="s">
        <v>113</v>
      </c>
      <c r="AK3" s="199" t="s">
        <v>123</v>
      </c>
      <c r="AL3" s="199" t="s">
        <v>124</v>
      </c>
      <c r="AM3" s="200" t="s">
        <v>125</v>
      </c>
      <c r="AN3" s="199" t="s">
        <v>135</v>
      </c>
      <c r="AO3" s="199" t="s">
        <v>136</v>
      </c>
      <c r="AP3" s="200" t="s">
        <v>137</v>
      </c>
      <c r="AQ3" s="199" t="s">
        <v>148</v>
      </c>
      <c r="AR3" s="199" t="s">
        <v>146</v>
      </c>
      <c r="AS3" s="200" t="s">
        <v>147</v>
      </c>
      <c r="AT3" s="428"/>
      <c r="AU3" s="230" t="s">
        <v>158</v>
      </c>
      <c r="AV3" s="231" t="s">
        <v>156</v>
      </c>
      <c r="AW3" s="206" t="s">
        <v>159</v>
      </c>
      <c r="AX3" s="206" t="s">
        <v>189</v>
      </c>
      <c r="AY3" s="200" t="s">
        <v>157</v>
      </c>
      <c r="AZ3" s="201" t="s">
        <v>194</v>
      </c>
      <c r="BA3" s="201" t="s">
        <v>198</v>
      </c>
      <c r="BB3" s="201" t="s">
        <v>196</v>
      </c>
      <c r="BC3" s="201" t="s">
        <v>199</v>
      </c>
      <c r="BD3" s="201" t="s">
        <v>201</v>
      </c>
      <c r="BE3" s="201" t="s">
        <v>197</v>
      </c>
      <c r="BF3" s="201" t="s">
        <v>203</v>
      </c>
      <c r="BG3" s="423"/>
    </row>
    <row r="4" spans="1:61" ht="210" customHeight="1" x14ac:dyDescent="0.2">
      <c r="A4" s="21" t="s">
        <v>35</v>
      </c>
      <c r="B4" s="220" t="s">
        <v>16</v>
      </c>
      <c r="C4" s="44" t="s">
        <v>4</v>
      </c>
      <c r="D4" s="33" t="s">
        <v>83</v>
      </c>
      <c r="E4" s="45">
        <v>0.03</v>
      </c>
      <c r="F4" s="46">
        <v>0.23</v>
      </c>
      <c r="G4" s="46">
        <v>0.5</v>
      </c>
      <c r="H4" s="46">
        <v>0.6</v>
      </c>
      <c r="I4" s="47" t="s">
        <v>23</v>
      </c>
      <c r="J4" s="71" t="s">
        <v>63</v>
      </c>
      <c r="K4" s="30">
        <v>0.6</v>
      </c>
      <c r="L4" s="30" t="s">
        <v>68</v>
      </c>
      <c r="M4" s="48">
        <v>0.03</v>
      </c>
      <c r="N4" s="49">
        <v>0.03</v>
      </c>
      <c r="O4" s="163">
        <f t="shared" ref="O4:O11" si="0">N4/M4</f>
        <v>1</v>
      </c>
      <c r="P4" s="161" t="s">
        <v>26</v>
      </c>
      <c r="Q4" s="152">
        <f>23%-N4</f>
        <v>0.2</v>
      </c>
      <c r="R4" s="145">
        <v>20253667.789999999</v>
      </c>
      <c r="S4" s="145">
        <v>0</v>
      </c>
      <c r="T4" s="163">
        <f>S4/20%</f>
        <v>0</v>
      </c>
      <c r="U4" s="72" t="s">
        <v>37</v>
      </c>
      <c r="V4" s="145">
        <v>34421</v>
      </c>
      <c r="W4" s="168">
        <f>V4/R4</f>
        <v>1.6994946474334367E-3</v>
      </c>
      <c r="X4" s="72" t="s">
        <v>58</v>
      </c>
      <c r="Y4" s="158">
        <v>101437</v>
      </c>
      <c r="Z4" s="169">
        <f>Y4/R4</f>
        <v>5.0083274324309434E-3</v>
      </c>
      <c r="AA4" s="68" t="s">
        <v>75</v>
      </c>
      <c r="AB4" s="158">
        <v>102037</v>
      </c>
      <c r="AC4" s="169">
        <f>AB4/R4</f>
        <v>5.0379516963529698E-3</v>
      </c>
      <c r="AD4" s="78" t="s">
        <v>94</v>
      </c>
      <c r="AE4" s="158">
        <v>1805376</v>
      </c>
      <c r="AF4" s="169">
        <f>AE4/R4</f>
        <v>8.913822517081979E-2</v>
      </c>
      <c r="AG4" s="78" t="s">
        <v>107</v>
      </c>
      <c r="AH4" s="147">
        <v>4784680</v>
      </c>
      <c r="AI4" s="169">
        <f>AH4/R4</f>
        <v>0.23623770517073345</v>
      </c>
      <c r="AJ4" s="79" t="s">
        <v>117</v>
      </c>
      <c r="AK4" s="181">
        <v>6037259.96</v>
      </c>
      <c r="AL4" s="169">
        <f>+AK4/R4</f>
        <v>0.29808230403486835</v>
      </c>
      <c r="AM4" s="79" t="s">
        <v>128</v>
      </c>
      <c r="AN4" s="181">
        <v>7415231.2000000002</v>
      </c>
      <c r="AO4" s="169">
        <f>+AN4/R4</f>
        <v>0.36611794351940441</v>
      </c>
      <c r="AP4" s="143" t="s">
        <v>142</v>
      </c>
      <c r="AQ4" s="182">
        <v>7918051.8399999999</v>
      </c>
      <c r="AR4" s="83">
        <f>+AQ4/R4</f>
        <v>0.39094409576074124</v>
      </c>
      <c r="AS4" s="143" t="s">
        <v>154</v>
      </c>
      <c r="AT4" s="228" t="s">
        <v>195</v>
      </c>
      <c r="AU4" s="208">
        <v>13418129</v>
      </c>
      <c r="AV4" s="183">
        <f>+AU4/R4</f>
        <v>0.66250365805965461</v>
      </c>
      <c r="AW4" s="185">
        <v>16841027.100000001</v>
      </c>
      <c r="AX4" s="167">
        <f>+AW4/26242218.77</f>
        <v>0.64175317062948189</v>
      </c>
      <c r="AY4" s="78" t="s">
        <v>205</v>
      </c>
      <c r="AZ4" s="226">
        <f>20%-11.76%</f>
        <v>8.2400000000000015E-2</v>
      </c>
      <c r="BA4" s="227">
        <v>9401191.6699999999</v>
      </c>
      <c r="BB4" s="226">
        <v>8.2400000000000001E-2</v>
      </c>
      <c r="BC4" s="227">
        <v>9401191.6699999999</v>
      </c>
      <c r="BD4" s="226">
        <f>60%-14.76%</f>
        <v>0.45239999999999997</v>
      </c>
      <c r="BE4" s="226">
        <f>27%+AZ4</f>
        <v>0.35240000000000005</v>
      </c>
      <c r="BF4" s="227">
        <v>40207274.57</v>
      </c>
      <c r="BG4" s="100" t="s">
        <v>206</v>
      </c>
      <c r="BH4" s="93"/>
      <c r="BI4" s="85"/>
    </row>
    <row r="5" spans="1:61" ht="150.75" customHeight="1" x14ac:dyDescent="0.2">
      <c r="A5" s="21" t="s">
        <v>35</v>
      </c>
      <c r="B5" s="10" t="s">
        <v>14</v>
      </c>
      <c r="C5" s="4" t="s">
        <v>4</v>
      </c>
      <c r="D5" s="33" t="s">
        <v>83</v>
      </c>
      <c r="E5" s="8">
        <v>8.5000000000000006E-2</v>
      </c>
      <c r="F5" s="8">
        <v>0.20100000000000001</v>
      </c>
      <c r="G5" s="8">
        <v>0.35099999999999998</v>
      </c>
      <c r="H5" s="5">
        <v>0.6</v>
      </c>
      <c r="I5" s="142" t="s">
        <v>5</v>
      </c>
      <c r="J5" s="70" t="s">
        <v>64</v>
      </c>
      <c r="K5" s="30">
        <v>0.6</v>
      </c>
      <c r="L5" s="30" t="s">
        <v>68</v>
      </c>
      <c r="M5" s="8">
        <f t="shared" ref="M5:M10" si="1">+E5</f>
        <v>8.5000000000000006E-2</v>
      </c>
      <c r="N5" s="8">
        <v>2.3E-2</v>
      </c>
      <c r="O5" s="164">
        <f t="shared" si="0"/>
        <v>0.27058823529411763</v>
      </c>
      <c r="P5" s="162" t="s">
        <v>27</v>
      </c>
      <c r="Q5" s="153">
        <f>+F5-N5</f>
        <v>0.17800000000000002</v>
      </c>
      <c r="R5" s="146">
        <v>7512863</v>
      </c>
      <c r="S5" s="146">
        <v>0</v>
      </c>
      <c r="T5" s="165">
        <f t="shared" ref="T5:T11" si="2">S5/R5</f>
        <v>0</v>
      </c>
      <c r="U5" s="17" t="s">
        <v>38</v>
      </c>
      <c r="V5" s="146">
        <v>0</v>
      </c>
      <c r="W5" s="165">
        <f>V5/R5</f>
        <v>0</v>
      </c>
      <c r="X5" s="17" t="s">
        <v>59</v>
      </c>
      <c r="Y5" s="148">
        <v>0</v>
      </c>
      <c r="Z5" s="170">
        <f t="shared" ref="Z5:Z11" si="3">Y5/R5</f>
        <v>0</v>
      </c>
      <c r="AA5" s="68" t="s">
        <v>82</v>
      </c>
      <c r="AB5" s="147">
        <v>0</v>
      </c>
      <c r="AC5" s="173">
        <f t="shared" ref="AC5:AC11" si="4">AB5/R5</f>
        <v>0</v>
      </c>
      <c r="AD5" s="78" t="s">
        <v>95</v>
      </c>
      <c r="AE5" s="147">
        <v>0</v>
      </c>
      <c r="AF5" s="173">
        <f>AE5/R5</f>
        <v>0</v>
      </c>
      <c r="AG5" s="78" t="s">
        <v>106</v>
      </c>
      <c r="AH5" s="158">
        <v>0</v>
      </c>
      <c r="AI5" s="169">
        <f>AH5/R5</f>
        <v>0</v>
      </c>
      <c r="AJ5" s="78" t="s">
        <v>119</v>
      </c>
      <c r="AK5" s="158">
        <v>0</v>
      </c>
      <c r="AL5" s="169">
        <v>0</v>
      </c>
      <c r="AM5" s="78" t="s">
        <v>130</v>
      </c>
      <c r="AN5" s="158">
        <v>0</v>
      </c>
      <c r="AO5" s="169">
        <v>0</v>
      </c>
      <c r="AP5" s="143" t="s">
        <v>144</v>
      </c>
      <c r="AQ5" s="158">
        <v>0</v>
      </c>
      <c r="AR5" s="83">
        <v>0</v>
      </c>
      <c r="AS5" s="143" t="s">
        <v>152</v>
      </c>
      <c r="AT5" s="207">
        <f>+M5-N5</f>
        <v>6.2000000000000006E-2</v>
      </c>
      <c r="AU5" s="209" t="s">
        <v>188</v>
      </c>
      <c r="AV5" s="78" t="s">
        <v>188</v>
      </c>
      <c r="AW5" s="78" t="s">
        <v>188</v>
      </c>
      <c r="AX5" s="78" t="s">
        <v>188</v>
      </c>
      <c r="AY5" s="78" t="s">
        <v>187</v>
      </c>
      <c r="AZ5" s="218"/>
      <c r="BA5" s="218"/>
      <c r="BB5" s="218"/>
      <c r="BC5" s="218"/>
      <c r="BD5" s="218"/>
      <c r="BE5" s="218"/>
      <c r="BF5" s="218"/>
      <c r="BG5" s="190" t="s">
        <v>192</v>
      </c>
    </row>
    <row r="6" spans="1:61" ht="231" customHeight="1" x14ac:dyDescent="0.2">
      <c r="A6" s="21" t="s">
        <v>35</v>
      </c>
      <c r="B6" s="10" t="s">
        <v>6</v>
      </c>
      <c r="C6" s="16" t="s">
        <v>4</v>
      </c>
      <c r="D6" s="33" t="s">
        <v>83</v>
      </c>
      <c r="E6" s="5">
        <v>0.23</v>
      </c>
      <c r="F6" s="5">
        <v>0.37</v>
      </c>
      <c r="G6" s="5">
        <v>0.49</v>
      </c>
      <c r="H6" s="5">
        <v>0.6</v>
      </c>
      <c r="I6" s="32" t="s">
        <v>23</v>
      </c>
      <c r="J6" s="33" t="s">
        <v>65</v>
      </c>
      <c r="K6" s="7">
        <v>0.6</v>
      </c>
      <c r="L6" s="7" t="s">
        <v>68</v>
      </c>
      <c r="M6" s="8">
        <f t="shared" si="1"/>
        <v>0.23</v>
      </c>
      <c r="N6" s="8">
        <v>0.23</v>
      </c>
      <c r="O6" s="165">
        <f t="shared" si="0"/>
        <v>1</v>
      </c>
      <c r="P6" s="17" t="s">
        <v>31</v>
      </c>
      <c r="Q6" s="153">
        <f>37%-N6</f>
        <v>0.13999999999999999</v>
      </c>
      <c r="R6" s="154">
        <v>15973524.470000001</v>
      </c>
      <c r="S6" s="154">
        <v>12368</v>
      </c>
      <c r="T6" s="167">
        <f>S6/R6</f>
        <v>7.7428121910279952E-4</v>
      </c>
      <c r="U6" s="17" t="s">
        <v>39</v>
      </c>
      <c r="V6" s="148">
        <v>75374</v>
      </c>
      <c r="W6" s="167">
        <f>V6/R6</f>
        <v>4.7186831022521351E-3</v>
      </c>
      <c r="X6" s="17" t="s">
        <v>57</v>
      </c>
      <c r="Y6" s="147">
        <v>43006</v>
      </c>
      <c r="Z6" s="171">
        <f t="shared" si="3"/>
        <v>2.6923300540697766E-3</v>
      </c>
      <c r="AA6" s="39" t="s">
        <v>78</v>
      </c>
      <c r="AB6" s="147">
        <v>168576</v>
      </c>
      <c r="AC6" s="173">
        <f t="shared" si="4"/>
        <v>1.0553463032945789E-2</v>
      </c>
      <c r="AD6" s="39" t="s">
        <v>96</v>
      </c>
      <c r="AE6" s="158">
        <v>7114924.2199999997</v>
      </c>
      <c r="AF6" s="173">
        <f>AE6/R6</f>
        <v>0.44541980909489287</v>
      </c>
      <c r="AG6" s="78" t="s">
        <v>108</v>
      </c>
      <c r="AH6" s="158">
        <v>7362927</v>
      </c>
      <c r="AI6" s="169">
        <f>AH6/R6</f>
        <v>0.46094567381346363</v>
      </c>
      <c r="AJ6" s="78" t="s">
        <v>118</v>
      </c>
      <c r="AK6" s="181">
        <v>7362927.5</v>
      </c>
      <c r="AL6" s="169">
        <f>+AK6/R6</f>
        <v>0.46094570511525934</v>
      </c>
      <c r="AM6" s="78" t="s">
        <v>129</v>
      </c>
      <c r="AN6" s="181">
        <v>7906008.1799999997</v>
      </c>
      <c r="AO6" s="169">
        <f>+AN6/R6</f>
        <v>0.49494450613252788</v>
      </c>
      <c r="AP6" s="90" t="s">
        <v>143</v>
      </c>
      <c r="AQ6" s="182">
        <v>8784660.1699999999</v>
      </c>
      <c r="AR6" s="83">
        <f>+AQ6/R6</f>
        <v>0.54995127634471264</v>
      </c>
      <c r="AS6" s="90" t="s">
        <v>155</v>
      </c>
      <c r="AT6" s="69" t="s">
        <v>195</v>
      </c>
      <c r="AU6" s="210">
        <v>16231703.439999999</v>
      </c>
      <c r="AV6" s="184">
        <f>+AU6/R6</f>
        <v>1.0161629307598887</v>
      </c>
      <c r="AW6" s="185">
        <v>42473922.210000001</v>
      </c>
      <c r="AX6" s="184">
        <f>+AW6/42215743.24</f>
        <v>1.006115703531079</v>
      </c>
      <c r="AY6" s="88" t="s">
        <v>207</v>
      </c>
      <c r="AZ6" s="216" t="s">
        <v>195</v>
      </c>
      <c r="BA6" s="216" t="s">
        <v>195</v>
      </c>
      <c r="BB6" s="216" t="s">
        <v>195</v>
      </c>
      <c r="BC6" s="216" t="s">
        <v>195</v>
      </c>
      <c r="BD6" s="216">
        <f>60-37.23</f>
        <v>22.770000000000003</v>
      </c>
      <c r="BE6" s="225">
        <v>0.12</v>
      </c>
      <c r="BF6" s="227">
        <v>13691592.4</v>
      </c>
      <c r="BG6" s="43" t="s">
        <v>208</v>
      </c>
    </row>
    <row r="7" spans="1:61" ht="214.5" customHeight="1" x14ac:dyDescent="0.2">
      <c r="A7" s="9" t="s">
        <v>34</v>
      </c>
      <c r="B7" s="10" t="s">
        <v>7</v>
      </c>
      <c r="C7" s="4" t="s">
        <v>4</v>
      </c>
      <c r="D7" s="33" t="s">
        <v>85</v>
      </c>
      <c r="E7" s="8">
        <v>3.0999999999999999E-3</v>
      </c>
      <c r="F7" s="8">
        <v>0.19900000000000001</v>
      </c>
      <c r="G7" s="8">
        <v>0.20300000000000001</v>
      </c>
      <c r="H7" s="8">
        <v>0.59399999999999997</v>
      </c>
      <c r="I7" s="32" t="s">
        <v>22</v>
      </c>
      <c r="J7" s="33" t="s">
        <v>64</v>
      </c>
      <c r="K7" s="7">
        <v>1</v>
      </c>
      <c r="L7" s="7" t="s">
        <v>69</v>
      </c>
      <c r="M7" s="8">
        <f t="shared" si="1"/>
        <v>3.0999999999999999E-3</v>
      </c>
      <c r="N7" s="14">
        <v>3.0999999999999999E-3</v>
      </c>
      <c r="O7" s="165">
        <f t="shared" si="0"/>
        <v>1</v>
      </c>
      <c r="P7" s="18" t="s">
        <v>28</v>
      </c>
      <c r="Q7" s="153">
        <f>19.9%-N7</f>
        <v>0.19589999999999999</v>
      </c>
      <c r="R7" s="146">
        <v>999718</v>
      </c>
      <c r="S7" s="148">
        <v>0</v>
      </c>
      <c r="T7" s="165">
        <f t="shared" si="2"/>
        <v>0</v>
      </c>
      <c r="U7" s="17" t="s">
        <v>40</v>
      </c>
      <c r="V7" s="148">
        <v>0</v>
      </c>
      <c r="W7" s="165">
        <f>V7/R7</f>
        <v>0</v>
      </c>
      <c r="X7" s="17" t="s">
        <v>60</v>
      </c>
      <c r="Y7" s="148">
        <v>0</v>
      </c>
      <c r="Z7" s="170">
        <f t="shared" si="3"/>
        <v>0</v>
      </c>
      <c r="AA7" s="39" t="s">
        <v>81</v>
      </c>
      <c r="AB7" s="147">
        <v>0</v>
      </c>
      <c r="AC7" s="173">
        <f>AB7/R7</f>
        <v>0</v>
      </c>
      <c r="AD7" s="39" t="s">
        <v>81</v>
      </c>
      <c r="AE7" s="147">
        <v>0</v>
      </c>
      <c r="AF7" s="173">
        <f>+AE7/R7</f>
        <v>0</v>
      </c>
      <c r="AG7" s="17" t="s">
        <v>81</v>
      </c>
      <c r="AH7" s="147">
        <v>0</v>
      </c>
      <c r="AI7" s="169">
        <f>AH7/R7</f>
        <v>0</v>
      </c>
      <c r="AJ7" s="17" t="s">
        <v>81</v>
      </c>
      <c r="AK7" s="147">
        <v>0</v>
      </c>
      <c r="AL7" s="169">
        <v>0</v>
      </c>
      <c r="AM7" s="82" t="s">
        <v>131</v>
      </c>
      <c r="AN7" s="158">
        <v>0</v>
      </c>
      <c r="AO7" s="169">
        <f>+AN7/R7</f>
        <v>0</v>
      </c>
      <c r="AP7" s="89" t="s">
        <v>140</v>
      </c>
      <c r="AQ7" s="158">
        <v>0</v>
      </c>
      <c r="AR7" s="83">
        <f>+AQ7/R7</f>
        <v>0</v>
      </c>
      <c r="AS7" s="94" t="s">
        <v>140</v>
      </c>
      <c r="AT7" s="69" t="s">
        <v>195</v>
      </c>
      <c r="AU7" s="211" t="s">
        <v>188</v>
      </c>
      <c r="AV7" s="75" t="s">
        <v>188</v>
      </c>
      <c r="AW7" s="75" t="s">
        <v>188</v>
      </c>
      <c r="AX7" s="75" t="s">
        <v>188</v>
      </c>
      <c r="AY7" s="78" t="s">
        <v>187</v>
      </c>
      <c r="AZ7" s="219"/>
      <c r="BA7" s="219"/>
      <c r="BB7" s="219"/>
      <c r="BC7" s="219"/>
      <c r="BD7" s="219"/>
      <c r="BE7" s="219"/>
      <c r="BF7" s="219"/>
      <c r="BG7" s="190" t="s">
        <v>192</v>
      </c>
    </row>
    <row r="8" spans="1:61" ht="331.5" customHeight="1" x14ac:dyDescent="0.2">
      <c r="A8" s="21" t="s">
        <v>35</v>
      </c>
      <c r="B8" s="10" t="s">
        <v>15</v>
      </c>
      <c r="C8" s="16" t="s">
        <v>4</v>
      </c>
      <c r="D8" s="33" t="s">
        <v>84</v>
      </c>
      <c r="E8" s="5">
        <v>0.05</v>
      </c>
      <c r="F8" s="5">
        <v>0.3</v>
      </c>
      <c r="G8" s="5">
        <v>0.6</v>
      </c>
      <c r="H8" s="5">
        <v>1</v>
      </c>
      <c r="I8" s="31" t="s">
        <v>45</v>
      </c>
      <c r="J8" s="33" t="s">
        <v>66</v>
      </c>
      <c r="K8" s="34">
        <v>1</v>
      </c>
      <c r="L8" s="34" t="s">
        <v>70</v>
      </c>
      <c r="M8" s="5">
        <f t="shared" si="1"/>
        <v>0.05</v>
      </c>
      <c r="N8" s="5">
        <v>0.05</v>
      </c>
      <c r="O8" s="165">
        <f t="shared" si="0"/>
        <v>1</v>
      </c>
      <c r="P8" s="18" t="s">
        <v>33</v>
      </c>
      <c r="Q8" s="149">
        <f>30%-N8</f>
        <v>0.25</v>
      </c>
      <c r="R8" s="149">
        <v>0.25</v>
      </c>
      <c r="S8" s="149">
        <v>0.04</v>
      </c>
      <c r="T8" s="165">
        <f>S8/R8</f>
        <v>0.16</v>
      </c>
      <c r="U8" s="17" t="s">
        <v>41</v>
      </c>
      <c r="V8" s="149">
        <v>7.0000000000000007E-2</v>
      </c>
      <c r="W8" s="165">
        <f>V8/R8</f>
        <v>0.28000000000000003</v>
      </c>
      <c r="X8" s="17" t="s">
        <v>56</v>
      </c>
      <c r="Y8" s="149">
        <v>0.11</v>
      </c>
      <c r="Z8" s="170">
        <f t="shared" si="3"/>
        <v>0.44</v>
      </c>
      <c r="AA8" s="40" t="s">
        <v>77</v>
      </c>
      <c r="AB8" s="149">
        <v>0.14000000000000001</v>
      </c>
      <c r="AC8" s="170">
        <f t="shared" si="4"/>
        <v>0.56000000000000005</v>
      </c>
      <c r="AD8" s="39" t="s">
        <v>97</v>
      </c>
      <c r="AE8" s="175">
        <v>0.15</v>
      </c>
      <c r="AF8" s="170">
        <f>AE8/R8</f>
        <v>0.6</v>
      </c>
      <c r="AG8" s="17" t="s">
        <v>109</v>
      </c>
      <c r="AH8" s="151">
        <v>0.15</v>
      </c>
      <c r="AI8" s="169">
        <f>AH8/R8</f>
        <v>0.6</v>
      </c>
      <c r="AJ8" s="17" t="s">
        <v>121</v>
      </c>
      <c r="AK8" s="151">
        <v>0.15</v>
      </c>
      <c r="AL8" s="169">
        <v>0.5</v>
      </c>
      <c r="AM8" s="80" t="s">
        <v>126</v>
      </c>
      <c r="AN8" s="179">
        <v>0.15</v>
      </c>
      <c r="AO8" s="169">
        <v>0.5</v>
      </c>
      <c r="AP8" s="88" t="s">
        <v>139</v>
      </c>
      <c r="AQ8" s="160">
        <v>0.15</v>
      </c>
      <c r="AR8" s="83">
        <v>0.5</v>
      </c>
      <c r="AS8" s="90" t="s">
        <v>151</v>
      </c>
      <c r="AT8" s="69" t="s">
        <v>195</v>
      </c>
      <c r="AU8" s="212">
        <v>0.15</v>
      </c>
      <c r="AV8" s="169">
        <f>+AU8/30%</f>
        <v>0.5</v>
      </c>
      <c r="AW8" s="186">
        <v>0.2</v>
      </c>
      <c r="AX8" s="169">
        <f>+AW8/30%</f>
        <v>0.66666666666666674</v>
      </c>
      <c r="AY8" s="94" t="s">
        <v>183</v>
      </c>
      <c r="AZ8" s="229">
        <f>25%-15%</f>
        <v>0.1</v>
      </c>
      <c r="BA8" s="217" t="s">
        <v>200</v>
      </c>
      <c r="BB8" s="229">
        <f>30%-20%</f>
        <v>9.9999999999999978E-2</v>
      </c>
      <c r="BC8" s="217" t="s">
        <v>200</v>
      </c>
      <c r="BD8" s="229">
        <f>100%-20%</f>
        <v>0.8</v>
      </c>
      <c r="BE8" s="229">
        <v>0.4</v>
      </c>
      <c r="BF8" s="217" t="s">
        <v>200</v>
      </c>
      <c r="BG8" s="141" t="s">
        <v>184</v>
      </c>
    </row>
    <row r="9" spans="1:61" ht="240" x14ac:dyDescent="0.2">
      <c r="A9" s="21" t="s">
        <v>35</v>
      </c>
      <c r="B9" s="32" t="s">
        <v>9</v>
      </c>
      <c r="C9" s="20" t="s">
        <v>10</v>
      </c>
      <c r="D9" s="33" t="s">
        <v>84</v>
      </c>
      <c r="E9" s="16">
        <v>6</v>
      </c>
      <c r="F9" s="16">
        <v>10</v>
      </c>
      <c r="G9" s="16">
        <v>17</v>
      </c>
      <c r="H9" s="16">
        <v>20</v>
      </c>
      <c r="I9" s="6" t="s">
        <v>22</v>
      </c>
      <c r="J9" s="33" t="s">
        <v>64</v>
      </c>
      <c r="K9" s="20">
        <v>20</v>
      </c>
      <c r="L9" s="20">
        <v>20</v>
      </c>
      <c r="M9" s="13">
        <f t="shared" si="1"/>
        <v>6</v>
      </c>
      <c r="N9" s="13">
        <v>8</v>
      </c>
      <c r="O9" s="165">
        <f t="shared" si="0"/>
        <v>1.3333333333333333</v>
      </c>
      <c r="P9" s="17" t="s">
        <v>29</v>
      </c>
      <c r="Q9" s="155">
        <f>10-E9</f>
        <v>4</v>
      </c>
      <c r="R9" s="150">
        <v>4</v>
      </c>
      <c r="S9" s="150">
        <v>1</v>
      </c>
      <c r="T9" s="165">
        <f>S9/4</f>
        <v>0.25</v>
      </c>
      <c r="U9" s="17" t="s">
        <v>42</v>
      </c>
      <c r="V9" s="150">
        <v>2</v>
      </c>
      <c r="W9" s="165">
        <f>V9/4</f>
        <v>0.5</v>
      </c>
      <c r="X9" s="17" t="s">
        <v>55</v>
      </c>
      <c r="Y9" s="150">
        <v>2</v>
      </c>
      <c r="Z9" s="170">
        <f>Y9/4</f>
        <v>0.5</v>
      </c>
      <c r="AA9" s="39" t="s">
        <v>80</v>
      </c>
      <c r="AB9" s="155">
        <v>3</v>
      </c>
      <c r="AC9" s="170">
        <f>AB9/4</f>
        <v>0.75</v>
      </c>
      <c r="AD9" s="43" t="s">
        <v>98</v>
      </c>
      <c r="AE9" s="176">
        <v>3</v>
      </c>
      <c r="AF9" s="170">
        <f>AE9/4</f>
        <v>0.75</v>
      </c>
      <c r="AG9" s="78" t="s">
        <v>105</v>
      </c>
      <c r="AH9" s="150">
        <v>5</v>
      </c>
      <c r="AI9" s="169">
        <f>AH9/4</f>
        <v>1.25</v>
      </c>
      <c r="AJ9" s="17" t="s">
        <v>120</v>
      </c>
      <c r="AK9" s="178">
        <v>8</v>
      </c>
      <c r="AL9" s="169">
        <f>+AK9/4</f>
        <v>2</v>
      </c>
      <c r="AM9" s="17" t="s">
        <v>132</v>
      </c>
      <c r="AN9" s="178">
        <v>8</v>
      </c>
      <c r="AO9" s="169">
        <f>+AN9/R9</f>
        <v>2</v>
      </c>
      <c r="AP9" s="88" t="s">
        <v>141</v>
      </c>
      <c r="AQ9" s="159">
        <v>9</v>
      </c>
      <c r="AR9" s="83">
        <f>+AQ9/R9</f>
        <v>2.25</v>
      </c>
      <c r="AS9" s="94" t="s">
        <v>153</v>
      </c>
      <c r="AT9" s="69" t="s">
        <v>195</v>
      </c>
      <c r="AU9" s="213">
        <v>11</v>
      </c>
      <c r="AV9" s="169">
        <f>+AU9/R9</f>
        <v>2.75</v>
      </c>
      <c r="AW9" s="187">
        <f>11+8</f>
        <v>19</v>
      </c>
      <c r="AX9" s="169">
        <f>+AW9/20</f>
        <v>0.95</v>
      </c>
      <c r="AY9" s="89" t="s">
        <v>186</v>
      </c>
      <c r="AZ9" s="216" t="s">
        <v>195</v>
      </c>
      <c r="BA9" s="216" t="s">
        <v>200</v>
      </c>
      <c r="BB9" s="216" t="s">
        <v>195</v>
      </c>
      <c r="BC9" s="216" t="s">
        <v>200</v>
      </c>
      <c r="BD9" s="216">
        <v>1</v>
      </c>
      <c r="BE9" s="216" t="s">
        <v>195</v>
      </c>
      <c r="BF9" s="216" t="s">
        <v>200</v>
      </c>
      <c r="BG9" s="43" t="s">
        <v>185</v>
      </c>
    </row>
    <row r="10" spans="1:61" ht="409.5" customHeight="1" x14ac:dyDescent="0.2">
      <c r="A10" s="22" t="s">
        <v>35</v>
      </c>
      <c r="B10" s="76" t="s">
        <v>11</v>
      </c>
      <c r="C10" s="16" t="s">
        <v>8</v>
      </c>
      <c r="D10" s="33" t="s">
        <v>84</v>
      </c>
      <c r="E10" s="77">
        <v>175</v>
      </c>
      <c r="F10" s="77">
        <v>200</v>
      </c>
      <c r="G10" s="77">
        <v>225</v>
      </c>
      <c r="H10" s="35">
        <v>250</v>
      </c>
      <c r="I10" s="36" t="s">
        <v>12</v>
      </c>
      <c r="J10" s="38" t="s">
        <v>67</v>
      </c>
      <c r="K10" s="37">
        <v>250</v>
      </c>
      <c r="L10" s="37">
        <v>250</v>
      </c>
      <c r="M10" s="23">
        <f t="shared" si="1"/>
        <v>175</v>
      </c>
      <c r="N10" s="23">
        <v>185</v>
      </c>
      <c r="O10" s="166">
        <f t="shared" si="0"/>
        <v>1.0571428571428572</v>
      </c>
      <c r="P10" s="24" t="s">
        <v>30</v>
      </c>
      <c r="Q10" s="156">
        <f>200-E10</f>
        <v>25</v>
      </c>
      <c r="R10" s="157">
        <v>25</v>
      </c>
      <c r="S10" s="147">
        <v>0</v>
      </c>
      <c r="T10" s="166">
        <f>S10/25</f>
        <v>0</v>
      </c>
      <c r="U10" s="24" t="s">
        <v>43</v>
      </c>
      <c r="V10" s="147">
        <v>0</v>
      </c>
      <c r="W10" s="166">
        <f>V10/25</f>
        <v>0</v>
      </c>
      <c r="X10" s="24" t="s">
        <v>54</v>
      </c>
      <c r="Y10" s="147">
        <v>0</v>
      </c>
      <c r="Z10" s="172">
        <f>Y10/25</f>
        <v>0</v>
      </c>
      <c r="AA10" s="41" t="s">
        <v>79</v>
      </c>
      <c r="AB10" s="150">
        <v>15</v>
      </c>
      <c r="AC10" s="170">
        <f>AB10/25</f>
        <v>0.6</v>
      </c>
      <c r="AD10" s="41" t="s">
        <v>99</v>
      </c>
      <c r="AE10" s="174">
        <v>33</v>
      </c>
      <c r="AF10" s="170">
        <f>AE10/25</f>
        <v>1.32</v>
      </c>
      <c r="AG10" s="17" t="s">
        <v>111</v>
      </c>
      <c r="AH10" s="150">
        <v>55</v>
      </c>
      <c r="AI10" s="170">
        <f>AH10/25</f>
        <v>2.2000000000000002</v>
      </c>
      <c r="AJ10" s="17" t="s">
        <v>116</v>
      </c>
      <c r="AK10" s="178">
        <v>77</v>
      </c>
      <c r="AL10" s="170">
        <f>+AK10/25</f>
        <v>3.08</v>
      </c>
      <c r="AM10" s="17" t="s">
        <v>127</v>
      </c>
      <c r="AN10" s="178">
        <v>117</v>
      </c>
      <c r="AO10" s="170">
        <f>+AN10/25</f>
        <v>4.68</v>
      </c>
      <c r="AP10" s="91" t="s">
        <v>145</v>
      </c>
      <c r="AQ10" s="159">
        <v>150</v>
      </c>
      <c r="AR10" s="84">
        <f>+AQ10/25</f>
        <v>6</v>
      </c>
      <c r="AS10" s="90" t="s">
        <v>149</v>
      </c>
      <c r="AT10" s="69" t="s">
        <v>195</v>
      </c>
      <c r="AU10" s="214">
        <f>150+37</f>
        <v>187</v>
      </c>
      <c r="AV10" s="170">
        <f>+AU10/25</f>
        <v>7.48</v>
      </c>
      <c r="AW10" s="187">
        <v>372</v>
      </c>
      <c r="AX10" s="170">
        <f>+AW10/200</f>
        <v>1.86</v>
      </c>
      <c r="AY10" s="88" t="s">
        <v>209</v>
      </c>
      <c r="AZ10" s="216" t="s">
        <v>195</v>
      </c>
      <c r="BA10" s="216" t="s">
        <v>200</v>
      </c>
      <c r="BB10" s="216" t="s">
        <v>195</v>
      </c>
      <c r="BC10" s="216" t="s">
        <v>200</v>
      </c>
      <c r="BD10" s="216" t="s">
        <v>202</v>
      </c>
      <c r="BE10" s="216" t="s">
        <v>195</v>
      </c>
      <c r="BF10" s="216" t="s">
        <v>200</v>
      </c>
      <c r="BG10" s="43" t="s">
        <v>210</v>
      </c>
    </row>
    <row r="11" spans="1:61" ht="233.25" customHeight="1" x14ac:dyDescent="0.2">
      <c r="A11" s="25" t="s">
        <v>74</v>
      </c>
      <c r="B11" s="25" t="s">
        <v>46</v>
      </c>
      <c r="C11" s="26" t="s">
        <v>4</v>
      </c>
      <c r="D11" s="26"/>
      <c r="E11" s="27">
        <v>0.1</v>
      </c>
      <c r="F11" s="235">
        <v>0.3</v>
      </c>
      <c r="G11" s="27">
        <v>0.3</v>
      </c>
      <c r="H11" s="27">
        <v>0.3</v>
      </c>
      <c r="I11" s="11" t="s">
        <v>12</v>
      </c>
      <c r="J11" s="33" t="s">
        <v>67</v>
      </c>
      <c r="K11" s="28">
        <v>1</v>
      </c>
      <c r="L11" s="28">
        <v>1</v>
      </c>
      <c r="M11" s="28">
        <v>0.1</v>
      </c>
      <c r="N11" s="28">
        <v>0.1</v>
      </c>
      <c r="O11" s="165">
        <f t="shared" si="0"/>
        <v>1</v>
      </c>
      <c r="P11" s="17" t="s">
        <v>47</v>
      </c>
      <c r="Q11" s="151">
        <v>0.3</v>
      </c>
      <c r="R11" s="151">
        <v>0.3</v>
      </c>
      <c r="S11" s="151">
        <v>0.01</v>
      </c>
      <c r="T11" s="166">
        <f t="shared" si="2"/>
        <v>3.3333333333333333E-2</v>
      </c>
      <c r="U11" s="17" t="s">
        <v>48</v>
      </c>
      <c r="V11" s="149">
        <v>0.02</v>
      </c>
      <c r="W11" s="165">
        <f>V11/R11</f>
        <v>6.6666666666666666E-2</v>
      </c>
      <c r="X11" s="17" t="s">
        <v>61</v>
      </c>
      <c r="Y11" s="149">
        <v>0.05</v>
      </c>
      <c r="Z11" s="165">
        <f t="shared" si="3"/>
        <v>0.16666666666666669</v>
      </c>
      <c r="AA11" s="17" t="s">
        <v>76</v>
      </c>
      <c r="AB11" s="151">
        <v>0.06</v>
      </c>
      <c r="AC11" s="165">
        <f t="shared" si="4"/>
        <v>0.2</v>
      </c>
      <c r="AD11" s="17" t="s">
        <v>100</v>
      </c>
      <c r="AE11" s="177">
        <v>0.09</v>
      </c>
      <c r="AF11" s="165">
        <f>AE11/R11</f>
        <v>0.3</v>
      </c>
      <c r="AG11" s="17" t="s">
        <v>110</v>
      </c>
      <c r="AH11" s="177">
        <v>0.16</v>
      </c>
      <c r="AI11" s="170">
        <f>AH11/R11</f>
        <v>0.53333333333333333</v>
      </c>
      <c r="AJ11" s="17" t="s">
        <v>122</v>
      </c>
      <c r="AK11" s="177">
        <v>0.21</v>
      </c>
      <c r="AL11" s="170">
        <f>+AK11/R11</f>
        <v>0.7</v>
      </c>
      <c r="AM11" s="17" t="s">
        <v>133</v>
      </c>
      <c r="AN11" s="180">
        <v>0.23499999999999999</v>
      </c>
      <c r="AO11" s="170">
        <f>+AN11/R11</f>
        <v>0.78333333333333333</v>
      </c>
      <c r="AP11" s="17" t="s">
        <v>138</v>
      </c>
      <c r="AQ11" s="140">
        <v>0.27</v>
      </c>
      <c r="AR11" s="84">
        <f>+AQ11/R11</f>
        <v>0.90000000000000013</v>
      </c>
      <c r="AS11" s="162" t="s">
        <v>150</v>
      </c>
      <c r="AT11" s="69" t="s">
        <v>195</v>
      </c>
      <c r="AU11" s="215">
        <v>0.3</v>
      </c>
      <c r="AV11" s="170">
        <f>+AU11/R11</f>
        <v>1</v>
      </c>
      <c r="AW11" s="188">
        <v>0.4</v>
      </c>
      <c r="AX11" s="189">
        <f>+AW11/100%</f>
        <v>0.4</v>
      </c>
      <c r="AY11" s="162" t="s">
        <v>191</v>
      </c>
      <c r="AZ11" s="216" t="s">
        <v>195</v>
      </c>
      <c r="BA11" s="216" t="s">
        <v>200</v>
      </c>
      <c r="BB11" s="216" t="s">
        <v>195</v>
      </c>
      <c r="BC11" s="216" t="s">
        <v>200</v>
      </c>
      <c r="BD11" s="224">
        <v>0.6</v>
      </c>
      <c r="BE11" s="216" t="s">
        <v>195</v>
      </c>
      <c r="BF11" s="216" t="s">
        <v>200</v>
      </c>
      <c r="BG11" s="43" t="s">
        <v>190</v>
      </c>
    </row>
    <row r="12" spans="1:61" ht="17.25" customHeight="1" x14ac:dyDescent="0.2">
      <c r="A12" s="385"/>
      <c r="B12" s="385"/>
      <c r="C12" s="385"/>
      <c r="D12" s="385"/>
      <c r="E12" s="2"/>
      <c r="F12" s="2"/>
      <c r="G12" s="2"/>
      <c r="H12" s="2"/>
      <c r="I12" s="2"/>
      <c r="J12" s="2"/>
      <c r="K12" s="2"/>
      <c r="L12" s="2"/>
      <c r="AE12" s="85"/>
      <c r="AI12" s="85"/>
      <c r="AK12" s="86"/>
      <c r="AY12" s="85"/>
      <c r="AZ12" s="85"/>
      <c r="BA12" s="85"/>
      <c r="BB12" s="85"/>
      <c r="BC12" s="85"/>
      <c r="BD12" s="85"/>
      <c r="BE12" s="85"/>
      <c r="BF12" s="85"/>
    </row>
    <row r="13" spans="1:61" ht="23.25" customHeight="1" x14ac:dyDescent="0.2">
      <c r="A13" s="385"/>
      <c r="B13" s="385"/>
      <c r="C13" s="202"/>
      <c r="D13" s="202"/>
      <c r="E13" s="234"/>
      <c r="F13" s="234"/>
      <c r="G13" s="2"/>
      <c r="H13" s="2"/>
      <c r="I13" s="81"/>
      <c r="J13" s="2"/>
      <c r="K13" s="2"/>
      <c r="L13" s="2"/>
      <c r="AI13" s="85"/>
      <c r="AK13" s="85"/>
      <c r="AN13" s="87"/>
      <c r="AU13" s="122"/>
    </row>
    <row r="14" spans="1:61" x14ac:dyDescent="0.2">
      <c r="A14" s="2"/>
      <c r="B14" s="2"/>
      <c r="C14" s="2"/>
      <c r="D14" s="2"/>
      <c r="E14" s="2"/>
      <c r="F14" s="2"/>
      <c r="G14" s="2"/>
      <c r="H14" s="2"/>
      <c r="I14" s="2"/>
      <c r="J14" s="2"/>
      <c r="K14" s="2"/>
      <c r="L14" s="2"/>
      <c r="AK14" s="85"/>
    </row>
    <row r="15" spans="1:61" x14ac:dyDescent="0.2">
      <c r="B15" s="2"/>
      <c r="C15" s="2"/>
      <c r="D15" s="2"/>
      <c r="E15" s="2"/>
      <c r="F15" s="92"/>
      <c r="G15" s="2"/>
      <c r="H15" s="2"/>
      <c r="I15" s="2"/>
      <c r="J15" s="2"/>
      <c r="K15" s="2"/>
      <c r="L15" s="2"/>
    </row>
    <row r="16" spans="1:61" x14ac:dyDescent="0.2">
      <c r="B16" s="2"/>
      <c r="C16" s="2"/>
      <c r="D16" s="2"/>
      <c r="E16" s="2"/>
      <c r="F16" s="2"/>
      <c r="G16" s="2"/>
      <c r="H16" s="2"/>
      <c r="I16" s="2"/>
      <c r="J16" s="2"/>
      <c r="K16" s="2"/>
      <c r="L16" s="2"/>
    </row>
    <row r="17" spans="2:50" x14ac:dyDescent="0.2">
      <c r="B17" s="2"/>
      <c r="C17" s="2"/>
      <c r="D17" s="2"/>
      <c r="E17" s="2"/>
      <c r="F17" s="2"/>
      <c r="G17" s="2"/>
      <c r="H17" s="2"/>
      <c r="I17" s="2"/>
      <c r="J17" s="2"/>
      <c r="K17" s="2"/>
      <c r="L17" s="2"/>
    </row>
    <row r="18" spans="2:50" x14ac:dyDescent="0.2">
      <c r="B18" s="2"/>
      <c r="C18" s="2"/>
      <c r="D18" s="2"/>
      <c r="E18" s="2"/>
      <c r="F18" s="2"/>
      <c r="G18" s="2"/>
      <c r="H18" s="2"/>
      <c r="I18" s="2"/>
      <c r="J18" s="2"/>
      <c r="K18" s="2"/>
      <c r="L18" s="2"/>
      <c r="AW18" s="96"/>
      <c r="AX18" s="85"/>
    </row>
    <row r="22" spans="2:50" x14ac:dyDescent="0.2">
      <c r="AU22" s="93"/>
    </row>
    <row r="24" spans="2:50" ht="15.75" x14ac:dyDescent="0.25">
      <c r="AV24" s="98"/>
      <c r="AW24" s="99"/>
    </row>
    <row r="29" spans="2:50" x14ac:dyDescent="0.2">
      <c r="AW29" s="97"/>
    </row>
    <row r="30" spans="2:50" x14ac:dyDescent="0.2">
      <c r="AW30" s="97"/>
    </row>
  </sheetData>
  <autoFilter ref="A3:CC11" xr:uid="{FBA426BB-B208-4DEC-9429-EBB874B0174E}"/>
  <mergeCells count="17">
    <mergeCell ref="BG2:BG3"/>
    <mergeCell ref="A12:D12"/>
    <mergeCell ref="A13:B13"/>
    <mergeCell ref="AZ2:BF2"/>
    <mergeCell ref="AT2:AT3"/>
    <mergeCell ref="AU2:AY2"/>
    <mergeCell ref="A1:AY1"/>
    <mergeCell ref="A2:A3"/>
    <mergeCell ref="B2:B3"/>
    <mergeCell ref="C2:C3"/>
    <mergeCell ref="D2:D3"/>
    <mergeCell ref="E2:H2"/>
    <mergeCell ref="I2:I3"/>
    <mergeCell ref="J2:J3"/>
    <mergeCell ref="K2:K3"/>
    <mergeCell ref="L2:L3"/>
    <mergeCell ref="M2:P2"/>
  </mergeCells>
  <conditionalFormatting sqref="O4:O11 T10:T11">
    <cfRule type="cellIs" dxfId="164" priority="142" operator="lessThan">
      <formula>0.4</formula>
    </cfRule>
    <cfRule type="cellIs" dxfId="163" priority="143" operator="between">
      <formula>0.4</formula>
      <formula>0.799</formula>
    </cfRule>
    <cfRule type="cellIs" dxfId="162" priority="144" operator="greaterThanOrEqual">
      <formula>0.8</formula>
    </cfRule>
  </conditionalFormatting>
  <conditionalFormatting sqref="T9">
    <cfRule type="cellIs" dxfId="161" priority="139" operator="lessThan">
      <formula>0.4</formula>
    </cfRule>
    <cfRule type="cellIs" dxfId="160" priority="140" operator="between">
      <formula>0.4</formula>
      <formula>0.799</formula>
    </cfRule>
    <cfRule type="cellIs" dxfId="159" priority="141" operator="greaterThanOrEqual">
      <formula>0.8</formula>
    </cfRule>
  </conditionalFormatting>
  <conditionalFormatting sqref="Z4:Z5">
    <cfRule type="cellIs" dxfId="158" priority="136" operator="lessThan">
      <formula>0.4</formula>
    </cfRule>
    <cfRule type="cellIs" dxfId="157" priority="137" operator="between">
      <formula>0.4</formula>
      <formula>0.799</formula>
    </cfRule>
    <cfRule type="cellIs" dxfId="156" priority="138" operator="greaterThanOrEqual">
      <formula>0.8</formula>
    </cfRule>
  </conditionalFormatting>
  <conditionalFormatting sqref="T6:T8">
    <cfRule type="cellIs" dxfId="155" priority="133" operator="lessThan">
      <formula>0.4</formula>
    </cfRule>
    <cfRule type="cellIs" dxfId="154" priority="134" operator="between">
      <formula>0.4</formula>
      <formula>0.799</formula>
    </cfRule>
    <cfRule type="cellIs" dxfId="153" priority="135" operator="greaterThanOrEqual">
      <formula>0.8</formula>
    </cfRule>
  </conditionalFormatting>
  <conditionalFormatting sqref="W6:W11">
    <cfRule type="cellIs" dxfId="152" priority="130" operator="lessThan">
      <formula>0.4</formula>
    </cfRule>
    <cfRule type="cellIs" dxfId="151" priority="131" operator="between">
      <formula>0.4</formula>
      <formula>0.799</formula>
    </cfRule>
    <cfRule type="cellIs" dxfId="150" priority="132" operator="greaterThanOrEqual">
      <formula>0.8</formula>
    </cfRule>
  </conditionalFormatting>
  <conditionalFormatting sqref="Z6:Z11">
    <cfRule type="cellIs" dxfId="149" priority="127" operator="lessThan">
      <formula>0.4</formula>
    </cfRule>
    <cfRule type="cellIs" dxfId="148" priority="128" operator="between">
      <formula>0.4</formula>
      <formula>0.799</formula>
    </cfRule>
    <cfRule type="cellIs" dxfId="147" priority="129" operator="greaterThanOrEqual">
      <formula>0.8</formula>
    </cfRule>
  </conditionalFormatting>
  <conditionalFormatting sqref="T4:T5">
    <cfRule type="cellIs" dxfId="146" priority="124" operator="lessThan">
      <formula>0.4</formula>
    </cfRule>
    <cfRule type="cellIs" dxfId="145" priority="125" operator="between">
      <formula>0.4</formula>
      <formula>0.799</formula>
    </cfRule>
    <cfRule type="cellIs" dxfId="144" priority="126" operator="greaterThanOrEqual">
      <formula>0.8</formula>
    </cfRule>
  </conditionalFormatting>
  <conditionalFormatting sqref="W4:W5">
    <cfRule type="cellIs" dxfId="143" priority="121" operator="lessThan">
      <formula>0.4</formula>
    </cfRule>
    <cfRule type="cellIs" dxfId="142" priority="122" operator="between">
      <formula>0.4</formula>
      <formula>0.799</formula>
    </cfRule>
    <cfRule type="cellIs" dxfId="141" priority="123" operator="greaterThanOrEqual">
      <formula>0.8</formula>
    </cfRule>
  </conditionalFormatting>
  <conditionalFormatting sqref="AC4:AC11">
    <cfRule type="cellIs" dxfId="140" priority="118" operator="lessThan">
      <formula>0.4</formula>
    </cfRule>
    <cfRule type="cellIs" dxfId="139" priority="119" operator="between">
      <formula>0.4</formula>
      <formula>0.799</formula>
    </cfRule>
    <cfRule type="cellIs" dxfId="138" priority="120" operator="greaterThanOrEqual">
      <formula>0.8</formula>
    </cfRule>
  </conditionalFormatting>
  <conditionalFormatting sqref="AF9">
    <cfRule type="cellIs" dxfId="137" priority="115" operator="lessThan">
      <formula>0.4</formula>
    </cfRule>
    <cfRule type="cellIs" dxfId="136" priority="116" operator="between">
      <formula>0.4</formula>
      <formula>0.799</formula>
    </cfRule>
    <cfRule type="cellIs" dxfId="135" priority="117" operator="greaterThanOrEqual">
      <formula>0.8</formula>
    </cfRule>
  </conditionalFormatting>
  <conditionalFormatting sqref="AF7">
    <cfRule type="cellIs" dxfId="134" priority="112" operator="lessThan">
      <formula>0.4</formula>
    </cfRule>
    <cfRule type="cellIs" dxfId="133" priority="113" operator="between">
      <formula>0.4</formula>
      <formula>0.799</formula>
    </cfRule>
    <cfRule type="cellIs" dxfId="132" priority="114" operator="greaterThanOrEqual">
      <formula>0.8</formula>
    </cfRule>
  </conditionalFormatting>
  <conditionalFormatting sqref="AF5:AF6">
    <cfRule type="cellIs" dxfId="131" priority="109" operator="lessThan">
      <formula>0.4</formula>
    </cfRule>
    <cfRule type="cellIs" dxfId="130" priority="110" operator="between">
      <formula>0.4</formula>
      <formula>0.799</formula>
    </cfRule>
    <cfRule type="cellIs" dxfId="129" priority="111" operator="greaterThanOrEqual">
      <formula>0.8</formula>
    </cfRule>
  </conditionalFormatting>
  <conditionalFormatting sqref="AF4">
    <cfRule type="cellIs" dxfId="128" priority="106" operator="lessThan">
      <formula>0.4</formula>
    </cfRule>
    <cfRule type="cellIs" dxfId="127" priority="107" operator="between">
      <formula>0.4</formula>
      <formula>0.799</formula>
    </cfRule>
    <cfRule type="cellIs" dxfId="126" priority="108" operator="greaterThanOrEqual">
      <formula>0.8</formula>
    </cfRule>
  </conditionalFormatting>
  <conditionalFormatting sqref="AF8">
    <cfRule type="cellIs" dxfId="125" priority="103" operator="lessThan">
      <formula>0.4</formula>
    </cfRule>
    <cfRule type="cellIs" dxfId="124" priority="104" operator="between">
      <formula>0.4</formula>
      <formula>0.799</formula>
    </cfRule>
    <cfRule type="cellIs" dxfId="123" priority="105" operator="greaterThanOrEqual">
      <formula>0.8</formula>
    </cfRule>
  </conditionalFormatting>
  <conditionalFormatting sqref="AF11">
    <cfRule type="cellIs" dxfId="122" priority="100" operator="lessThan">
      <formula>0.4</formula>
    </cfRule>
    <cfRule type="cellIs" dxfId="121" priority="101" operator="between">
      <formula>0.4</formula>
      <formula>0.799</formula>
    </cfRule>
    <cfRule type="cellIs" dxfId="120" priority="102" operator="greaterThanOrEqual">
      <formula>0.8</formula>
    </cfRule>
  </conditionalFormatting>
  <conditionalFormatting sqref="AF10">
    <cfRule type="cellIs" dxfId="119" priority="97" operator="lessThan">
      <formula>0.4</formula>
    </cfRule>
    <cfRule type="cellIs" dxfId="118" priority="98" operator="between">
      <formula>0.4</formula>
      <formula>0.799</formula>
    </cfRule>
    <cfRule type="cellIs" dxfId="117" priority="99" operator="greaterThanOrEqual">
      <formula>0.8</formula>
    </cfRule>
  </conditionalFormatting>
  <conditionalFormatting sqref="AI10:AI11">
    <cfRule type="cellIs" dxfId="116" priority="94" operator="lessThan">
      <formula>0.4</formula>
    </cfRule>
    <cfRule type="cellIs" dxfId="115" priority="95" operator="between">
      <formula>0.4</formula>
      <formula>0.799</formula>
    </cfRule>
    <cfRule type="cellIs" dxfId="114" priority="96" operator="greaterThanOrEqual">
      <formula>0.8</formula>
    </cfRule>
  </conditionalFormatting>
  <conditionalFormatting sqref="AI4:AI9">
    <cfRule type="cellIs" dxfId="113" priority="91" operator="lessThan">
      <formula>0.4</formula>
    </cfRule>
    <cfRule type="cellIs" dxfId="112" priority="92" operator="between">
      <formula>0.4</formula>
      <formula>0.799</formula>
    </cfRule>
    <cfRule type="cellIs" dxfId="111" priority="93" operator="greaterThanOrEqual">
      <formula>0.8</formula>
    </cfRule>
  </conditionalFormatting>
  <conditionalFormatting sqref="AL8">
    <cfRule type="cellIs" dxfId="110" priority="88" operator="lessThan">
      <formula>0.4</formula>
    </cfRule>
    <cfRule type="cellIs" dxfId="109" priority="89" operator="between">
      <formula>0.4</formula>
      <formula>0.799</formula>
    </cfRule>
    <cfRule type="cellIs" dxfId="108" priority="90" operator="greaterThanOrEqual">
      <formula>0.8</formula>
    </cfRule>
  </conditionalFormatting>
  <conditionalFormatting sqref="AL10">
    <cfRule type="cellIs" dxfId="107" priority="85" operator="lessThan">
      <formula>0.4</formula>
    </cfRule>
    <cfRule type="cellIs" dxfId="106" priority="86" operator="between">
      <formula>0.4</formula>
      <formula>0.799</formula>
    </cfRule>
    <cfRule type="cellIs" dxfId="105" priority="87" operator="greaterThanOrEqual">
      <formula>0.8</formula>
    </cfRule>
  </conditionalFormatting>
  <conditionalFormatting sqref="AL4">
    <cfRule type="cellIs" dxfId="104" priority="82" operator="lessThan">
      <formula>0.4</formula>
    </cfRule>
    <cfRule type="cellIs" dxfId="103" priority="83" operator="between">
      <formula>0.4</formula>
      <formula>0.799</formula>
    </cfRule>
    <cfRule type="cellIs" dxfId="102" priority="84" operator="greaterThanOrEqual">
      <formula>0.8</formula>
    </cfRule>
  </conditionalFormatting>
  <conditionalFormatting sqref="AL6">
    <cfRule type="cellIs" dxfId="101" priority="79" operator="lessThan">
      <formula>0.4</formula>
    </cfRule>
    <cfRule type="cellIs" dxfId="100" priority="80" operator="between">
      <formula>0.4</formula>
      <formula>0.799</formula>
    </cfRule>
    <cfRule type="cellIs" dxfId="99" priority="81" operator="greaterThanOrEqual">
      <formula>0.8</formula>
    </cfRule>
  </conditionalFormatting>
  <conditionalFormatting sqref="AL5">
    <cfRule type="cellIs" dxfId="98" priority="76" operator="lessThan">
      <formula>0.4</formula>
    </cfRule>
    <cfRule type="cellIs" dxfId="97" priority="77" operator="between">
      <formula>0.4</formula>
      <formula>0.799</formula>
    </cfRule>
    <cfRule type="cellIs" dxfId="96" priority="78" operator="greaterThanOrEqual">
      <formula>0.8</formula>
    </cfRule>
  </conditionalFormatting>
  <conditionalFormatting sqref="AL7">
    <cfRule type="cellIs" dxfId="95" priority="73" operator="lessThan">
      <formula>0.4</formula>
    </cfRule>
    <cfRule type="cellIs" dxfId="94" priority="74" operator="between">
      <formula>0.4</formula>
      <formula>0.799</formula>
    </cfRule>
    <cfRule type="cellIs" dxfId="93" priority="75" operator="greaterThanOrEqual">
      <formula>0.8</formula>
    </cfRule>
  </conditionalFormatting>
  <conditionalFormatting sqref="AL9">
    <cfRule type="cellIs" dxfId="92" priority="70" operator="lessThan">
      <formula>0.4</formula>
    </cfRule>
    <cfRule type="cellIs" dxfId="91" priority="71" operator="between">
      <formula>0.4</formula>
      <formula>0.799</formula>
    </cfRule>
    <cfRule type="cellIs" dxfId="90" priority="72" operator="greaterThanOrEqual">
      <formula>0.8</formula>
    </cfRule>
  </conditionalFormatting>
  <conditionalFormatting sqref="AL11">
    <cfRule type="cellIs" dxfId="89" priority="67" operator="lessThan">
      <formula>0.4</formula>
    </cfRule>
    <cfRule type="cellIs" dxfId="88" priority="68" operator="between">
      <formula>0.4</formula>
      <formula>0.799</formula>
    </cfRule>
    <cfRule type="cellIs" dxfId="87" priority="69" operator="greaterThanOrEqual">
      <formula>0.8</formula>
    </cfRule>
  </conditionalFormatting>
  <conditionalFormatting sqref="AO10">
    <cfRule type="cellIs" dxfId="86" priority="64" operator="lessThan">
      <formula>0.4</formula>
    </cfRule>
    <cfRule type="cellIs" dxfId="85" priority="65" operator="between">
      <formula>0.4</formula>
      <formula>0.799</formula>
    </cfRule>
    <cfRule type="cellIs" dxfId="84" priority="66" operator="greaterThanOrEqual">
      <formula>0.8</formula>
    </cfRule>
  </conditionalFormatting>
  <conditionalFormatting sqref="AO11">
    <cfRule type="cellIs" dxfId="83" priority="61" operator="lessThan">
      <formula>0.4</formula>
    </cfRule>
    <cfRule type="cellIs" dxfId="82" priority="62" operator="between">
      <formula>0.4</formula>
      <formula>0.799</formula>
    </cfRule>
    <cfRule type="cellIs" dxfId="81" priority="63" operator="greaterThanOrEqual">
      <formula>0.8</formula>
    </cfRule>
  </conditionalFormatting>
  <conditionalFormatting sqref="AO8">
    <cfRule type="cellIs" dxfId="80" priority="58" operator="lessThan">
      <formula>0.4</formula>
    </cfRule>
    <cfRule type="cellIs" dxfId="79" priority="59" operator="between">
      <formula>0.4</formula>
      <formula>0.799</formula>
    </cfRule>
    <cfRule type="cellIs" dxfId="78" priority="60" operator="greaterThanOrEqual">
      <formula>0.8</formula>
    </cfRule>
  </conditionalFormatting>
  <conditionalFormatting sqref="AO5">
    <cfRule type="cellIs" dxfId="77" priority="55" operator="lessThan">
      <formula>0.4</formula>
    </cfRule>
    <cfRule type="cellIs" dxfId="76" priority="56" operator="between">
      <formula>0.4</formula>
      <formula>0.799</formula>
    </cfRule>
    <cfRule type="cellIs" dxfId="75" priority="57" operator="greaterThanOrEqual">
      <formula>0.8</formula>
    </cfRule>
  </conditionalFormatting>
  <conditionalFormatting sqref="AO7">
    <cfRule type="cellIs" dxfId="74" priority="52" operator="lessThan">
      <formula>0.4</formula>
    </cfRule>
    <cfRule type="cellIs" dxfId="73" priority="53" operator="between">
      <formula>0.4</formula>
      <formula>0.799</formula>
    </cfRule>
    <cfRule type="cellIs" dxfId="72" priority="54" operator="greaterThanOrEqual">
      <formula>0.8</formula>
    </cfRule>
  </conditionalFormatting>
  <conditionalFormatting sqref="AO9">
    <cfRule type="cellIs" dxfId="71" priority="49" operator="lessThan">
      <formula>0.4</formula>
    </cfRule>
    <cfRule type="cellIs" dxfId="70" priority="50" operator="between">
      <formula>0.4</formula>
      <formula>0.799</formula>
    </cfRule>
    <cfRule type="cellIs" dxfId="69" priority="51" operator="greaterThanOrEqual">
      <formula>0.8</formula>
    </cfRule>
  </conditionalFormatting>
  <conditionalFormatting sqref="AO4">
    <cfRule type="cellIs" dxfId="68" priority="46" operator="lessThan">
      <formula>0.4</formula>
    </cfRule>
    <cfRule type="cellIs" dxfId="67" priority="47" operator="between">
      <formula>0.4</formula>
      <formula>0.799</formula>
    </cfRule>
    <cfRule type="cellIs" dxfId="66" priority="48" operator="greaterThanOrEqual">
      <formula>0.8</formula>
    </cfRule>
  </conditionalFormatting>
  <conditionalFormatting sqref="AO6">
    <cfRule type="cellIs" dxfId="65" priority="43" operator="lessThan">
      <formula>0.4</formula>
    </cfRule>
    <cfRule type="cellIs" dxfId="64" priority="44" operator="between">
      <formula>0.4</formula>
      <formula>0.799</formula>
    </cfRule>
    <cfRule type="cellIs" dxfId="63" priority="45" operator="greaterThanOrEqual">
      <formula>0.8</formula>
    </cfRule>
  </conditionalFormatting>
  <conditionalFormatting sqref="AR10">
    <cfRule type="cellIs" dxfId="62" priority="40" operator="lessThan">
      <formula>0.4</formula>
    </cfRule>
    <cfRule type="cellIs" dxfId="61" priority="41" operator="between">
      <formula>0.4</formula>
      <formula>0.799</formula>
    </cfRule>
    <cfRule type="cellIs" dxfId="60" priority="42" operator="greaterThanOrEqual">
      <formula>0.8</formula>
    </cfRule>
  </conditionalFormatting>
  <conditionalFormatting sqref="AR11">
    <cfRule type="cellIs" dxfId="59" priority="37" operator="lessThan">
      <formula>0.4</formula>
    </cfRule>
    <cfRule type="cellIs" dxfId="58" priority="38" operator="between">
      <formula>0.4</formula>
      <formula>0.799</formula>
    </cfRule>
    <cfRule type="cellIs" dxfId="57" priority="39" operator="greaterThanOrEqual">
      <formula>0.8</formula>
    </cfRule>
  </conditionalFormatting>
  <conditionalFormatting sqref="AR8">
    <cfRule type="cellIs" dxfId="56" priority="34" operator="lessThan">
      <formula>0.4</formula>
    </cfRule>
    <cfRule type="cellIs" dxfId="55" priority="35" operator="between">
      <formula>0.4</formula>
      <formula>0.799</formula>
    </cfRule>
    <cfRule type="cellIs" dxfId="54" priority="36" operator="greaterThanOrEqual">
      <formula>0.8</formula>
    </cfRule>
  </conditionalFormatting>
  <conditionalFormatting sqref="AR5">
    <cfRule type="cellIs" dxfId="53" priority="31" operator="lessThan">
      <formula>0.4</formula>
    </cfRule>
    <cfRule type="cellIs" dxfId="52" priority="32" operator="between">
      <formula>0.4</formula>
      <formula>0.799</formula>
    </cfRule>
    <cfRule type="cellIs" dxfId="51" priority="33" operator="greaterThanOrEqual">
      <formula>0.8</formula>
    </cfRule>
  </conditionalFormatting>
  <conditionalFormatting sqref="AR7">
    <cfRule type="cellIs" dxfId="50" priority="28" operator="lessThan">
      <formula>0.4</formula>
    </cfRule>
    <cfRule type="cellIs" dxfId="49" priority="29" operator="between">
      <formula>0.4</formula>
      <formula>0.799</formula>
    </cfRule>
    <cfRule type="cellIs" dxfId="48" priority="30" operator="greaterThanOrEqual">
      <formula>0.8</formula>
    </cfRule>
  </conditionalFormatting>
  <conditionalFormatting sqref="AR9">
    <cfRule type="cellIs" dxfId="47" priority="25" operator="lessThan">
      <formula>0.4</formula>
    </cfRule>
    <cfRule type="cellIs" dxfId="46" priority="26" operator="between">
      <formula>0.4</formula>
      <formula>0.799</formula>
    </cfRule>
    <cfRule type="cellIs" dxfId="45" priority="27" operator="greaterThanOrEqual">
      <formula>0.8</formula>
    </cfRule>
  </conditionalFormatting>
  <conditionalFormatting sqref="AR4">
    <cfRule type="cellIs" dxfId="44" priority="22" operator="lessThan">
      <formula>0.4</formula>
    </cfRule>
    <cfRule type="cellIs" dxfId="43" priority="23" operator="between">
      <formula>0.4</formula>
      <formula>0.799</formula>
    </cfRule>
    <cfRule type="cellIs" dxfId="42" priority="24" operator="greaterThanOrEqual">
      <formula>0.8</formula>
    </cfRule>
  </conditionalFormatting>
  <conditionalFormatting sqref="AR6">
    <cfRule type="cellIs" dxfId="41" priority="19" operator="lessThan">
      <formula>0.4</formula>
    </cfRule>
    <cfRule type="cellIs" dxfId="40" priority="20" operator="between">
      <formula>0.4</formula>
      <formula>0.799</formula>
    </cfRule>
    <cfRule type="cellIs" dxfId="39" priority="21" operator="greaterThanOrEqual">
      <formula>0.8</formula>
    </cfRule>
  </conditionalFormatting>
  <conditionalFormatting sqref="AV4 AX4">
    <cfRule type="cellIs" dxfId="38" priority="16" operator="lessThan">
      <formula>0.4</formula>
    </cfRule>
    <cfRule type="cellIs" dxfId="37" priority="17" operator="between">
      <formula>0.4</formula>
      <formula>0.799</formula>
    </cfRule>
    <cfRule type="cellIs" dxfId="36" priority="18" operator="greaterThanOrEqual">
      <formula>0.8</formula>
    </cfRule>
  </conditionalFormatting>
  <conditionalFormatting sqref="AV6 AX6">
    <cfRule type="cellIs" dxfId="35" priority="13" operator="lessThan">
      <formula>0.4</formula>
    </cfRule>
    <cfRule type="cellIs" dxfId="34" priority="14" operator="between">
      <formula>0.4</formula>
      <formula>0.799</formula>
    </cfRule>
    <cfRule type="cellIs" dxfId="33" priority="15" operator="greaterThanOrEqual">
      <formula>0.8</formula>
    </cfRule>
  </conditionalFormatting>
  <conditionalFormatting sqref="AV10 AX10">
    <cfRule type="cellIs" dxfId="32" priority="10" operator="lessThan">
      <formula>0.4</formula>
    </cfRule>
    <cfRule type="cellIs" dxfId="31" priority="11" operator="between">
      <formula>0.4</formula>
      <formula>0.799</formula>
    </cfRule>
    <cfRule type="cellIs" dxfId="30" priority="12" operator="greaterThanOrEqual">
      <formula>0.8</formula>
    </cfRule>
  </conditionalFormatting>
  <conditionalFormatting sqref="AV11 AX11">
    <cfRule type="cellIs" dxfId="29" priority="7" operator="lessThan">
      <formula>0.4</formula>
    </cfRule>
    <cfRule type="cellIs" dxfId="28" priority="8" operator="between">
      <formula>0.4</formula>
      <formula>0.799</formula>
    </cfRule>
    <cfRule type="cellIs" dxfId="27" priority="9" operator="greaterThanOrEqual">
      <formula>0.8</formula>
    </cfRule>
  </conditionalFormatting>
  <conditionalFormatting sqref="AV8 AX8">
    <cfRule type="cellIs" dxfId="26" priority="4" operator="lessThan">
      <formula>0.4</formula>
    </cfRule>
    <cfRule type="cellIs" dxfId="25" priority="5" operator="between">
      <formula>0.4</formula>
      <formula>0.799</formula>
    </cfRule>
    <cfRule type="cellIs" dxfId="24" priority="6" operator="greaterThanOrEqual">
      <formula>0.8</formula>
    </cfRule>
  </conditionalFormatting>
  <conditionalFormatting sqref="AV9 AX9">
    <cfRule type="cellIs" dxfId="23" priority="1" operator="lessThan">
      <formula>0.4</formula>
    </cfRule>
    <cfRule type="cellIs" dxfId="22" priority="2" operator="between">
      <formula>0.4</formula>
      <formula>0.799</formula>
    </cfRule>
    <cfRule type="cellIs" dxfId="21"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D12" sqref="D12"/>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433" t="s">
        <v>0</v>
      </c>
      <c r="B1" s="432" t="s">
        <v>13</v>
      </c>
      <c r="C1" s="432" t="s">
        <v>2</v>
      </c>
      <c r="D1" s="432" t="s">
        <v>86</v>
      </c>
      <c r="E1" s="432" t="s">
        <v>3</v>
      </c>
      <c r="F1" s="432"/>
      <c r="G1" s="432"/>
      <c r="H1" s="432"/>
      <c r="I1" s="432" t="s">
        <v>36</v>
      </c>
    </row>
    <row r="2" spans="1:9" ht="32.25" customHeight="1" x14ac:dyDescent="0.25">
      <c r="A2" s="433"/>
      <c r="B2" s="432"/>
      <c r="C2" s="432"/>
      <c r="D2" s="432"/>
      <c r="E2" s="73">
        <v>2019</v>
      </c>
      <c r="F2" s="73">
        <v>2020</v>
      </c>
      <c r="G2" s="73">
        <v>2021</v>
      </c>
      <c r="H2" s="73">
        <v>2022</v>
      </c>
      <c r="I2" s="432"/>
    </row>
    <row r="3" spans="1:9" ht="159" customHeight="1" x14ac:dyDescent="0.25">
      <c r="A3" s="74" t="s">
        <v>35</v>
      </c>
      <c r="B3" s="10" t="s">
        <v>16</v>
      </c>
      <c r="C3" s="4" t="s">
        <v>4</v>
      </c>
      <c r="D3" s="33" t="s">
        <v>83</v>
      </c>
      <c r="E3" s="15">
        <v>0.03</v>
      </c>
      <c r="F3" s="5">
        <v>0.23</v>
      </c>
      <c r="G3" s="5">
        <v>0.5</v>
      </c>
      <c r="H3" s="5">
        <v>0.6</v>
      </c>
      <c r="I3" s="32" t="s">
        <v>23</v>
      </c>
    </row>
    <row r="4" spans="1:9" ht="159" customHeight="1" x14ac:dyDescent="0.25">
      <c r="A4" s="74" t="s">
        <v>35</v>
      </c>
      <c r="B4" s="10" t="s">
        <v>14</v>
      </c>
      <c r="C4" s="4" t="s">
        <v>4</v>
      </c>
      <c r="D4" s="33" t="s">
        <v>83</v>
      </c>
      <c r="E4" s="8">
        <v>8.5000000000000006E-2</v>
      </c>
      <c r="F4" s="8">
        <v>0.20100000000000001</v>
      </c>
      <c r="G4" s="8">
        <v>0.35099999999999998</v>
      </c>
      <c r="H4" s="5">
        <v>0.6</v>
      </c>
      <c r="I4" s="32" t="s">
        <v>5</v>
      </c>
    </row>
    <row r="5" spans="1:9" ht="162.75" customHeight="1" x14ac:dyDescent="0.25">
      <c r="A5" s="74" t="s">
        <v>35</v>
      </c>
      <c r="B5" s="10" t="s">
        <v>6</v>
      </c>
      <c r="C5" s="16" t="s">
        <v>4</v>
      </c>
      <c r="D5" s="33" t="s">
        <v>83</v>
      </c>
      <c r="E5" s="5">
        <v>0.23</v>
      </c>
      <c r="F5" s="5">
        <v>0.37</v>
      </c>
      <c r="G5" s="5">
        <v>0.49</v>
      </c>
      <c r="H5" s="5">
        <v>0.6</v>
      </c>
      <c r="I5" s="32" t="s">
        <v>23</v>
      </c>
    </row>
    <row r="6" spans="1:9" ht="288" x14ac:dyDescent="0.25">
      <c r="A6" s="75" t="s">
        <v>34</v>
      </c>
      <c r="B6" s="10" t="s">
        <v>7</v>
      </c>
      <c r="C6" s="4" t="s">
        <v>4</v>
      </c>
      <c r="D6" s="33" t="s">
        <v>85</v>
      </c>
      <c r="E6" s="8">
        <v>3.0999999999999999E-3</v>
      </c>
      <c r="F6" s="8">
        <v>0.19900000000000001</v>
      </c>
      <c r="G6" s="8">
        <v>0.20300000000000001</v>
      </c>
      <c r="H6" s="8">
        <v>0.59399999999999997</v>
      </c>
      <c r="I6" s="32" t="s">
        <v>22</v>
      </c>
    </row>
    <row r="7" spans="1:9" ht="288" x14ac:dyDescent="0.25">
      <c r="A7" s="74" t="s">
        <v>35</v>
      </c>
      <c r="B7" s="10" t="s">
        <v>15</v>
      </c>
      <c r="C7" s="16" t="s">
        <v>4</v>
      </c>
      <c r="D7" s="33" t="s">
        <v>84</v>
      </c>
      <c r="E7" s="5">
        <v>0.05</v>
      </c>
      <c r="F7" s="5">
        <v>0.3</v>
      </c>
      <c r="G7" s="5">
        <v>0.6</v>
      </c>
      <c r="H7" s="5">
        <v>1</v>
      </c>
      <c r="I7" s="6" t="s">
        <v>45</v>
      </c>
    </row>
    <row r="8" spans="1:9" ht="288" x14ac:dyDescent="0.25">
      <c r="A8" s="74" t="s">
        <v>35</v>
      </c>
      <c r="B8" s="32" t="s">
        <v>9</v>
      </c>
      <c r="C8" s="20" t="s">
        <v>10</v>
      </c>
      <c r="D8" s="33" t="s">
        <v>84</v>
      </c>
      <c r="E8" s="16">
        <v>6</v>
      </c>
      <c r="F8" s="16">
        <v>10</v>
      </c>
      <c r="G8" s="16">
        <v>17</v>
      </c>
      <c r="H8" s="16">
        <v>20</v>
      </c>
      <c r="I8" s="6" t="s">
        <v>22</v>
      </c>
    </row>
    <row r="9" spans="1:9" ht="263.25" customHeight="1" x14ac:dyDescent="0.25">
      <c r="A9" s="74" t="s">
        <v>35</v>
      </c>
      <c r="B9" s="76" t="s">
        <v>11</v>
      </c>
      <c r="C9" s="16" t="s">
        <v>8</v>
      </c>
      <c r="D9" s="33" t="s">
        <v>84</v>
      </c>
      <c r="E9" s="77">
        <v>175</v>
      </c>
      <c r="F9" s="77">
        <v>200</v>
      </c>
      <c r="G9" s="77">
        <v>225</v>
      </c>
      <c r="H9" s="77">
        <v>250</v>
      </c>
      <c r="I9" s="11" t="s">
        <v>12</v>
      </c>
    </row>
    <row r="10" spans="1:9" ht="126" x14ac:dyDescent="0.25">
      <c r="A10" s="25" t="s">
        <v>74</v>
      </c>
      <c r="B10" s="25" t="s">
        <v>46</v>
      </c>
      <c r="C10" s="26" t="s">
        <v>4</v>
      </c>
      <c r="D10" s="26"/>
      <c r="E10" s="27">
        <v>0.1</v>
      </c>
      <c r="F10" s="27">
        <v>0.3</v>
      </c>
      <c r="G10" s="27">
        <v>0.3</v>
      </c>
      <c r="H10" s="27">
        <v>0.3</v>
      </c>
      <c r="I10" s="11" t="s">
        <v>12</v>
      </c>
    </row>
  </sheetData>
  <mergeCells count="6">
    <mergeCell ref="I1:I2"/>
    <mergeCell ref="A1:A2"/>
    <mergeCell ref="B1:B2"/>
    <mergeCell ref="C1:C2"/>
    <mergeCell ref="D1:D2"/>
    <mergeCell ref="E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CC5-8E2B-471C-9C55-F8CE18C114A9}">
  <dimension ref="B3:P19"/>
  <sheetViews>
    <sheetView showGridLines="0" workbookViewId="0">
      <selection activeCell="L3" sqref="L3"/>
    </sheetView>
  </sheetViews>
  <sheetFormatPr baseColWidth="10" defaultRowHeight="15" x14ac:dyDescent="0.25"/>
  <cols>
    <col min="4" max="4" width="12.28515625" bestFit="1" customWidth="1"/>
    <col min="6" max="6" width="11.28515625" bestFit="1" customWidth="1"/>
    <col min="8" max="8" width="12.7109375" bestFit="1" customWidth="1"/>
  </cols>
  <sheetData>
    <row r="3" spans="2:16" x14ac:dyDescent="0.25">
      <c r="L3">
        <v>114174800</v>
      </c>
      <c r="M3" t="s">
        <v>228</v>
      </c>
      <c r="N3">
        <v>2019</v>
      </c>
      <c r="O3">
        <v>2020</v>
      </c>
    </row>
    <row r="4" spans="2:16" ht="15.75" thickBot="1" x14ac:dyDescent="0.3">
      <c r="L4">
        <v>68457962</v>
      </c>
      <c r="M4" s="258">
        <f>L3*1.9/100</f>
        <v>2169321.2000000002</v>
      </c>
      <c r="N4">
        <f>(L3*3)/100</f>
        <v>3425244</v>
      </c>
      <c r="O4">
        <f>(L3*23)/100</f>
        <v>26260204</v>
      </c>
      <c r="P4">
        <f>(L3*50)/100</f>
        <v>57087400</v>
      </c>
    </row>
    <row r="5" spans="2:16" ht="15.75" thickBot="1" x14ac:dyDescent="0.3">
      <c r="B5" s="434" t="s">
        <v>160</v>
      </c>
      <c r="C5" s="436" t="s">
        <v>161</v>
      </c>
      <c r="D5" s="437"/>
      <c r="E5" s="436" t="s">
        <v>162</v>
      </c>
      <c r="F5" s="437"/>
      <c r="G5" s="438" t="s">
        <v>163</v>
      </c>
      <c r="H5" s="439"/>
    </row>
    <row r="6" spans="2:16" ht="15.75" thickBot="1" x14ac:dyDescent="0.3">
      <c r="B6" s="435"/>
      <c r="C6" s="112" t="s">
        <v>164</v>
      </c>
      <c r="D6" s="112" t="s">
        <v>165</v>
      </c>
      <c r="E6" s="112" t="s">
        <v>164</v>
      </c>
      <c r="F6" s="112" t="s">
        <v>165</v>
      </c>
      <c r="G6" s="113" t="s">
        <v>164</v>
      </c>
      <c r="H6" s="113" t="s">
        <v>165</v>
      </c>
    </row>
    <row r="7" spans="2:16" ht="15.75" thickBot="1" x14ac:dyDescent="0.3">
      <c r="B7" s="114" t="s">
        <v>166</v>
      </c>
      <c r="C7" s="102">
        <v>1.9E-2</v>
      </c>
      <c r="D7" s="103">
        <v>2167835.46</v>
      </c>
      <c r="E7" s="104"/>
      <c r="F7" s="105"/>
      <c r="G7" s="106"/>
      <c r="H7" s="106"/>
      <c r="I7" s="127">
        <f>F9/D9</f>
        <v>0.51131838803735419</v>
      </c>
    </row>
    <row r="8" spans="2:16" ht="15.75" thickBot="1" x14ac:dyDescent="0.3">
      <c r="B8" s="114">
        <v>2019</v>
      </c>
      <c r="C8" s="107">
        <v>0.03</v>
      </c>
      <c r="D8" s="103">
        <v>3422898.1</v>
      </c>
      <c r="E8" s="102">
        <v>0.03</v>
      </c>
      <c r="F8" s="103">
        <v>3820715.52</v>
      </c>
      <c r="G8" s="108"/>
      <c r="H8" s="108"/>
    </row>
    <row r="9" spans="2:16" ht="15.75" thickBot="1" x14ac:dyDescent="0.3">
      <c r="B9" s="114">
        <v>2020</v>
      </c>
      <c r="C9" s="107">
        <v>0.23</v>
      </c>
      <c r="D9" s="103">
        <v>26242218.77</v>
      </c>
      <c r="E9" s="102">
        <v>0.1176</v>
      </c>
      <c r="F9" s="109">
        <v>13418129</v>
      </c>
      <c r="G9" s="110">
        <v>0.14760000000000001</v>
      </c>
      <c r="H9" s="111">
        <v>17238844.5</v>
      </c>
    </row>
    <row r="10" spans="2:16" ht="15.75" thickBot="1" x14ac:dyDescent="0.3">
      <c r="B10" s="114">
        <v>2021</v>
      </c>
      <c r="C10" s="107">
        <v>0.5</v>
      </c>
      <c r="H10" s="95">
        <f>+F9+D8</f>
        <v>16841027.100000001</v>
      </c>
    </row>
    <row r="12" spans="2:16" x14ac:dyDescent="0.25">
      <c r="B12" s="115" t="s">
        <v>167</v>
      </c>
      <c r="C12" s="116"/>
      <c r="D12" s="116"/>
      <c r="E12" s="116"/>
      <c r="F12" s="116"/>
    </row>
    <row r="13" spans="2:16" x14ac:dyDescent="0.25">
      <c r="B13" s="117" t="s">
        <v>168</v>
      </c>
      <c r="C13" s="117" t="s">
        <v>169</v>
      </c>
      <c r="D13" s="117" t="s">
        <v>170</v>
      </c>
      <c r="E13" s="117" t="s">
        <v>171</v>
      </c>
      <c r="F13" s="117" t="s">
        <v>172</v>
      </c>
    </row>
    <row r="14" spans="2:16" x14ac:dyDescent="0.25">
      <c r="B14" s="118" t="s">
        <v>173</v>
      </c>
      <c r="C14" s="119" t="s">
        <v>174</v>
      </c>
      <c r="D14" s="119">
        <v>1.9E-2</v>
      </c>
      <c r="E14" s="119" t="s">
        <v>174</v>
      </c>
      <c r="F14" s="116"/>
      <c r="I14">
        <f>(D16/C18)*100</f>
        <v>24.6</v>
      </c>
    </row>
    <row r="15" spans="2:16" x14ac:dyDescent="0.25">
      <c r="B15" s="118" t="s">
        <v>175</v>
      </c>
      <c r="C15" s="119">
        <v>0.03</v>
      </c>
      <c r="D15" s="119">
        <v>0.03</v>
      </c>
      <c r="E15" s="119">
        <f>D15/C15*100%</f>
        <v>1</v>
      </c>
      <c r="F15" s="136">
        <v>0.03</v>
      </c>
    </row>
    <row r="16" spans="2:16" x14ac:dyDescent="0.25">
      <c r="B16" s="118" t="s">
        <v>176</v>
      </c>
      <c r="C16" s="119">
        <v>0.23</v>
      </c>
      <c r="D16" s="119">
        <f>11.76%+D15</f>
        <v>0.14760000000000001</v>
      </c>
      <c r="E16" s="257">
        <f>(D16/C16)*100%</f>
        <v>0.64173913043478259</v>
      </c>
      <c r="F16" s="136">
        <v>0.2</v>
      </c>
    </row>
    <row r="17" spans="2:6" x14ac:dyDescent="0.25">
      <c r="B17" s="118" t="s">
        <v>177</v>
      </c>
      <c r="C17" s="119">
        <v>0.5</v>
      </c>
      <c r="D17" s="119"/>
      <c r="E17" s="119">
        <f>(D17/C17)*100%</f>
        <v>0</v>
      </c>
      <c r="F17" s="136">
        <v>0.27</v>
      </c>
    </row>
    <row r="18" spans="2:6" x14ac:dyDescent="0.25">
      <c r="B18" s="118" t="s">
        <v>178</v>
      </c>
      <c r="C18" s="119">
        <v>0.6</v>
      </c>
      <c r="D18" s="119"/>
      <c r="E18" s="119">
        <f>(D18/C18)*100%</f>
        <v>0</v>
      </c>
      <c r="F18" s="136">
        <v>0.1</v>
      </c>
    </row>
    <row r="19" spans="2:6" x14ac:dyDescent="0.25">
      <c r="B19" s="120" t="s">
        <v>179</v>
      </c>
      <c r="C19" s="121">
        <v>0.6</v>
      </c>
      <c r="D19" s="121">
        <f>+D16</f>
        <v>0.14760000000000001</v>
      </c>
      <c r="E19" s="121">
        <f>(D19*100%)/C19</f>
        <v>0.24600000000000002</v>
      </c>
      <c r="F19" s="121">
        <v>0.6</v>
      </c>
    </row>
  </sheetData>
  <mergeCells count="4">
    <mergeCell ref="B5:B6"/>
    <mergeCell ref="C5:D5"/>
    <mergeCell ref="E5:F5"/>
    <mergeCell ref="G5:H5"/>
  </mergeCells>
  <pageMargins left="0.7" right="0.7" top="0.75" bottom="0.75" header="0.3" footer="0.3"/>
  <ignoredErrors>
    <ignoredError sqref="E1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E3B6-EF58-4D2B-BB93-55EECF49B122}">
  <dimension ref="B3:N22"/>
  <sheetViews>
    <sheetView showGridLines="0" topLeftCell="A3" workbookViewId="0">
      <selection activeCell="N10" sqref="N10"/>
    </sheetView>
  </sheetViews>
  <sheetFormatPr baseColWidth="10" defaultRowHeight="15" x14ac:dyDescent="0.25"/>
  <cols>
    <col min="4" max="4" width="12.7109375" bestFit="1" customWidth="1"/>
    <col min="6" max="6" width="12.7109375" bestFit="1" customWidth="1"/>
    <col min="8" max="8" width="19.140625" customWidth="1"/>
    <col min="10" max="12" width="0" hidden="1" customWidth="1"/>
  </cols>
  <sheetData>
    <row r="3" spans="2:14" ht="15.75" thickBot="1" x14ac:dyDescent="0.3"/>
    <row r="4" spans="2:14" ht="15.75" thickBot="1" x14ac:dyDescent="0.3">
      <c r="B4" s="434" t="s">
        <v>160</v>
      </c>
      <c r="C4" s="436" t="s">
        <v>161</v>
      </c>
      <c r="D4" s="437"/>
      <c r="E4" s="436" t="s">
        <v>162</v>
      </c>
      <c r="F4" s="437"/>
      <c r="G4" s="438" t="s">
        <v>163</v>
      </c>
      <c r="H4" s="439"/>
      <c r="J4">
        <v>114174800</v>
      </c>
      <c r="K4">
        <f>(J4*12.5)/100</f>
        <v>14271850</v>
      </c>
    </row>
    <row r="5" spans="2:14" ht="15.75" thickBot="1" x14ac:dyDescent="0.3">
      <c r="B5" s="435"/>
      <c r="C5" s="112" t="s">
        <v>164</v>
      </c>
      <c r="D5" s="112" t="s">
        <v>165</v>
      </c>
      <c r="E5" s="112" t="s">
        <v>164</v>
      </c>
      <c r="F5" s="112" t="s">
        <v>165</v>
      </c>
      <c r="G5" s="113" t="s">
        <v>164</v>
      </c>
      <c r="H5" s="113" t="s">
        <v>165</v>
      </c>
      <c r="K5">
        <f>(J4*23)/100</f>
        <v>26260204</v>
      </c>
      <c r="N5" t="s">
        <v>247</v>
      </c>
    </row>
    <row r="6" spans="2:14" ht="15.75" thickBot="1" x14ac:dyDescent="0.3">
      <c r="B6" s="101" t="s">
        <v>166</v>
      </c>
      <c r="C6" s="123" t="s">
        <v>180</v>
      </c>
      <c r="D6" s="103">
        <v>14262075.42</v>
      </c>
      <c r="E6" s="104"/>
      <c r="F6" s="105"/>
      <c r="G6" s="106"/>
      <c r="H6" s="106"/>
      <c r="K6">
        <f>(J4*37)/100</f>
        <v>42244676</v>
      </c>
      <c r="L6" s="125">
        <f>(37-12.5)/(37-12.5)</f>
        <v>1</v>
      </c>
    </row>
    <row r="7" spans="2:14" ht="15.75" thickBot="1" x14ac:dyDescent="0.3">
      <c r="B7" s="101">
        <v>2019</v>
      </c>
      <c r="C7" s="107">
        <v>0.23</v>
      </c>
      <c r="D7" s="103">
        <v>26242218.77</v>
      </c>
      <c r="E7" s="123" t="s">
        <v>181</v>
      </c>
      <c r="F7" s="103">
        <v>11980143.35</v>
      </c>
      <c r="G7" s="108"/>
      <c r="H7" s="124"/>
      <c r="K7">
        <f>(J4*49)/100</f>
        <v>55945652</v>
      </c>
      <c r="L7" s="127">
        <f>(10.5-12.5)/(23-12.5)</f>
        <v>-0.19047619047619047</v>
      </c>
    </row>
    <row r="8" spans="2:14" ht="15.75" thickBot="1" x14ac:dyDescent="0.3">
      <c r="B8" s="101">
        <v>2020</v>
      </c>
      <c r="C8" s="107">
        <v>0.37</v>
      </c>
      <c r="D8" s="103">
        <v>42215743.240000002</v>
      </c>
      <c r="E8" s="102">
        <v>0.14230000000000001</v>
      </c>
      <c r="F8" s="103">
        <v>16231703.439999999</v>
      </c>
      <c r="G8" s="110">
        <v>0.37230000000000002</v>
      </c>
    </row>
    <row r="9" spans="2:14" x14ac:dyDescent="0.25">
      <c r="D9" s="126"/>
      <c r="E9" s="125"/>
      <c r="F9" s="126"/>
    </row>
    <row r="10" spans="2:14" x14ac:dyDescent="0.25">
      <c r="D10" s="95"/>
      <c r="E10" s="125"/>
      <c r="F10" s="128"/>
    </row>
    <row r="12" spans="2:14" x14ac:dyDescent="0.25">
      <c r="B12" s="129" t="s">
        <v>182</v>
      </c>
      <c r="C12" s="130"/>
      <c r="D12" s="130"/>
      <c r="E12" s="130"/>
      <c r="F12" s="130"/>
    </row>
    <row r="13" spans="2:14" x14ac:dyDescent="0.25">
      <c r="B13" s="131" t="s">
        <v>168</v>
      </c>
      <c r="C13" s="131" t="s">
        <v>169</v>
      </c>
      <c r="D13" s="131" t="s">
        <v>170</v>
      </c>
      <c r="E13" s="131" t="s">
        <v>171</v>
      </c>
      <c r="F13" s="117" t="s">
        <v>172</v>
      </c>
    </row>
    <row r="14" spans="2:14" x14ac:dyDescent="0.25">
      <c r="B14" s="132" t="s">
        <v>173</v>
      </c>
      <c r="C14" s="133" t="s">
        <v>174</v>
      </c>
      <c r="D14" s="134">
        <v>12.5</v>
      </c>
      <c r="E14" s="137" t="s">
        <v>174</v>
      </c>
      <c r="F14" s="139"/>
    </row>
    <row r="15" spans="2:14" x14ac:dyDescent="0.25">
      <c r="B15" s="132" t="s">
        <v>175</v>
      </c>
      <c r="C15" s="135">
        <v>0.23</v>
      </c>
      <c r="D15" s="135">
        <v>0.23</v>
      </c>
      <c r="E15" s="135">
        <f>D15/C15*100%</f>
        <v>1</v>
      </c>
      <c r="F15" s="138">
        <v>0.23</v>
      </c>
      <c r="H15" s="95"/>
    </row>
    <row r="16" spans="2:14" x14ac:dyDescent="0.25">
      <c r="B16" s="132" t="s">
        <v>176</v>
      </c>
      <c r="C16" s="135">
        <v>0.37</v>
      </c>
      <c r="D16" s="135">
        <f>14.23%+D15</f>
        <v>0.37230000000000002</v>
      </c>
      <c r="E16" s="135">
        <f>D16/C16*100%</f>
        <v>1.0062162162162163</v>
      </c>
      <c r="F16" s="136">
        <v>0.14000000000000001</v>
      </c>
      <c r="H16" s="127"/>
    </row>
    <row r="17" spans="2:8" x14ac:dyDescent="0.25">
      <c r="B17" s="132" t="s">
        <v>177</v>
      </c>
      <c r="C17" s="135">
        <v>0.49</v>
      </c>
      <c r="D17" s="135"/>
      <c r="E17" s="135">
        <f>D17/C17*100%</f>
        <v>0</v>
      </c>
      <c r="F17" s="136">
        <v>0.12</v>
      </c>
    </row>
    <row r="18" spans="2:8" x14ac:dyDescent="0.25">
      <c r="B18" s="132" t="s">
        <v>178</v>
      </c>
      <c r="C18" s="135">
        <v>0.6</v>
      </c>
      <c r="D18" s="135"/>
      <c r="E18" s="135">
        <f>D18/C18*100%</f>
        <v>0</v>
      </c>
      <c r="F18" s="136">
        <v>0.11</v>
      </c>
    </row>
    <row r="19" spans="2:8" x14ac:dyDescent="0.25">
      <c r="B19" s="132" t="s">
        <v>179</v>
      </c>
      <c r="C19" s="136">
        <v>0.6</v>
      </c>
      <c r="D19" s="136">
        <f>+D16</f>
        <v>0.37230000000000002</v>
      </c>
      <c r="E19" s="136">
        <f>(D19*100%)/C19</f>
        <v>0.62050000000000005</v>
      </c>
      <c r="F19" s="136">
        <v>0.6</v>
      </c>
    </row>
    <row r="22" spans="2:8" ht="15.75" thickBot="1" x14ac:dyDescent="0.3">
      <c r="H22" s="111">
        <f>+D6+F7+F8</f>
        <v>42473922.210000001</v>
      </c>
    </row>
  </sheetData>
  <mergeCells count="4">
    <mergeCell ref="B4:B5"/>
    <mergeCell ref="C4:D4"/>
    <mergeCell ref="E4:F4"/>
    <mergeCell ref="G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442" t="s">
        <v>2</v>
      </c>
      <c r="B1" s="444" t="s">
        <v>1</v>
      </c>
      <c r="C1" s="446" t="s">
        <v>3</v>
      </c>
      <c r="D1" s="446"/>
      <c r="E1" s="446"/>
      <c r="F1" s="446"/>
      <c r="G1" s="447" t="s">
        <v>36</v>
      </c>
      <c r="H1" s="449" t="s">
        <v>17</v>
      </c>
      <c r="I1" s="450"/>
      <c r="J1" s="450"/>
      <c r="K1" s="440" t="s">
        <v>20</v>
      </c>
      <c r="L1" s="441"/>
    </row>
    <row r="2" spans="1:12" ht="63.75" customHeight="1" thickBot="1" x14ac:dyDescent="0.3">
      <c r="A2" s="443"/>
      <c r="B2" s="445"/>
      <c r="C2" s="42">
        <v>2019</v>
      </c>
      <c r="D2" s="42">
        <v>2020</v>
      </c>
      <c r="E2" s="42">
        <v>2021</v>
      </c>
      <c r="F2" s="42">
        <v>2022</v>
      </c>
      <c r="G2" s="448"/>
      <c r="H2" s="52" t="s">
        <v>18</v>
      </c>
      <c r="I2" s="53" t="s">
        <v>19</v>
      </c>
      <c r="J2" s="53" t="s">
        <v>24</v>
      </c>
      <c r="K2" s="54" t="s">
        <v>92</v>
      </c>
      <c r="L2" s="55" t="s">
        <v>90</v>
      </c>
    </row>
    <row r="3" spans="1:12" ht="54" x14ac:dyDescent="0.25">
      <c r="A3" s="44" t="s">
        <v>4</v>
      </c>
      <c r="B3" s="30">
        <v>0.6</v>
      </c>
      <c r="C3" s="45">
        <v>0.03</v>
      </c>
      <c r="D3" s="46">
        <v>0.23</v>
      </c>
      <c r="E3" s="46">
        <v>0.5</v>
      </c>
      <c r="F3" s="46">
        <v>0.6</v>
      </c>
      <c r="G3" s="47" t="s">
        <v>23</v>
      </c>
      <c r="H3" s="48">
        <v>0.03</v>
      </c>
      <c r="I3" s="49">
        <v>0.03</v>
      </c>
      <c r="J3" s="50">
        <f>I3/H3</f>
        <v>1</v>
      </c>
      <c r="K3" s="51">
        <v>0.23</v>
      </c>
      <c r="L3" s="56">
        <v>5.0000000000000001E-3</v>
      </c>
    </row>
  </sheetData>
  <mergeCells count="6">
    <mergeCell ref="K1:L1"/>
    <mergeCell ref="A1:A2"/>
    <mergeCell ref="B1:B2"/>
    <mergeCell ref="C1:F1"/>
    <mergeCell ref="G1:G2"/>
    <mergeCell ref="H1:J1"/>
  </mergeCells>
  <phoneticPr fontId="9" type="noConversion"/>
  <conditionalFormatting sqref="J3">
    <cfRule type="cellIs" dxfId="20" priority="16" operator="lessThan">
      <formula>0.4</formula>
    </cfRule>
    <cfRule type="cellIs" dxfId="19" priority="17" operator="between">
      <formula>0.4</formula>
      <formula>0.799</formula>
    </cfRule>
    <cfRule type="cellIs" dxfId="18" priority="18"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Seguimiento III Trim PND_2021</vt:lpstr>
      <vt:lpstr>Seguimiento IV Trim PND_20 (2)</vt:lpstr>
      <vt:lpstr>Hoja5</vt:lpstr>
      <vt:lpstr>Hoja4</vt:lpstr>
      <vt:lpstr>Rezagos Metas PND</vt:lpstr>
      <vt:lpstr>Hoja1</vt:lpstr>
      <vt:lpstr>Hoja2</vt:lpstr>
      <vt:lpstr>Hoja3</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2022-01-25T12:31:27Z</dcterms:modified>
</cp:coreProperties>
</file>