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XIMENA RUISEÑORA\Desktop\IGAC 2020\Planes y proyectos\INDICADORES IGAC\SINERGIA\Corte Diciembre\"/>
    </mc:Choice>
  </mc:AlternateContent>
  <xr:revisionPtr revIDLastSave="0" documentId="13_ncr:1_{61533BDF-2F3F-400D-AF15-185B67B836FA}" xr6:coauthVersionLast="46" xr6:coauthVersionMax="46" xr10:uidLastSave="{00000000-0000-0000-0000-000000000000}"/>
  <bookViews>
    <workbookView xWindow="-120" yWindow="-120" windowWidth="29040" windowHeight="15840" xr2:uid="{00000000-000D-0000-FFFF-FFFF00000000}"/>
  </bookViews>
  <sheets>
    <sheet name="Metas PND IGAC_2020" sheetId="1" r:id="rId1"/>
    <sheet name="Hoja1" sheetId="11" r:id="rId2"/>
    <sheet name="Hoja2" sheetId="12" r:id="rId3"/>
    <sheet name="Hoja3" sheetId="13" r:id="rId4"/>
    <sheet name="Cartografía" sheetId="2" state="hidden" r:id="rId5"/>
    <sheet name="Caracterización geográfica" sheetId="4" state="hidden" r:id="rId6"/>
    <sheet name="Área con catastro actualiz" sheetId="5" state="hidden" r:id="rId7"/>
    <sheet name="SINIC" sheetId="6" state="hidden" r:id="rId8"/>
    <sheet name="Gestores habili" sheetId="7" state="hidden" r:id="rId9"/>
    <sheet name="Geoservicios" sheetId="8" state="hidden" r:id="rId10"/>
    <sheet name="PDET Actuali" sheetId="10" state="hidden" r:id="rId11"/>
  </sheets>
  <definedNames>
    <definedName name="_xlnm._FilterDatabase" localSheetId="0" hidden="1">'Metas PND IGAC_2020'!$A$3:$BV$3</definedName>
  </definedNames>
  <calcPr calcId="181029"/>
</workbook>
</file>

<file path=xl/calcChain.xml><?xml version="1.0" encoding="utf-8"?>
<calcChain xmlns="http://schemas.openxmlformats.org/spreadsheetml/2006/main">
  <c r="AW11" i="1" l="1"/>
  <c r="Q10" i="1"/>
  <c r="Q9" i="1"/>
  <c r="Q8" i="1"/>
  <c r="Q7" i="1"/>
  <c r="Q6" i="1"/>
  <c r="Q5" i="1"/>
  <c r="Q4" i="1"/>
  <c r="AV9" i="1"/>
  <c r="AW9" i="1" s="1"/>
  <c r="AL9" i="1"/>
  <c r="AI9" i="1"/>
  <c r="AF9" i="1"/>
  <c r="AC9" i="1"/>
  <c r="Z9" i="1"/>
  <c r="W9" i="1"/>
  <c r="T9" i="1"/>
  <c r="AT10" i="1"/>
  <c r="AW8" i="1"/>
  <c r="T8" i="1"/>
  <c r="W6" i="1"/>
  <c r="T6" i="1"/>
  <c r="W4" i="1"/>
  <c r="T4" i="1"/>
  <c r="O4" i="1"/>
  <c r="W11" i="1"/>
  <c r="AW10" i="1"/>
  <c r="AF10" i="1" l="1"/>
  <c r="AU10" i="1"/>
  <c r="AR10" i="1"/>
  <c r="AO10" i="1"/>
  <c r="AL10" i="1"/>
  <c r="AI10" i="1"/>
  <c r="AC10" i="1"/>
  <c r="Z10" i="1"/>
  <c r="W10" i="1"/>
  <c r="T10" i="1"/>
  <c r="E18" i="13"/>
  <c r="E17" i="13"/>
  <c r="D16" i="13"/>
  <c r="E16" i="13" s="1"/>
  <c r="E15" i="13"/>
  <c r="AW6" i="1"/>
  <c r="H10" i="12"/>
  <c r="H8" i="13"/>
  <c r="AW4" i="1"/>
  <c r="E18" i="12"/>
  <c r="E17" i="12"/>
  <c r="D16" i="12"/>
  <c r="D19" i="12" s="1"/>
  <c r="E19" i="12" s="1"/>
  <c r="E15" i="12"/>
  <c r="AU4" i="1"/>
  <c r="D19" i="13" l="1"/>
  <c r="E19" i="13" s="1"/>
  <c r="E16" i="12"/>
  <c r="AU9" i="1"/>
  <c r="AR7" i="1"/>
  <c r="AO9" i="1"/>
  <c r="AO7" i="1"/>
  <c r="AI7" i="1"/>
  <c r="AF7" i="1"/>
  <c r="AC7" i="1"/>
  <c r="AU11" i="1"/>
  <c r="AR11" i="1"/>
  <c r="AO11" i="1"/>
  <c r="AL11" i="1"/>
  <c r="AI11" i="1"/>
  <c r="T11" i="1"/>
  <c r="AU6" i="1"/>
  <c r="AR6" i="1"/>
  <c r="AO6" i="1"/>
  <c r="AL6" i="1"/>
  <c r="AR4" i="1"/>
  <c r="AO4" i="1"/>
  <c r="AL4" i="1"/>
  <c r="AI4" i="1"/>
  <c r="Z4" i="1"/>
  <c r="AR9" i="1" l="1"/>
  <c r="AU8" i="1"/>
  <c r="AI8" i="1" l="1"/>
  <c r="AI6" i="1"/>
  <c r="AI5" i="1"/>
  <c r="AF11" i="1" l="1"/>
  <c r="AF8" i="1"/>
  <c r="AF6" i="1"/>
  <c r="AF4" i="1"/>
  <c r="AF5" i="1" l="1"/>
  <c r="AC5" i="1" l="1"/>
  <c r="AC6" i="1"/>
  <c r="AC8" i="1"/>
  <c r="AC11" i="1"/>
  <c r="AC4" i="1"/>
  <c r="J3" i="10" l="1"/>
  <c r="I3" i="8"/>
  <c r="J3" i="7"/>
  <c r="J3" i="6"/>
  <c r="J3" i="5"/>
  <c r="H3" i="4"/>
  <c r="J3" i="4" s="1"/>
  <c r="J3" i="2"/>
  <c r="Z11" i="1" l="1"/>
  <c r="W8" i="1" l="1"/>
  <c r="Z8" i="1"/>
  <c r="Z7" i="1"/>
  <c r="W7" i="1"/>
  <c r="T7" i="1"/>
  <c r="W5" i="1"/>
  <c r="T5" i="1"/>
  <c r="Z6" i="1"/>
  <c r="Z5" i="1" l="1"/>
  <c r="O11" i="1" l="1"/>
  <c r="M10" i="1" l="1"/>
  <c r="O10" i="1" s="1"/>
  <c r="M9" i="1"/>
  <c r="O9" i="1" s="1"/>
  <c r="M8" i="1"/>
  <c r="O8" i="1" s="1"/>
  <c r="M7" i="1"/>
  <c r="O7" i="1" s="1"/>
  <c r="M6" i="1"/>
  <c r="O6" i="1" s="1"/>
  <c r="M5" i="1"/>
  <c r="O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R4" authorId="0" shapeId="0" xr:uid="{49C09B62-9E1C-470C-ADFE-C39D486433BC}">
      <text>
        <r>
          <rPr>
            <sz val="9"/>
            <color indexed="81"/>
            <rFont val="Tahoma"/>
            <family val="2"/>
          </rPr>
          <t xml:space="preserve">
20%</t>
        </r>
      </text>
    </comment>
    <comment ref="AV4" authorId="0" shapeId="0" xr:uid="{E5FECA87-AE30-4475-85BE-8A788ED51F68}">
      <text>
        <r>
          <rPr>
            <b/>
            <sz val="9"/>
            <color indexed="81"/>
            <rFont val="Tahoma"/>
            <family val="2"/>
          </rPr>
          <t xml:space="preserve">XIMENA </t>
        </r>
        <r>
          <rPr>
            <sz val="9"/>
            <color indexed="81"/>
            <rFont val="Tahoma"/>
            <family val="2"/>
          </rPr>
          <t xml:space="preserve">
Ver hoja 2
</t>
        </r>
      </text>
    </comment>
    <comment ref="AV6" authorId="0" shapeId="0" xr:uid="{D3B32C13-B19F-4EF0-B84A-A71883A7A0E4}">
      <text>
        <r>
          <rPr>
            <b/>
            <sz val="9"/>
            <color indexed="81"/>
            <rFont val="Tahoma"/>
            <family val="2"/>
          </rPr>
          <t xml:space="preserve">XIMENA </t>
        </r>
        <r>
          <rPr>
            <sz val="9"/>
            <color indexed="81"/>
            <rFont val="Tahoma"/>
            <family val="2"/>
          </rPr>
          <t xml:space="preserve">
Este valor incluye base, (ver hoja 3)</t>
        </r>
      </text>
    </comment>
  </commentList>
</comments>
</file>

<file path=xl/sharedStrings.xml><?xml version="1.0" encoding="utf-8"?>
<sst xmlns="http://schemas.openxmlformats.org/spreadsheetml/2006/main" count="402" uniqueCount="203">
  <si>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</si>
  <si>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</si>
  <si>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</si>
  <si>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</si>
  <si>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</si>
  <si>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</si>
  <si>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</si>
  <si>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</si>
  <si>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</si>
  <si>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</si>
  <si>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</si>
  <si>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</si>
  <si>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</si>
  <si>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</si>
  <si>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</si>
  <si>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</si>
  <si>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</si>
  <si>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</si>
  <si>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</si>
  <si>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</si>
  <si>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</si>
  <si>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</si>
  <si>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</si>
  <si>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</si>
  <si>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</si>
  <si>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</si>
  <si>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</si>
  <si>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</si>
  <si>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</si>
  <si>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</si>
  <si>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</si>
  <si>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</si>
  <si>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Observaciones</t>
  </si>
  <si>
    <t>Indicador de periodicidad anual</t>
  </si>
  <si>
    <t>Indicador de periodicidad semestral</t>
  </si>
  <si>
    <t>Indicador de periodicidad trimestral</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</si>
  <si>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</si>
  <si>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</si>
  <si>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</si>
  <si>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</si>
  <si>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</si>
  <si>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</si>
  <si>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</si>
  <si>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</si>
  <si>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</si>
  <si>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</si>
  <si>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</si>
  <si>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</si>
  <si>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</si>
  <si>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</si>
  <si>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</si>
  <si>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</si>
  <si>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</si>
  <si>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</si>
  <si>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</si>
  <si>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</si>
  <si>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</si>
  <si>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</si>
  <si>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</si>
  <si>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</si>
  <si>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</si>
  <si>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</si>
  <si>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</si>
  <si>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</si>
  <si>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</si>
  <si>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</si>
  <si>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</si>
  <si>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</si>
  <si>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</si>
  <si>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</si>
  <si>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</si>
  <si>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</si>
  <si>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</si>
  <si>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</si>
  <si>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</si>
  <si>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</si>
  <si>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</si>
  <si>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</si>
  <si>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</si>
  <si>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</si>
  <si>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</si>
  <si>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</si>
  <si>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</si>
  <si>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</si>
  <si>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</si>
  <si>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</si>
  <si>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</si>
  <si>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</si>
  <si>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</si>
  <si>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</si>
  <si>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</si>
  <si>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</si>
  <si>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</si>
  <si>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</si>
  <si>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</si>
  <si>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</si>
  <si>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</si>
  <si>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</si>
  <si>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</si>
  <si>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</si>
  <si>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</si>
  <si>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</si>
  <si>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</si>
  <si>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</si>
  <si>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</si>
  <si>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</si>
  <si>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</si>
  <si>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</si>
  <si>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</si>
  <si>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</si>
  <si>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</si>
  <si>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</si>
  <si>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</si>
  <si>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</si>
  <si>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</si>
  <si>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</si>
  <si>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</si>
  <si>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</si>
  <si>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</si>
  <si>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</si>
  <si>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</si>
  <si>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</si>
  <si>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</si>
  <si>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</si>
  <si>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</si>
  <si>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</si>
  <si>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</si>
  <si>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</si>
  <si>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</si>
  <si>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</si>
  <si>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</si>
  <si>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</si>
  <si>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</si>
  <si>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</si>
  <si>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</si>
  <si>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</si>
  <si>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</si>
  <si>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</si>
  <si>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</si>
  <si>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</si>
  <si>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</si>
  <si>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</si>
  <si>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</si>
  <si>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</si>
  <si>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</si>
  <si>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</si>
  <si>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</si>
  <si>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</si>
  <si>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</si>
  <si>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</si>
  <si>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</si>
  <si>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</si>
  <si>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</si>
  <si>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</si>
  <si>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</si>
  <si>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</si>
  <si>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</si>
  <si>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</si>
  <si>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</si>
  <si>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 de avance de meta a Diciembre de 2020</t>
  </si>
  <si>
    <t>Avance cualitativo a Diciembre</t>
  </si>
  <si>
    <t xml:space="preserve">Avance cuantitativo a Diciembre 2020 </t>
  </si>
  <si>
    <t>Avance cuantitativo acumulado vigencias 2019-2020</t>
  </si>
  <si>
    <t>AÑO</t>
  </si>
  <si>
    <t>META</t>
  </si>
  <si>
    <t>EJECUTADO</t>
  </si>
  <si>
    <t>ACUMULADO</t>
  </si>
  <si>
    <t>%</t>
  </si>
  <si>
    <t>Área (ha)</t>
  </si>
  <si>
    <t>Línea base</t>
  </si>
  <si>
    <t>CARTOGRAFÍA</t>
  </si>
  <si>
    <t>Año</t>
  </si>
  <si>
    <t>Meta</t>
  </si>
  <si>
    <t>Avance</t>
  </si>
  <si>
    <t>% Avance</t>
  </si>
  <si>
    <t>Meta real</t>
  </si>
  <si>
    <t>Línea Base</t>
  </si>
  <si>
    <t>-</t>
  </si>
  <si>
    <t>Ene-Dic 2019</t>
  </si>
  <si>
    <t>Ene-Dic 2020</t>
  </si>
  <si>
    <t>Ene-Dic 2021</t>
  </si>
  <si>
    <t>Ene-Dic 2022</t>
  </si>
  <si>
    <t>2018-2022</t>
  </si>
  <si>
    <t>12.5%</t>
  </si>
  <si>
    <t>10.5%</t>
  </si>
  <si>
    <r>
      <t>Para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acumulado a la fecha de 13.418.129 ha.
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t>
    </r>
    <r>
      <rPr>
        <b/>
        <sz val="12"/>
        <color theme="1"/>
        <rFont val="Arial"/>
        <family val="2"/>
      </rPr>
      <t>, Lo anterior suma un cumplimiento acumulado 2019-2020 del 64,18% respecto a la meta del 23%,</t>
    </r>
  </si>
  <si>
    <r>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t>
    </r>
    <r>
      <rPr>
        <b/>
        <sz val="12"/>
        <color rgb="FF000000"/>
        <rFont val="Arial"/>
        <family val="2"/>
      </rPr>
      <t xml:space="preserve"> Lo anterior suma un cumplimiento acumulado 2019-2020 del 100,62% respecto a la meta del 37%,</t>
    </r>
  </si>
  <si>
    <r>
      <t xml:space="preserve">3% (Año 2019)+11,76%(Año 2020)= </t>
    </r>
    <r>
      <rPr>
        <b/>
        <sz val="12"/>
        <color theme="1"/>
        <rFont val="Arial"/>
        <family val="2"/>
      </rPr>
      <t>14,76% ( acumulado)</t>
    </r>
    <r>
      <rPr>
        <sz val="12"/>
        <color theme="1"/>
        <rFont val="Arial"/>
        <family val="2"/>
      </rPr>
      <t xml:space="preserve">
El avance acumulado 2019 -2020  en ha es de 17.238.844,5, sin embargo teniendo en cuenta que para el año 2019 se registro el 3% equivalente a 3.422.898,1 ha y no se tuvo en cuenta el real ejecutado: 3.820.715,52 ha; se toma el valor total de 16.841.027,10 ( 13.418.129+3.422.898,1)
</t>
    </r>
    <r>
      <rPr>
        <b/>
        <sz val="12"/>
        <color theme="1"/>
        <rFont val="Arial"/>
        <family val="2"/>
      </rPr>
      <t xml:space="preserve">
Ver hoja 2</t>
    </r>
  </si>
  <si>
    <r>
      <t>12,5% (Línea Base) + 10,5% (Año 2019) +14,23% (Año 2020)=</t>
    </r>
    <r>
      <rPr>
        <b/>
        <sz val="12"/>
        <color theme="1"/>
        <rFont val="Arial"/>
        <family val="2"/>
      </rPr>
      <t xml:space="preserve"> 37,23% (Acumulado)
Ver hoja 3</t>
    </r>
  </si>
  <si>
    <t>CARACTERIZACIÓN</t>
  </si>
  <si>
    <r>
      <t xml:space="preserve">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25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t>
    </r>
    <r>
      <rPr>
        <b/>
        <sz val="12"/>
        <color rgb="FF000000"/>
        <rFont val="Arial"/>
        <family val="2"/>
      </rPr>
      <t>Lo anterior suma un cumplimiento acumulado 2019-2020 de 372 geoservicios, con  respecto a la meta de 200, cumpliendo en un 186%,</t>
    </r>
  </si>
  <si>
    <r>
      <rPr>
        <b/>
        <sz val="12"/>
        <color theme="1"/>
        <rFont val="Arial"/>
        <family val="2"/>
      </rPr>
      <t>Para la vigencia 2020, respecto a la implementación del Sistema Nacional de Información de Catastro Multipróposito, se logró un porcentaje  de cumplimiento del 15% y un acumulado para las vigencias 2019-2020 del 20%</t>
    </r>
    <r>
      <rPr>
        <sz val="12"/>
        <color theme="1"/>
        <rFont val="Arial"/>
        <family val="2"/>
      </rPr>
      <t>.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r>
  </si>
  <si>
    <r>
      <t xml:space="preserve">5% (Año 2019) + 15%(Año 2020)= </t>
    </r>
    <r>
      <rPr>
        <b/>
        <sz val="12"/>
        <color theme="1"/>
        <rFont val="Arial"/>
        <family val="2"/>
      </rPr>
      <t>20% (Acumulado)</t>
    </r>
  </si>
  <si>
    <r>
      <t xml:space="preserve">185(Año 2019) + 187 (Año 2020)= </t>
    </r>
    <r>
      <rPr>
        <b/>
        <sz val="12"/>
        <color theme="1"/>
        <rFont val="Arial"/>
        <family val="2"/>
      </rPr>
      <t>372 (Acumulado)</t>
    </r>
  </si>
  <si>
    <r>
      <t>8 (Año 2019) + 11 (Año 2020) =</t>
    </r>
    <r>
      <rPr>
        <b/>
        <sz val="12"/>
        <color theme="1"/>
        <rFont val="Arial"/>
        <family val="2"/>
      </rPr>
      <t xml:space="preserve"> 19 (Acumulado)</t>
    </r>
  </si>
  <si>
    <r>
      <t xml:space="preserve">Se emitió acto administrativo de Habilitación al Municipio de Sincelejo-Sucre, mediante Resolución 1030 del 10 de  diciembre de 2020.
Se emitió acto administrativo de Habilitación al Municipio de Sesquilé-Cundinamarca, mediante Resolución 1057 del 16 de  diciembre de 2020.
De acuerdo con lo anterior, en diciembre se habilitaron 2 gestores catastrales, quedando a la fecha 19 gestores catastrales habilitados.
</t>
    </r>
    <r>
      <rPr>
        <b/>
        <sz val="12"/>
        <color theme="1"/>
        <rFont val="Arial"/>
        <family val="2"/>
      </rPr>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r>
  </si>
  <si>
    <t>Se estima que los Gestores catastrales entregarán la información el 20 de enero , una vez se realice la revisión  en el sistema nacional catastral con el fin de obtener la información del área geográfica con catastro actualizado y reportar las cifras finales corte diciembre 2020</t>
  </si>
  <si>
    <t>Ver Observación en "Avance Cualitativo a Diciembre"</t>
  </si>
  <si>
    <t>% avance acumulado
vigencias 2019 -2020</t>
  </si>
  <si>
    <t>Periodicidad</t>
  </si>
  <si>
    <t>Este indicador se debe revisar con DNP para verificar si es de tipo acumulación o suma</t>
  </si>
  <si>
    <r>
      <t xml:space="preserve">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t>
    </r>
    <r>
      <rPr>
        <b/>
        <sz val="12"/>
        <color theme="1"/>
        <rFont val="Arial"/>
        <family val="2"/>
      </rPr>
      <t>Por otra parte, para la vigencia 2020 se programó una meta del 30% de implementación del programa marco de operación del sistema de información Geográfico -SIG Indígena, la cual se cumplió al 100%</t>
    </r>
    <r>
      <rPr>
        <sz val="12"/>
        <color theme="1"/>
        <rFont val="Arial"/>
        <family val="2"/>
      </rPr>
      <t xml:space="preserve"> desarrollando las siguientes etapas: 1.) Planeación del proyecto vigencia 2020 (8%), 2.) Análisis de nuevas funcionalidades para el SIG indígenas (9%),3.) Transferencia de Conocimiento (10%) y 4.) Soporte de funcionamiento del SIG Indígenas (3%)         
        </t>
    </r>
  </si>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</sst>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10409]#,##0.00"/>
  </numFmts>
  <fonts count="37"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
      <sz val="12"/>
      <name val="Arial"/>
      <family val="2"/>
    </font>
    <font>
      <sz val="11"/>
      <color rgb="FF000000"/>
      <name val="Calibri"/>
      <family val="2"/>
      <scheme val="minor"/>
    </font>
    <font>
      <sz val="16"/>
      <color theme="1"/>
      <name val="Arial"/>
      <family val="2"/>
    </font>
    <font>
      <sz val="11"/>
      <color rgb="FF000000"/>
      <name val="Arial"/>
      <family val="2"/>
    </font>
    <font>
      <sz val="12"/>
      <color rgb="FF000000"/>
      <name val="Arial"/>
      <family val="2"/>
    </font>
    <font>
      <b/>
      <sz val="11"/>
      <color theme="1"/>
      <name val="Calibri"/>
      <family val="2"/>
      <scheme val="minor"/>
    </font>
    <font>
      <sz val="9"/>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b/>
      <sz val="9"/>
      <color rgb="FF000000"/>
      <name val="Arial"/>
      <family val="2"/>
    </font>
    <font>
      <b/>
      <sz val="10"/>
      <name val="Arial"/>
      <family val="2"/>
    </font>
    <font>
      <b/>
      <sz val="9"/>
      <color indexed="8"/>
      <name val="Tahoma"/>
      <family val="2"/>
    </font>
    <font>
      <sz val="8"/>
      <color indexed="8"/>
      <name val="Tahoma"/>
      <family val="2"/>
    </font>
    <font>
      <b/>
      <sz val="8"/>
      <color indexed="8"/>
      <name val="Tahoma"/>
      <family val="2"/>
    </font>
    <font>
      <b/>
      <sz val="12"/>
      <color rgb="FF000000"/>
      <name val="Arial"/>
      <family val="2"/>
    </font>
    <font>
      <b/>
      <sz val="10"/>
      <color theme="1"/>
      <name val="Arial"/>
      <family val="2"/>
    </font>
    <font>
      <b/>
      <sz val="9"/>
      <color theme="1"/>
      <name val="Tahoma"/>
      <family val="2"/>
    </font>
    <font>
      <sz val="8"/>
      <color theme="1"/>
      <name val="Tahoma"/>
      <family val="2"/>
    </font>
    <font>
      <b/>
      <sz val="8"/>
      <color theme="1"/>
      <name val="Tahoma"/>
      <family val="2"/>
    </font>
    <font>
      <sz val="14"/>
      <name val="Arial"/>
      <family val="2"/>
    </font>
    <font>
      <sz val="14"/>
      <color rgb="FF000000"/>
      <name val="Arial"/>
      <family val="2"/>
    </font>
    <font>
      <sz val="14"/>
      <color rgb="FFFF0000"/>
      <name val="Arial"/>
      <family val="2"/>
    </font>
    <font>
      <b/>
      <sz val="48"/>
      <color theme="1"/>
      <name val="Arial"/>
      <family val="2"/>
    </font>
    <font>
      <b/>
      <sz val="16"/>
      <name val="Arial"/>
      <family val="2"/>
    </font>
    <font>
      <b/>
      <sz val="25"/>
      <color theme="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lightUp">
        <bgColor rgb="FFD2D2D2"/>
      </patternFill>
    </fill>
    <fill>
      <patternFill patternType="darkUp">
        <fgColor rgb="FF808080"/>
        <bgColor rgb="FFCACACA"/>
      </patternFill>
    </fill>
    <fill>
      <patternFill patternType="solid">
        <fgColor theme="4" tint="0.59999389629810485"/>
        <bgColor indexed="64"/>
      </patternFill>
    </fill>
    <fill>
      <patternFill patternType="solid">
        <fgColor theme="0"/>
        <bgColor indexed="0"/>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medium">
        <color rgb="FFBFBFBF"/>
      </left>
      <right style="medium">
        <color rgb="FFBFBFBF"/>
      </right>
      <top style="medium">
        <color rgb="FFBFBFBF"/>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254">
    <xf numFmtId="0" fontId="0" fillId="0" borderId="0" xfId="0"/>
    <xf numFmtId="0" fontId="2" fillId="0" borderId="0" xfId="0" applyFont="1"/>
    <xf numFmtId="0" fontId="2" fillId="0" borderId="0" xfId="0" applyFont="1" applyBorder="1"/>
    <xf numFmtId="0" fontId="2" fillId="0" borderId="0" xfId="0" applyFont="1" applyFill="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0" fontId="7" fillId="0" borderId="9"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0" fontId="2" fillId="0" borderId="0" xfId="0" applyFont="1" applyBorder="1" applyAlignment="1"/>
    <xf numFmtId="9" fontId="7" fillId="3" borderId="1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9"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9" xfId="0"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9" xfId="1" applyFont="1" applyFill="1" applyBorder="1" applyAlignment="1">
      <alignment horizontal="center" vertical="center"/>
    </xf>
    <xf numFmtId="0" fontId="7" fillId="3" borderId="14" xfId="0" applyFont="1" applyFill="1" applyBorder="1" applyAlignment="1">
      <alignment horizontal="left" vertical="center" wrapText="1"/>
    </xf>
    <xf numFmtId="164" fontId="7" fillId="0"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9" fontId="8" fillId="3" borderId="9" xfId="0" applyNumberFormat="1" applyFont="1" applyFill="1" applyBorder="1" applyAlignment="1">
      <alignment horizontal="center" vertical="center"/>
    </xf>
    <xf numFmtId="9" fontId="7" fillId="0" borderId="9" xfId="3"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0" fontId="7" fillId="0" borderId="9" xfId="3" applyNumberFormat="1" applyFont="1" applyFill="1" applyBorder="1" applyAlignment="1">
      <alignment horizontal="center" vertical="center"/>
    </xf>
    <xf numFmtId="0" fontId="4" fillId="2"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7" fillId="0" borderId="9" xfId="0" applyFont="1" applyBorder="1" applyAlignment="1">
      <alignment vertical="center" wrapText="1"/>
    </xf>
    <xf numFmtId="9" fontId="7" fillId="3" borderId="9" xfId="0" applyNumberFormat="1" applyFont="1" applyFill="1" applyBorder="1" applyAlignment="1">
      <alignment horizontal="center" vertical="center" wrapText="1"/>
    </xf>
    <xf numFmtId="0" fontId="7" fillId="0" borderId="9" xfId="0" applyFont="1" applyBorder="1" applyAlignment="1">
      <alignment wrapText="1"/>
    </xf>
    <xf numFmtId="9" fontId="8" fillId="3" borderId="9" xfId="1" applyFont="1" applyFill="1" applyBorder="1" applyAlignment="1">
      <alignment horizontal="center" vertical="center"/>
    </xf>
    <xf numFmtId="0" fontId="7" fillId="0" borderId="9" xfId="0" applyFont="1" applyBorder="1" applyAlignment="1">
      <alignment horizontal="center" wrapText="1"/>
    </xf>
    <xf numFmtId="0" fontId="7" fillId="0" borderId="9" xfId="0" applyFont="1" applyBorder="1" applyAlignment="1">
      <alignment horizontal="center" vertical="center" wrapText="1"/>
    </xf>
    <xf numFmtId="165" fontId="7" fillId="3" borderId="9" xfId="3" applyNumberFormat="1" applyFont="1" applyFill="1" applyBorder="1" applyAlignment="1">
      <alignment horizontal="center" vertical="center" wrapText="1"/>
    </xf>
    <xf numFmtId="165" fontId="7" fillId="3" borderId="9" xfId="3" applyNumberFormat="1" applyFont="1" applyFill="1" applyBorder="1" applyAlignment="1">
      <alignment vertical="center" wrapText="1"/>
    </xf>
    <xf numFmtId="0" fontId="2" fillId="3" borderId="14"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10" fillId="0" borderId="1" xfId="0" applyFont="1" applyBorder="1" applyAlignment="1">
      <alignment vertical="center" wrapText="1"/>
    </xf>
    <xf numFmtId="9" fontId="2" fillId="0" borderId="0" xfId="1" applyFont="1" applyBorder="1"/>
    <xf numFmtId="0" fontId="11" fillId="0" borderId="33" xfId="0" applyFont="1" applyBorder="1" applyAlignment="1">
      <alignment horizontal="left" vertical="center" wrapText="1"/>
    </xf>
    <xf numFmtId="164" fontId="12" fillId="3" borderId="14"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13" fillId="0" borderId="0" xfId="0" applyNumberFormat="1" applyFont="1"/>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top" wrapText="1"/>
    </xf>
    <xf numFmtId="0" fontId="14" fillId="0" borderId="39"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4" fontId="0" fillId="0" borderId="0" xfId="0" applyNumberFormat="1"/>
    <xf numFmtId="4" fontId="16" fillId="0" borderId="0" xfId="0" applyNumberFormat="1" applyFont="1"/>
    <xf numFmtId="10" fontId="2" fillId="0" borderId="0" xfId="0" applyNumberFormat="1" applyFont="1" applyFill="1"/>
    <xf numFmtId="3" fontId="17" fillId="0" borderId="0" xfId="0" applyNumberFormat="1" applyFont="1"/>
    <xf numFmtId="164" fontId="2" fillId="0" borderId="0" xfId="1" applyNumberFormat="1" applyFont="1" applyFill="1"/>
    <xf numFmtId="10" fontId="2" fillId="0" borderId="1" xfId="0" applyNumberFormat="1" applyFont="1" applyFill="1" applyBorder="1" applyAlignment="1">
      <alignment vertical="center" wrapText="1"/>
    </xf>
    <xf numFmtId="0" fontId="16" fillId="0" borderId="43" xfId="0" applyFont="1" applyBorder="1" applyAlignment="1">
      <alignment horizontal="center" vertical="center"/>
    </xf>
    <xf numFmtId="10" fontId="16" fillId="0" borderId="44" xfId="0" applyNumberFormat="1" applyFont="1" applyBorder="1" applyAlignment="1">
      <alignment horizontal="center" vertical="center"/>
    </xf>
    <xf numFmtId="4" fontId="16" fillId="0" borderId="44" xfId="0" applyNumberFormat="1" applyFont="1" applyBorder="1" applyAlignment="1">
      <alignment horizontal="right" vertical="center"/>
    </xf>
    <xf numFmtId="0" fontId="16" fillId="8" borderId="44" xfId="0" applyFont="1" applyFill="1" applyBorder="1" applyAlignment="1">
      <alignment horizontal="center" vertical="center"/>
    </xf>
    <xf numFmtId="0" fontId="16" fillId="8" borderId="44" xfId="0" applyFont="1" applyFill="1" applyBorder="1" applyAlignment="1">
      <alignment horizontal="right" vertical="center"/>
    </xf>
    <xf numFmtId="0" fontId="16" fillId="8" borderId="44" xfId="0" applyFont="1" applyFill="1" applyBorder="1" applyAlignment="1">
      <alignment horizontal="right" vertical="center" wrapText="1"/>
    </xf>
    <xf numFmtId="9" fontId="16" fillId="0" borderId="44" xfId="0" applyNumberFormat="1" applyFont="1" applyBorder="1" applyAlignment="1">
      <alignment horizontal="center" vertical="center"/>
    </xf>
    <xf numFmtId="0" fontId="16" fillId="9" borderId="44" xfId="0" applyFont="1" applyFill="1" applyBorder="1" applyAlignment="1">
      <alignment horizontal="center" vertical="center" wrapText="1"/>
    </xf>
    <xf numFmtId="3" fontId="16" fillId="0" borderId="44" xfId="0" applyNumberFormat="1" applyFont="1" applyBorder="1" applyAlignment="1">
      <alignment horizontal="right" vertical="center"/>
    </xf>
    <xf numFmtId="10" fontId="16" fillId="0" borderId="44" xfId="0" applyNumberFormat="1" applyFont="1" applyBorder="1" applyAlignment="1">
      <alignment horizontal="right" vertical="center" wrapText="1"/>
    </xf>
    <xf numFmtId="4" fontId="16" fillId="0" borderId="44" xfId="0" applyNumberFormat="1" applyFont="1" applyBorder="1" applyAlignment="1">
      <alignment horizontal="right" vertical="center" wrapText="1"/>
    </xf>
    <xf numFmtId="0" fontId="21" fillId="10" borderId="44" xfId="0" applyFont="1" applyFill="1" applyBorder="1" applyAlignment="1">
      <alignment horizontal="center" vertical="center"/>
    </xf>
    <xf numFmtId="0" fontId="21" fillId="10" borderId="44" xfId="0" applyFont="1" applyFill="1" applyBorder="1" applyAlignment="1">
      <alignment horizontal="center" vertical="center" wrapText="1"/>
    </xf>
    <xf numFmtId="0" fontId="21" fillId="0" borderId="43" xfId="0" applyFont="1" applyBorder="1" applyAlignment="1">
      <alignment horizontal="center" vertical="center"/>
    </xf>
    <xf numFmtId="0" fontId="22" fillId="3" borderId="1" xfId="0" applyFont="1" applyFill="1" applyBorder="1"/>
    <xf numFmtId="0" fontId="0" fillId="3" borderId="1" xfId="0" applyFill="1" applyBorder="1"/>
    <xf numFmtId="0" fontId="23" fillId="11" borderId="1" xfId="0" applyFont="1" applyFill="1" applyBorder="1" applyAlignment="1" applyProtection="1">
      <alignment horizontal="center" vertical="top" wrapText="1" readingOrder="1"/>
      <protection locked="0"/>
    </xf>
    <xf numFmtId="0" fontId="24" fillId="11" borderId="1" xfId="0" applyFont="1" applyFill="1" applyBorder="1" applyAlignment="1" applyProtection="1">
      <alignment vertical="center" wrapText="1" readingOrder="1"/>
      <protection locked="0"/>
    </xf>
    <xf numFmtId="10" fontId="24" fillId="11" borderId="1" xfId="0" applyNumberFormat="1" applyFont="1" applyFill="1" applyBorder="1" applyAlignment="1" applyProtection="1">
      <alignment horizontal="right" vertical="center" wrapText="1" readingOrder="1"/>
      <protection locked="0"/>
    </xf>
    <xf numFmtId="0" fontId="25" fillId="11" borderId="1" xfId="0" applyFont="1" applyFill="1" applyBorder="1" applyAlignment="1" applyProtection="1">
      <alignment vertical="center" wrapText="1" readingOrder="1"/>
      <protection locked="0"/>
    </xf>
    <xf numFmtId="10" fontId="25" fillId="11" borderId="1" xfId="0" applyNumberFormat="1" applyFont="1" applyFill="1" applyBorder="1" applyAlignment="1" applyProtection="1">
      <alignment horizontal="right" vertical="center" wrapText="1" readingOrder="1"/>
      <protection locked="0"/>
    </xf>
    <xf numFmtId="10" fontId="2" fillId="0" borderId="0" xfId="1" applyNumberFormat="1" applyFont="1" applyFill="1"/>
    <xf numFmtId="0" fontId="16" fillId="0" borderId="44" xfId="0" applyFont="1" applyBorder="1" applyAlignment="1">
      <alignment horizontal="center" vertical="center"/>
    </xf>
    <xf numFmtId="0" fontId="16" fillId="9" borderId="44" xfId="0" applyFont="1" applyFill="1" applyBorder="1" applyAlignment="1">
      <alignment horizontal="right" vertical="center" wrapText="1"/>
    </xf>
    <xf numFmtId="10" fontId="0" fillId="0" borderId="0" xfId="0" applyNumberFormat="1"/>
    <xf numFmtId="4" fontId="15" fillId="0" borderId="0" xfId="0" applyNumberFormat="1" applyFont="1"/>
    <xf numFmtId="9" fontId="0" fillId="0" borderId="0" xfId="1" applyFont="1"/>
    <xf numFmtId="10" fontId="0" fillId="0" borderId="0" xfId="1" applyNumberFormat="1" applyFont="1"/>
    <xf numFmtId="0" fontId="27" fillId="3" borderId="0" xfId="0" applyFont="1" applyFill="1"/>
    <xf numFmtId="0" fontId="0" fillId="3" borderId="0" xfId="0" applyFont="1" applyFill="1"/>
    <xf numFmtId="0" fontId="28" fillId="11" borderId="45" xfId="0" applyFont="1" applyFill="1" applyBorder="1" applyAlignment="1" applyProtection="1">
      <alignment horizontal="center" vertical="top" wrapText="1" readingOrder="1"/>
      <protection locked="0"/>
    </xf>
    <xf numFmtId="0" fontId="29" fillId="11" borderId="45" xfId="0" applyFont="1" applyFill="1" applyBorder="1" applyAlignment="1" applyProtection="1">
      <alignment vertical="center" wrapText="1" readingOrder="1"/>
      <protection locked="0"/>
    </xf>
    <xf numFmtId="0" fontId="29" fillId="11" borderId="45" xfId="0" applyFont="1" applyFill="1" applyBorder="1" applyAlignment="1" applyProtection="1">
      <alignment horizontal="right" vertical="center" wrapText="1" readingOrder="1"/>
      <protection locked="0"/>
    </xf>
    <xf numFmtId="166" fontId="29" fillId="11" borderId="45" xfId="0" applyNumberFormat="1" applyFont="1" applyFill="1" applyBorder="1" applyAlignment="1" applyProtection="1">
      <alignment horizontal="right" vertical="center" wrapText="1" readingOrder="1"/>
      <protection locked="0"/>
    </xf>
    <xf numFmtId="10" fontId="29" fillId="11" borderId="45" xfId="0" applyNumberFormat="1" applyFont="1" applyFill="1" applyBorder="1" applyAlignment="1" applyProtection="1">
      <alignment horizontal="right" vertical="center" wrapText="1" readingOrder="1"/>
      <protection locked="0"/>
    </xf>
    <xf numFmtId="10" fontId="30" fillId="11" borderId="45" xfId="0" applyNumberFormat="1" applyFont="1" applyFill="1" applyBorder="1" applyAlignment="1" applyProtection="1">
      <alignment horizontal="right" vertical="center" wrapText="1" readingOrder="1"/>
      <protection locked="0"/>
    </xf>
    <xf numFmtId="0" fontId="29" fillId="11" borderId="46" xfId="0" applyFont="1" applyFill="1" applyBorder="1" applyAlignment="1" applyProtection="1">
      <alignment horizontal="right" vertical="center" wrapText="1" readingOrder="1"/>
      <protection locked="0"/>
    </xf>
    <xf numFmtId="10" fontId="30" fillId="11" borderId="47" xfId="0" applyNumberFormat="1" applyFont="1" applyFill="1" applyBorder="1" applyAlignment="1" applyProtection="1">
      <alignment horizontal="right" vertical="center" wrapText="1" readingOrder="1"/>
      <protection locked="0"/>
    </xf>
    <xf numFmtId="0" fontId="0" fillId="3" borderId="1" xfId="0" applyFont="1" applyFill="1" applyBorder="1"/>
    <xf numFmtId="9" fontId="2" fillId="3" borderId="1" xfId="0" applyNumberFormat="1" applyFont="1" applyFill="1" applyBorder="1" applyAlignment="1">
      <alignment horizontal="right" vertical="center" wrapText="1"/>
    </xf>
    <xf numFmtId="9" fontId="2" fillId="0" borderId="1" xfId="1" applyFont="1" applyFill="1" applyBorder="1" applyAlignment="1">
      <alignment vertical="center" wrapText="1"/>
    </xf>
    <xf numFmtId="0" fontId="7"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7" fillId="0" borderId="3" xfId="3" applyFont="1" applyFill="1" applyBorder="1" applyAlignment="1">
      <alignment horizontal="right" vertical="center"/>
    </xf>
    <xf numFmtId="43" fontId="7" fillId="0" borderId="2" xfId="3" applyFont="1" applyFill="1" applyBorder="1" applyAlignment="1">
      <alignment horizontal="right" vertical="center"/>
    </xf>
    <xf numFmtId="165" fontId="7" fillId="0" borderId="1" xfId="3" applyNumberFormat="1" applyFont="1" applyFill="1" applyBorder="1" applyAlignment="1">
      <alignment horizontal="right" vertical="center"/>
    </xf>
    <xf numFmtId="165" fontId="7" fillId="0" borderId="2" xfId="3" applyNumberFormat="1" applyFont="1" applyFill="1" applyBorder="1" applyAlignment="1">
      <alignment horizontal="right" vertical="center"/>
    </xf>
    <xf numFmtId="9"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xf>
    <xf numFmtId="9" fontId="7" fillId="0" borderId="1" xfId="0"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43" fontId="7" fillId="0" borderId="1" xfId="3"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7" fillId="0" borderId="9" xfId="3" applyNumberFormat="1" applyFont="1" applyFill="1" applyBorder="1" applyAlignment="1">
      <alignment horizontal="right" vertical="center"/>
    </xf>
    <xf numFmtId="0" fontId="2" fillId="0"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9" fontId="10" fillId="0" borderId="1" xfId="0" applyNumberFormat="1" applyFont="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7" fillId="3" borderId="9"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9" fontId="7" fillId="3" borderId="17"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0" fontId="7" fillId="3" borderId="17" xfId="0" applyFont="1" applyFill="1" applyBorder="1" applyAlignment="1">
      <alignment horizontal="right" vertical="center" wrapText="1"/>
    </xf>
    <xf numFmtId="9" fontId="7" fillId="3" borderId="1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9" fontId="31" fillId="0" borderId="1" xfId="0" applyNumberFormat="1" applyFont="1" applyBorder="1" applyAlignment="1">
      <alignment horizontal="right" vertical="center" wrapText="1"/>
    </xf>
    <xf numFmtId="10" fontId="7" fillId="3" borderId="1" xfId="0" applyNumberFormat="1" applyFont="1" applyFill="1" applyBorder="1" applyAlignment="1">
      <alignment horizontal="right" vertical="center" wrapText="1"/>
    </xf>
    <xf numFmtId="4" fontId="32" fillId="0" borderId="33" xfId="0" applyNumberFormat="1" applyFont="1" applyBorder="1" applyAlignment="1">
      <alignment horizontal="right" vertical="center"/>
    </xf>
    <xf numFmtId="4" fontId="13" fillId="0" borderId="33" xfId="0" applyNumberFormat="1" applyFont="1" applyBorder="1" applyAlignment="1">
      <alignment horizontal="right" vertical="center"/>
    </xf>
    <xf numFmtId="10" fontId="7" fillId="3" borderId="14" xfId="0" applyNumberFormat="1" applyFont="1" applyFill="1" applyBorder="1" applyAlignment="1">
      <alignment horizontal="center" vertical="center"/>
    </xf>
    <xf numFmtId="4" fontId="32" fillId="0" borderId="1" xfId="0" applyNumberFormat="1" applyFont="1" applyBorder="1" applyAlignment="1">
      <alignment horizontal="right" vertical="center"/>
    </xf>
    <xf numFmtId="164" fontId="7" fillId="3" borderId="1" xfId="0" applyNumberFormat="1" applyFont="1" applyFill="1" applyBorder="1" applyAlignment="1">
      <alignment horizontal="center" vertical="center"/>
    </xf>
    <xf numFmtId="9" fontId="7" fillId="0" borderId="1" xfId="0" applyNumberFormat="1" applyFont="1" applyBorder="1" applyAlignment="1">
      <alignment horizontal="right" vertical="center" wrapText="1"/>
    </xf>
    <xf numFmtId="0" fontId="32" fillId="0" borderId="1" xfId="0" applyFont="1" applyBorder="1" applyAlignment="1">
      <alignment horizontal="right" vertical="center" wrapText="1"/>
    </xf>
    <xf numFmtId="3"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9" fontId="33" fillId="3" borderId="11" xfId="0" applyNumberFormat="1" applyFont="1" applyFill="1" applyBorder="1" applyAlignment="1">
      <alignment horizontal="center" vertical="center"/>
    </xf>
    <xf numFmtId="0" fontId="2" fillId="0" borderId="1" xfId="0" applyFont="1" applyFill="1" applyBorder="1" applyAlignment="1">
      <alignment vertical="center"/>
    </xf>
    <xf numFmtId="0" fontId="6" fillId="3" borderId="1" xfId="0" applyFont="1" applyFill="1" applyBorder="1" applyAlignment="1">
      <alignment horizontal="center" vertical="center" wrapText="1"/>
    </xf>
    <xf numFmtId="0" fontId="2" fillId="0" borderId="0" xfId="0" applyFont="1" applyBorder="1" applyAlignment="1"/>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10" borderId="40"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1" xfId="0" applyFont="1" applyFill="1" applyBorder="1" applyAlignment="1">
      <alignment horizontal="center" vertical="center"/>
    </xf>
    <xf numFmtId="0" fontId="21" fillId="10" borderId="42" xfId="0" applyFont="1" applyFill="1" applyBorder="1" applyAlignment="1">
      <alignment horizontal="center" vertical="center"/>
    </xf>
    <xf numFmtId="0" fontId="21" fillId="10" borderId="41" xfId="0" applyFont="1" applyFill="1" applyBorder="1" applyAlignment="1">
      <alignment horizontal="center" vertical="center" wrapText="1"/>
    </xf>
    <xf numFmtId="0" fontId="21" fillId="10" borderId="42"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9"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36" fillId="6" borderId="48" xfId="0" applyFont="1" applyFill="1" applyBorder="1" applyAlignment="1">
      <alignment horizontal="center" vertical="center"/>
    </xf>
    <xf numFmtId="0" fontId="36" fillId="6" borderId="37" xfId="0" applyFont="1" applyFill="1" applyBorder="1" applyAlignment="1">
      <alignment horizontal="center" vertical="center"/>
    </xf>
    <xf numFmtId="0" fontId="36" fillId="6" borderId="49" xfId="0" applyFont="1" applyFill="1" applyBorder="1" applyAlignment="1">
      <alignment horizontal="center"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165">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35</xdr:col>
      <xdr:colOff>6591300</xdr:colOff>
      <xdr:row>0</xdr:row>
      <xdr:rowOff>266700</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98183700" y="266700"/>
          <a:ext cx="1714500" cy="19431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30"/>
  <sheetViews>
    <sheetView showGridLines="0" tabSelected="1" topLeftCell="AI1" zoomScale="25" zoomScaleNormal="25" workbookViewId="0">
      <pane ySplit="3" topLeftCell="A4" activePane="bottomLeft" state="frozen"/>
      <selection pane="bottomLeft" activeCell="AP10" sqref="AP10"/>
    </sheetView>
  </sheetViews>
  <sheetFormatPr baseColWidth="10" defaultColWidth="11.42578125" defaultRowHeight="15" x14ac:dyDescent="0.2"/>
  <cols>
    <col min="1" max="1" width="43.42578125" style="1" hidden="1" customWidth="1"/>
    <col min="2" max="2" width="61.7109375" style="1" customWidth="1"/>
    <col min="3" max="3" width="34.42578125" style="1" customWidth="1"/>
    <col min="4" max="4" width="46.28515625" style="1" customWidth="1"/>
    <col min="5" max="5" width="19" style="1" customWidth="1"/>
    <col min="6" max="6" width="18.5703125" style="1" customWidth="1"/>
    <col min="7" max="7" width="16.7109375" style="1" customWidth="1"/>
    <col min="8" max="8" width="16.85546875" style="1" customWidth="1"/>
    <col min="9" max="9" width="32.42578125" style="1" customWidth="1"/>
    <col min="10" max="10" width="37.28515625" style="1" customWidth="1"/>
    <col min="11" max="11" width="26.42578125" style="1" customWidth="1"/>
    <col min="12" max="12" width="37.28515625" style="1" customWidth="1"/>
    <col min="13" max="13" width="21" style="3" customWidth="1"/>
    <col min="14" max="14" width="25.5703125" style="3" customWidth="1"/>
    <col min="15" max="15" width="35.5703125" style="3" customWidth="1"/>
    <col min="16" max="16" width="72.7109375" style="3" customWidth="1"/>
    <col min="17" max="17" width="20.5703125" style="145" customWidth="1"/>
    <col min="18" max="18" width="28.140625" style="145" customWidth="1"/>
    <col min="19" max="19" width="28" style="145" customWidth="1"/>
    <col min="20" max="20" width="32.7109375" style="145" customWidth="1"/>
    <col min="21" max="21" width="71" style="3" customWidth="1"/>
    <col min="22" max="23" width="32.7109375" style="3" customWidth="1"/>
    <col min="24" max="24" width="72.7109375" style="3" customWidth="1"/>
    <col min="25" max="25" width="34" style="3" customWidth="1"/>
    <col min="26" max="26" width="30.7109375" style="3" customWidth="1"/>
    <col min="27" max="27" width="102.42578125" style="3" customWidth="1"/>
    <col min="28" max="28" width="25.7109375" style="3" customWidth="1"/>
    <col min="29" max="29" width="27.42578125" style="3" customWidth="1"/>
    <col min="30" max="30" width="112" style="3" customWidth="1"/>
    <col min="31" max="31" width="34.85546875" style="3" customWidth="1"/>
    <col min="32" max="32" width="36.5703125" style="3" customWidth="1"/>
    <col min="33" max="33" width="87.5703125" style="3" customWidth="1"/>
    <col min="34" max="35" width="31.42578125" style="3" customWidth="1"/>
    <col min="36" max="36" width="134.28515625" style="3" customWidth="1"/>
    <col min="37" max="37" width="36.42578125" style="3" customWidth="1"/>
    <col min="38" max="38" width="28.28515625" style="3" customWidth="1"/>
    <col min="39" max="39" width="98.7109375" style="3" customWidth="1"/>
    <col min="40" max="40" width="40" style="3" customWidth="1"/>
    <col min="41" max="41" width="45.42578125" style="3" customWidth="1"/>
    <col min="42" max="42" width="98.7109375" style="3" customWidth="1"/>
    <col min="43" max="43" width="50" style="3" customWidth="1"/>
    <col min="44" max="44" width="38.140625" style="3" customWidth="1"/>
    <col min="45" max="45" width="98.7109375" style="3" customWidth="1"/>
    <col min="46" max="46" width="44" style="3" customWidth="1"/>
    <col min="47" max="47" width="45.85546875" style="3" customWidth="1"/>
    <col min="48" max="49" width="54.85546875" style="3" customWidth="1"/>
    <col min="50" max="50" width="108" style="3" customWidth="1"/>
    <col min="51" max="51" width="29.28515625" style="3" customWidth="1"/>
    <col min="52" max="52" width="49.140625" style="3" hidden="1" customWidth="1"/>
    <col min="53" max="74" width="11.42578125" style="3"/>
    <col min="75" max="16384" width="11.42578125" style="1"/>
  </cols>
  <sheetData>
    <row r="1" spans="1:54" ht="178.5" customHeight="1" thickBot="1" x14ac:dyDescent="0.25">
      <c r="A1" s="226" t="s">
        <v>47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8"/>
    </row>
    <row r="2" spans="1:54" ht="44.25" customHeight="1" thickBot="1" x14ac:dyDescent="0.25">
      <c r="A2" s="198" t="s">
        <v>0</v>
      </c>
      <c r="B2" s="229" t="s">
        <v>13</v>
      </c>
      <c r="C2" s="230" t="s">
        <v>2</v>
      </c>
      <c r="D2" s="230" t="s">
        <v>89</v>
      </c>
      <c r="E2" s="231" t="s">
        <v>3</v>
      </c>
      <c r="F2" s="231"/>
      <c r="G2" s="231"/>
      <c r="H2" s="231"/>
      <c r="I2" s="232" t="s">
        <v>39</v>
      </c>
      <c r="J2" s="233" t="s">
        <v>65</v>
      </c>
      <c r="K2" s="233" t="s">
        <v>105</v>
      </c>
      <c r="L2" s="233" t="s">
        <v>104</v>
      </c>
      <c r="M2" s="234" t="s">
        <v>17</v>
      </c>
      <c r="N2" s="234"/>
      <c r="O2" s="234"/>
      <c r="P2" s="235"/>
      <c r="Q2" s="251" t="s">
        <v>137</v>
      </c>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3"/>
      <c r="AY2" s="236" t="s">
        <v>199</v>
      </c>
      <c r="AZ2" s="196" t="s">
        <v>32</v>
      </c>
    </row>
    <row r="3" spans="1:54" ht="58.5" customHeight="1" thickBot="1" x14ac:dyDescent="0.25">
      <c r="A3" s="199"/>
      <c r="B3" s="229"/>
      <c r="C3" s="230"/>
      <c r="D3" s="230"/>
      <c r="E3" s="237">
        <v>2019</v>
      </c>
      <c r="F3" s="237">
        <v>2020</v>
      </c>
      <c r="G3" s="237">
        <v>2021</v>
      </c>
      <c r="H3" s="238">
        <v>2022</v>
      </c>
      <c r="I3" s="239"/>
      <c r="J3" s="240"/>
      <c r="K3" s="240"/>
      <c r="L3" s="240"/>
      <c r="M3" s="241" t="s">
        <v>18</v>
      </c>
      <c r="N3" s="242" t="s">
        <v>19</v>
      </c>
      <c r="O3" s="242" t="s">
        <v>24</v>
      </c>
      <c r="P3" s="242" t="s">
        <v>25</v>
      </c>
      <c r="Q3" s="243" t="s">
        <v>90</v>
      </c>
      <c r="R3" s="244" t="s">
        <v>91</v>
      </c>
      <c r="S3" s="244" t="s">
        <v>52</v>
      </c>
      <c r="T3" s="244" t="s">
        <v>21</v>
      </c>
      <c r="U3" s="245" t="s">
        <v>53</v>
      </c>
      <c r="V3" s="244" t="s">
        <v>54</v>
      </c>
      <c r="W3" s="244" t="s">
        <v>55</v>
      </c>
      <c r="X3" s="245" t="s">
        <v>56</v>
      </c>
      <c r="Y3" s="244" t="s">
        <v>74</v>
      </c>
      <c r="Z3" s="244" t="s">
        <v>75</v>
      </c>
      <c r="AA3" s="246" t="s">
        <v>76</v>
      </c>
      <c r="AB3" s="247" t="s">
        <v>92</v>
      </c>
      <c r="AC3" s="244" t="s">
        <v>93</v>
      </c>
      <c r="AD3" s="244" t="s">
        <v>94</v>
      </c>
      <c r="AE3" s="247" t="s">
        <v>106</v>
      </c>
      <c r="AF3" s="244" t="s">
        <v>107</v>
      </c>
      <c r="AG3" s="248" t="s">
        <v>115</v>
      </c>
      <c r="AH3" s="248" t="s">
        <v>118</v>
      </c>
      <c r="AI3" s="248" t="s">
        <v>117</v>
      </c>
      <c r="AJ3" s="249" t="s">
        <v>116</v>
      </c>
      <c r="AK3" s="248" t="s">
        <v>126</v>
      </c>
      <c r="AL3" s="248" t="s">
        <v>127</v>
      </c>
      <c r="AM3" s="249" t="s">
        <v>128</v>
      </c>
      <c r="AN3" s="248" t="s">
        <v>138</v>
      </c>
      <c r="AO3" s="248" t="s">
        <v>139</v>
      </c>
      <c r="AP3" s="249" t="s">
        <v>140</v>
      </c>
      <c r="AQ3" s="248" t="s">
        <v>151</v>
      </c>
      <c r="AR3" s="248" t="s">
        <v>149</v>
      </c>
      <c r="AS3" s="249" t="s">
        <v>150</v>
      </c>
      <c r="AT3" s="248" t="s">
        <v>161</v>
      </c>
      <c r="AU3" s="248" t="s">
        <v>159</v>
      </c>
      <c r="AV3" s="250" t="s">
        <v>162</v>
      </c>
      <c r="AW3" s="250" t="s">
        <v>198</v>
      </c>
      <c r="AX3" s="249" t="s">
        <v>160</v>
      </c>
      <c r="AY3" s="225"/>
      <c r="AZ3" s="196"/>
    </row>
    <row r="4" spans="1:54" ht="199.5" customHeight="1" x14ac:dyDescent="0.2">
      <c r="A4" s="21" t="s">
        <v>38</v>
      </c>
      <c r="B4" s="10" t="s">
        <v>16</v>
      </c>
      <c r="C4" s="4" t="s">
        <v>4</v>
      </c>
      <c r="D4" s="33" t="s">
        <v>86</v>
      </c>
      <c r="E4" s="15">
        <v>0.03</v>
      </c>
      <c r="F4" s="5">
        <v>0.23</v>
      </c>
      <c r="G4" s="5">
        <v>0.5</v>
      </c>
      <c r="H4" s="46">
        <v>0.6</v>
      </c>
      <c r="I4" s="47" t="s">
        <v>23</v>
      </c>
      <c r="J4" s="72" t="s">
        <v>66</v>
      </c>
      <c r="K4" s="30">
        <v>0.6</v>
      </c>
      <c r="L4" s="30" t="s">
        <v>71</v>
      </c>
      <c r="M4" s="48">
        <v>0.03</v>
      </c>
      <c r="N4" s="49">
        <v>0.03</v>
      </c>
      <c r="O4" s="165">
        <f t="shared" ref="O4:O8" si="0">N4/M4</f>
        <v>1</v>
      </c>
      <c r="P4" s="163" t="s">
        <v>26</v>
      </c>
      <c r="Q4" s="153">
        <f>23%-N4</f>
        <v>0.2</v>
      </c>
      <c r="R4" s="146">
        <v>20253667.789999999</v>
      </c>
      <c r="S4" s="146">
        <v>0</v>
      </c>
      <c r="T4" s="165">
        <f>S4/20%</f>
        <v>0</v>
      </c>
      <c r="U4" s="73" t="s">
        <v>40</v>
      </c>
      <c r="V4" s="146">
        <v>34421</v>
      </c>
      <c r="W4" s="170">
        <f t="shared" ref="W4:W8" si="1">V4/R4</f>
        <v>1.6994946474334367E-3</v>
      </c>
      <c r="X4" s="73" t="s">
        <v>61</v>
      </c>
      <c r="Y4" s="159">
        <v>101437</v>
      </c>
      <c r="Z4" s="171">
        <f>Y4/R4</f>
        <v>5.0083274324309434E-3</v>
      </c>
      <c r="AA4" s="68" t="s">
        <v>78</v>
      </c>
      <c r="AB4" s="159">
        <v>102037</v>
      </c>
      <c r="AC4" s="171">
        <f>AB4/R4</f>
        <v>5.0379516963529698E-3</v>
      </c>
      <c r="AD4" s="79" t="s">
        <v>97</v>
      </c>
      <c r="AE4" s="159">
        <v>1805376</v>
      </c>
      <c r="AF4" s="171">
        <f>AE4/R4</f>
        <v>8.913822517081979E-2</v>
      </c>
      <c r="AG4" s="79" t="s">
        <v>110</v>
      </c>
      <c r="AH4" s="148">
        <v>4784680</v>
      </c>
      <c r="AI4" s="171">
        <f>AH4/R4</f>
        <v>0.23623770517073345</v>
      </c>
      <c r="AJ4" s="80" t="s">
        <v>120</v>
      </c>
      <c r="AK4" s="183">
        <v>6037259.96</v>
      </c>
      <c r="AL4" s="171">
        <f>+AK4/R4</f>
        <v>0.29808230403486835</v>
      </c>
      <c r="AM4" s="80" t="s">
        <v>131</v>
      </c>
      <c r="AN4" s="183">
        <v>7415231.2000000002</v>
      </c>
      <c r="AO4" s="171">
        <f>+AN4/R4</f>
        <v>0.36611794351940441</v>
      </c>
      <c r="AP4" s="144" t="s">
        <v>145</v>
      </c>
      <c r="AQ4" s="184">
        <v>7918051.8399999999</v>
      </c>
      <c r="AR4" s="84">
        <f>+AQ4/R4</f>
        <v>0.39094409576074124</v>
      </c>
      <c r="AS4" s="144" t="s">
        <v>157</v>
      </c>
      <c r="AT4" s="183">
        <v>13418129</v>
      </c>
      <c r="AU4" s="185">
        <f>+AT4/R4</f>
        <v>0.66250365805965461</v>
      </c>
      <c r="AV4" s="190">
        <v>16841027.100000001</v>
      </c>
      <c r="AW4" s="169">
        <f>+AV4/26242218.77</f>
        <v>0.64175317062948189</v>
      </c>
      <c r="AX4" s="79" t="s">
        <v>185</v>
      </c>
      <c r="AY4" s="69" t="s">
        <v>33</v>
      </c>
      <c r="AZ4" s="101" t="s">
        <v>187</v>
      </c>
      <c r="BA4" s="94"/>
      <c r="BB4" s="86"/>
    </row>
    <row r="5" spans="1:54" ht="150.75" customHeight="1" x14ac:dyDescent="0.2">
      <c r="A5" s="21" t="s">
        <v>38</v>
      </c>
      <c r="B5" s="10" t="s">
        <v>14</v>
      </c>
      <c r="C5" s="4" t="s">
        <v>4</v>
      </c>
      <c r="D5" s="33" t="s">
        <v>86</v>
      </c>
      <c r="E5" s="8">
        <v>8.5000000000000006E-2</v>
      </c>
      <c r="F5" s="8">
        <v>0.20100000000000001</v>
      </c>
      <c r="G5" s="8">
        <v>0.35099999999999998</v>
      </c>
      <c r="H5" s="5">
        <v>0.6</v>
      </c>
      <c r="I5" s="143" t="s">
        <v>5</v>
      </c>
      <c r="J5" s="71" t="s">
        <v>67</v>
      </c>
      <c r="K5" s="30">
        <v>0.6</v>
      </c>
      <c r="L5" s="30" t="s">
        <v>71</v>
      </c>
      <c r="M5" s="8">
        <f t="shared" ref="M5:M10" si="2">+E5</f>
        <v>8.5000000000000006E-2</v>
      </c>
      <c r="N5" s="8">
        <v>2.3E-2</v>
      </c>
      <c r="O5" s="166">
        <f>N5/M5</f>
        <v>0.27058823529411763</v>
      </c>
      <c r="P5" s="164" t="s">
        <v>27</v>
      </c>
      <c r="Q5" s="154">
        <f>+F5-N5</f>
        <v>0.17800000000000002</v>
      </c>
      <c r="R5" s="147">
        <v>7512863</v>
      </c>
      <c r="S5" s="147">
        <v>0</v>
      </c>
      <c r="T5" s="167">
        <f t="shared" ref="T5:T11" si="3">S5/R5</f>
        <v>0</v>
      </c>
      <c r="U5" s="17" t="s">
        <v>41</v>
      </c>
      <c r="V5" s="147">
        <v>0</v>
      </c>
      <c r="W5" s="167">
        <f t="shared" si="1"/>
        <v>0</v>
      </c>
      <c r="X5" s="17" t="s">
        <v>62</v>
      </c>
      <c r="Y5" s="149">
        <v>0</v>
      </c>
      <c r="Z5" s="172">
        <f t="shared" ref="Z5:Z11" si="4">Y5/R5</f>
        <v>0</v>
      </c>
      <c r="AA5" s="68" t="s">
        <v>85</v>
      </c>
      <c r="AB5" s="148">
        <v>0</v>
      </c>
      <c r="AC5" s="175">
        <f t="shared" ref="AC5:AC11" si="5">AB5/R5</f>
        <v>0</v>
      </c>
      <c r="AD5" s="79" t="s">
        <v>98</v>
      </c>
      <c r="AE5" s="148">
        <v>0</v>
      </c>
      <c r="AF5" s="175">
        <f>AE5/R5</f>
        <v>0</v>
      </c>
      <c r="AG5" s="79" t="s">
        <v>109</v>
      </c>
      <c r="AH5" s="159">
        <v>0</v>
      </c>
      <c r="AI5" s="171">
        <f t="shared" ref="AI5:AI8" si="6">AH5/R5</f>
        <v>0</v>
      </c>
      <c r="AJ5" s="79" t="s">
        <v>122</v>
      </c>
      <c r="AK5" s="159">
        <v>0</v>
      </c>
      <c r="AL5" s="171">
        <v>0</v>
      </c>
      <c r="AM5" s="79" t="s">
        <v>133</v>
      </c>
      <c r="AN5" s="159">
        <v>0</v>
      </c>
      <c r="AO5" s="171">
        <v>0</v>
      </c>
      <c r="AP5" s="144" t="s">
        <v>147</v>
      </c>
      <c r="AQ5" s="159">
        <v>0</v>
      </c>
      <c r="AR5" s="84">
        <v>0</v>
      </c>
      <c r="AS5" s="144" t="s">
        <v>155</v>
      </c>
      <c r="AT5" s="160" t="s">
        <v>197</v>
      </c>
      <c r="AU5" s="79" t="s">
        <v>197</v>
      </c>
      <c r="AV5" s="79" t="s">
        <v>197</v>
      </c>
      <c r="AW5" s="79" t="s">
        <v>197</v>
      </c>
      <c r="AX5" s="79" t="s">
        <v>196</v>
      </c>
      <c r="AY5" s="69" t="s">
        <v>33</v>
      </c>
      <c r="AZ5" s="195" t="s">
        <v>202</v>
      </c>
    </row>
    <row r="6" spans="1:54" ht="231" customHeight="1" x14ac:dyDescent="0.2">
      <c r="A6" s="21" t="s">
        <v>38</v>
      </c>
      <c r="B6" s="10" t="s">
        <v>6</v>
      </c>
      <c r="C6" s="16" t="s">
        <v>4</v>
      </c>
      <c r="D6" s="33" t="s">
        <v>86</v>
      </c>
      <c r="E6" s="5">
        <v>0.23</v>
      </c>
      <c r="F6" s="5">
        <v>0.37</v>
      </c>
      <c r="G6" s="5">
        <v>0.49</v>
      </c>
      <c r="H6" s="5">
        <v>0.6</v>
      </c>
      <c r="I6" s="32" t="s">
        <v>23</v>
      </c>
      <c r="J6" s="33" t="s">
        <v>68</v>
      </c>
      <c r="K6" s="7">
        <v>0.6</v>
      </c>
      <c r="L6" s="7" t="s">
        <v>71</v>
      </c>
      <c r="M6" s="8">
        <f t="shared" si="2"/>
        <v>0.23</v>
      </c>
      <c r="N6" s="8">
        <v>0.23</v>
      </c>
      <c r="O6" s="167">
        <f t="shared" si="0"/>
        <v>1</v>
      </c>
      <c r="P6" s="17" t="s">
        <v>31</v>
      </c>
      <c r="Q6" s="154">
        <f>37%-N6</f>
        <v>0.13999999999999999</v>
      </c>
      <c r="R6" s="155">
        <v>15973524.470000001</v>
      </c>
      <c r="S6" s="155">
        <v>12368</v>
      </c>
      <c r="T6" s="169">
        <f>S6/R6</f>
        <v>7.7428121910279952E-4</v>
      </c>
      <c r="U6" s="17" t="s">
        <v>42</v>
      </c>
      <c r="V6" s="149">
        <v>75374</v>
      </c>
      <c r="W6" s="169">
        <f>V6/R6</f>
        <v>4.7186831022521351E-3</v>
      </c>
      <c r="X6" s="17" t="s">
        <v>60</v>
      </c>
      <c r="Y6" s="148">
        <v>43006</v>
      </c>
      <c r="Z6" s="173">
        <f t="shared" si="4"/>
        <v>2.6923300540697766E-3</v>
      </c>
      <c r="AA6" s="39" t="s">
        <v>81</v>
      </c>
      <c r="AB6" s="148">
        <v>168576</v>
      </c>
      <c r="AC6" s="175">
        <f t="shared" si="5"/>
        <v>1.0553463032945789E-2</v>
      </c>
      <c r="AD6" s="39" t="s">
        <v>99</v>
      </c>
      <c r="AE6" s="176">
        <v>7114924.2199999997</v>
      </c>
      <c r="AF6" s="175">
        <f>AE6/R6</f>
        <v>0.44541980909489287</v>
      </c>
      <c r="AG6" s="79" t="s">
        <v>111</v>
      </c>
      <c r="AH6" s="159">
        <v>7362927</v>
      </c>
      <c r="AI6" s="171">
        <f t="shared" si="6"/>
        <v>0.46094567381346363</v>
      </c>
      <c r="AJ6" s="79" t="s">
        <v>121</v>
      </c>
      <c r="AK6" s="183">
        <v>7362927.5</v>
      </c>
      <c r="AL6" s="171">
        <f>+AK6/R6</f>
        <v>0.46094570511525934</v>
      </c>
      <c r="AM6" s="79" t="s">
        <v>132</v>
      </c>
      <c r="AN6" s="183">
        <v>7906008.1799999997</v>
      </c>
      <c r="AO6" s="171">
        <f>+AN6/R6</f>
        <v>0.49494450613252788</v>
      </c>
      <c r="AP6" s="91" t="s">
        <v>146</v>
      </c>
      <c r="AQ6" s="184">
        <v>8784660.1699999999</v>
      </c>
      <c r="AR6" s="84">
        <f>+AQ6/R6</f>
        <v>0.54995127634471264</v>
      </c>
      <c r="AS6" s="91" t="s">
        <v>158</v>
      </c>
      <c r="AT6" s="186">
        <v>16231703.439999999</v>
      </c>
      <c r="AU6" s="187">
        <f>+AT6/R6</f>
        <v>1.0161629307598887</v>
      </c>
      <c r="AV6" s="190">
        <v>42473922.210000001</v>
      </c>
      <c r="AW6" s="187">
        <f>+AV6/42215743.24</f>
        <v>1.006115703531079</v>
      </c>
      <c r="AX6" s="89" t="s">
        <v>186</v>
      </c>
      <c r="AY6" s="69" t="s">
        <v>33</v>
      </c>
      <c r="AZ6" s="43" t="s">
        <v>188</v>
      </c>
    </row>
    <row r="7" spans="1:54" ht="214.5" customHeight="1" x14ac:dyDescent="0.2">
      <c r="A7" s="9" t="s">
        <v>37</v>
      </c>
      <c r="B7" s="10" t="s">
        <v>7</v>
      </c>
      <c r="C7" s="4" t="s">
        <v>4</v>
      </c>
      <c r="D7" s="33" t="s">
        <v>88</v>
      </c>
      <c r="E7" s="8">
        <v>3.0999999999999999E-3</v>
      </c>
      <c r="F7" s="8">
        <v>0.19900000000000001</v>
      </c>
      <c r="G7" s="8">
        <v>0.20300000000000001</v>
      </c>
      <c r="H7" s="8">
        <v>0.59399999999999997</v>
      </c>
      <c r="I7" s="32" t="s">
        <v>22</v>
      </c>
      <c r="J7" s="33" t="s">
        <v>67</v>
      </c>
      <c r="K7" s="7">
        <v>1</v>
      </c>
      <c r="L7" s="7" t="s">
        <v>72</v>
      </c>
      <c r="M7" s="8">
        <f t="shared" si="2"/>
        <v>3.0999999999999999E-3</v>
      </c>
      <c r="N7" s="14">
        <v>3.0999999999999999E-3</v>
      </c>
      <c r="O7" s="167">
        <f t="shared" si="0"/>
        <v>1</v>
      </c>
      <c r="P7" s="18" t="s">
        <v>28</v>
      </c>
      <c r="Q7" s="154">
        <f>19.9%-N7</f>
        <v>0.19589999999999999</v>
      </c>
      <c r="R7" s="147">
        <v>999718</v>
      </c>
      <c r="S7" s="149">
        <v>0</v>
      </c>
      <c r="T7" s="167">
        <f t="shared" si="3"/>
        <v>0</v>
      </c>
      <c r="U7" s="17" t="s">
        <v>43</v>
      </c>
      <c r="V7" s="149">
        <v>0</v>
      </c>
      <c r="W7" s="167">
        <f t="shared" si="1"/>
        <v>0</v>
      </c>
      <c r="X7" s="17" t="s">
        <v>63</v>
      </c>
      <c r="Y7" s="149">
        <v>0</v>
      </c>
      <c r="Z7" s="172">
        <f t="shared" si="4"/>
        <v>0</v>
      </c>
      <c r="AA7" s="39" t="s">
        <v>84</v>
      </c>
      <c r="AB7" s="148">
        <v>0</v>
      </c>
      <c r="AC7" s="175">
        <f>AB7/R7</f>
        <v>0</v>
      </c>
      <c r="AD7" s="39" t="s">
        <v>84</v>
      </c>
      <c r="AE7" s="148">
        <v>0</v>
      </c>
      <c r="AF7" s="175">
        <f>+AE7/R7</f>
        <v>0</v>
      </c>
      <c r="AG7" s="17" t="s">
        <v>84</v>
      </c>
      <c r="AH7" s="148">
        <v>0</v>
      </c>
      <c r="AI7" s="171">
        <f>AH7/R7</f>
        <v>0</v>
      </c>
      <c r="AJ7" s="17" t="s">
        <v>84</v>
      </c>
      <c r="AK7" s="148">
        <v>0</v>
      </c>
      <c r="AL7" s="171">
        <v>0</v>
      </c>
      <c r="AM7" s="83" t="s">
        <v>134</v>
      </c>
      <c r="AN7" s="159">
        <v>0</v>
      </c>
      <c r="AO7" s="171">
        <f>+AN7/R7</f>
        <v>0</v>
      </c>
      <c r="AP7" s="90" t="s">
        <v>143</v>
      </c>
      <c r="AQ7" s="159">
        <v>0</v>
      </c>
      <c r="AR7" s="84">
        <f>+AQ7/R7</f>
        <v>0</v>
      </c>
      <c r="AS7" s="95" t="s">
        <v>143</v>
      </c>
      <c r="AT7" s="178" t="s">
        <v>197</v>
      </c>
      <c r="AU7" s="76" t="s">
        <v>197</v>
      </c>
      <c r="AV7" s="76" t="s">
        <v>197</v>
      </c>
      <c r="AW7" s="76" t="s">
        <v>197</v>
      </c>
      <c r="AX7" s="79" t="s">
        <v>196</v>
      </c>
      <c r="AY7" s="69" t="s">
        <v>33</v>
      </c>
      <c r="AZ7" s="195" t="s">
        <v>202</v>
      </c>
    </row>
    <row r="8" spans="1:54" ht="409.5" x14ac:dyDescent="0.2">
      <c r="A8" s="21" t="s">
        <v>38</v>
      </c>
      <c r="B8" s="10" t="s">
        <v>15</v>
      </c>
      <c r="C8" s="16" t="s">
        <v>4</v>
      </c>
      <c r="D8" s="33" t="s">
        <v>87</v>
      </c>
      <c r="E8" s="5">
        <v>0.05</v>
      </c>
      <c r="F8" s="5">
        <v>0.3</v>
      </c>
      <c r="G8" s="5">
        <v>0.6</v>
      </c>
      <c r="H8" s="5">
        <v>1</v>
      </c>
      <c r="I8" s="31" t="s">
        <v>48</v>
      </c>
      <c r="J8" s="33" t="s">
        <v>69</v>
      </c>
      <c r="K8" s="34">
        <v>1</v>
      </c>
      <c r="L8" s="34" t="s">
        <v>73</v>
      </c>
      <c r="M8" s="5">
        <f t="shared" si="2"/>
        <v>0.05</v>
      </c>
      <c r="N8" s="5">
        <v>0.05</v>
      </c>
      <c r="O8" s="167">
        <f t="shared" si="0"/>
        <v>1</v>
      </c>
      <c r="P8" s="18" t="s">
        <v>36</v>
      </c>
      <c r="Q8" s="150">
        <f>30%-N8</f>
        <v>0.25</v>
      </c>
      <c r="R8" s="150">
        <v>0.25</v>
      </c>
      <c r="S8" s="150">
        <v>0.04</v>
      </c>
      <c r="T8" s="167">
        <f>S8/R8</f>
        <v>0.16</v>
      </c>
      <c r="U8" s="17" t="s">
        <v>44</v>
      </c>
      <c r="V8" s="150">
        <v>7.0000000000000007E-2</v>
      </c>
      <c r="W8" s="167">
        <f t="shared" si="1"/>
        <v>0.28000000000000003</v>
      </c>
      <c r="X8" s="17" t="s">
        <v>59</v>
      </c>
      <c r="Y8" s="150">
        <v>0.11</v>
      </c>
      <c r="Z8" s="172">
        <f t="shared" si="4"/>
        <v>0.44</v>
      </c>
      <c r="AA8" s="40" t="s">
        <v>80</v>
      </c>
      <c r="AB8" s="150">
        <v>0.14000000000000001</v>
      </c>
      <c r="AC8" s="172">
        <f t="shared" si="5"/>
        <v>0.56000000000000005</v>
      </c>
      <c r="AD8" s="39" t="s">
        <v>100</v>
      </c>
      <c r="AE8" s="177">
        <v>0.15</v>
      </c>
      <c r="AF8" s="172">
        <f>AE8/R8</f>
        <v>0.6</v>
      </c>
      <c r="AG8" s="17" t="s">
        <v>112</v>
      </c>
      <c r="AH8" s="152">
        <v>0.15</v>
      </c>
      <c r="AI8" s="171">
        <f t="shared" si="6"/>
        <v>0.6</v>
      </c>
      <c r="AJ8" s="17" t="s">
        <v>124</v>
      </c>
      <c r="AK8" s="152">
        <v>0.15</v>
      </c>
      <c r="AL8" s="171">
        <v>0.5</v>
      </c>
      <c r="AM8" s="81" t="s">
        <v>129</v>
      </c>
      <c r="AN8" s="181">
        <v>0.15</v>
      </c>
      <c r="AO8" s="171">
        <v>0.5</v>
      </c>
      <c r="AP8" s="89" t="s">
        <v>142</v>
      </c>
      <c r="AQ8" s="162">
        <v>0.15</v>
      </c>
      <c r="AR8" s="84">
        <v>0.5</v>
      </c>
      <c r="AS8" s="91" t="s">
        <v>154</v>
      </c>
      <c r="AT8" s="188">
        <v>0.15</v>
      </c>
      <c r="AU8" s="171">
        <f>+AT8/30%</f>
        <v>0.5</v>
      </c>
      <c r="AV8" s="191">
        <v>0.2</v>
      </c>
      <c r="AW8" s="171">
        <f>+AV8/30%</f>
        <v>0.66666666666666674</v>
      </c>
      <c r="AX8" s="95" t="s">
        <v>191</v>
      </c>
      <c r="AY8" s="69" t="s">
        <v>34</v>
      </c>
      <c r="AZ8" s="142" t="s">
        <v>192</v>
      </c>
    </row>
    <row r="9" spans="1:54" ht="240" x14ac:dyDescent="0.2">
      <c r="A9" s="21" t="s">
        <v>38</v>
      </c>
      <c r="B9" s="32" t="s">
        <v>9</v>
      </c>
      <c r="C9" s="20" t="s">
        <v>10</v>
      </c>
      <c r="D9" s="33" t="s">
        <v>87</v>
      </c>
      <c r="E9" s="16">
        <v>6</v>
      </c>
      <c r="F9" s="16">
        <v>10</v>
      </c>
      <c r="G9" s="16">
        <v>17</v>
      </c>
      <c r="H9" s="16">
        <v>20</v>
      </c>
      <c r="I9" s="6" t="s">
        <v>22</v>
      </c>
      <c r="J9" s="33" t="s">
        <v>67</v>
      </c>
      <c r="K9" s="20">
        <v>20</v>
      </c>
      <c r="L9" s="20">
        <v>20</v>
      </c>
      <c r="M9" s="13">
        <f t="shared" si="2"/>
        <v>6</v>
      </c>
      <c r="N9" s="13">
        <v>8</v>
      </c>
      <c r="O9" s="167">
        <f>N9/M9</f>
        <v>1.3333333333333333</v>
      </c>
      <c r="P9" s="17" t="s">
        <v>29</v>
      </c>
      <c r="Q9" s="156">
        <f>10-E9</f>
        <v>4</v>
      </c>
      <c r="R9" s="151">
        <v>4</v>
      </c>
      <c r="S9" s="151">
        <v>1</v>
      </c>
      <c r="T9" s="167">
        <f>S9/4</f>
        <v>0.25</v>
      </c>
      <c r="U9" s="17" t="s">
        <v>45</v>
      </c>
      <c r="V9" s="151">
        <v>2</v>
      </c>
      <c r="W9" s="167">
        <f>V9/4</f>
        <v>0.5</v>
      </c>
      <c r="X9" s="17" t="s">
        <v>58</v>
      </c>
      <c r="Y9" s="151">
        <v>2</v>
      </c>
      <c r="Z9" s="172">
        <f>Y9/4</f>
        <v>0.5</v>
      </c>
      <c r="AA9" s="39" t="s">
        <v>83</v>
      </c>
      <c r="AB9" s="156">
        <v>3</v>
      </c>
      <c r="AC9" s="172">
        <f>AB9/4</f>
        <v>0.75</v>
      </c>
      <c r="AD9" s="43" t="s">
        <v>101</v>
      </c>
      <c r="AE9" s="178">
        <v>3</v>
      </c>
      <c r="AF9" s="172">
        <f>AE9/4</f>
        <v>0.75</v>
      </c>
      <c r="AG9" s="79" t="s">
        <v>108</v>
      </c>
      <c r="AH9" s="151">
        <v>5</v>
      </c>
      <c r="AI9" s="171">
        <f>AH9/4</f>
        <v>1.25</v>
      </c>
      <c r="AJ9" s="17" t="s">
        <v>123</v>
      </c>
      <c r="AK9" s="180">
        <v>8</v>
      </c>
      <c r="AL9" s="171">
        <f>+AK9/4</f>
        <v>2</v>
      </c>
      <c r="AM9" s="17" t="s">
        <v>135</v>
      </c>
      <c r="AN9" s="180">
        <v>8</v>
      </c>
      <c r="AO9" s="171">
        <f>+AN9/R9</f>
        <v>2</v>
      </c>
      <c r="AP9" s="89" t="s">
        <v>144</v>
      </c>
      <c r="AQ9" s="161">
        <v>9</v>
      </c>
      <c r="AR9" s="84">
        <f>+AQ9/R9</f>
        <v>2.25</v>
      </c>
      <c r="AS9" s="95" t="s">
        <v>156</v>
      </c>
      <c r="AT9" s="189">
        <v>11</v>
      </c>
      <c r="AU9" s="171">
        <f>+AT9/R9</f>
        <v>2.75</v>
      </c>
      <c r="AV9" s="192">
        <f>11+8</f>
        <v>19</v>
      </c>
      <c r="AW9" s="171">
        <f>+AV9/20</f>
        <v>0.95</v>
      </c>
      <c r="AX9" s="90" t="s">
        <v>195</v>
      </c>
      <c r="AY9" s="70" t="s">
        <v>35</v>
      </c>
      <c r="AZ9" s="43" t="s">
        <v>194</v>
      </c>
    </row>
    <row r="10" spans="1:54" ht="334.5" customHeight="1" x14ac:dyDescent="0.2">
      <c r="A10" s="22" t="s">
        <v>38</v>
      </c>
      <c r="B10" s="77" t="s">
        <v>11</v>
      </c>
      <c r="C10" s="16" t="s">
        <v>8</v>
      </c>
      <c r="D10" s="33" t="s">
        <v>87</v>
      </c>
      <c r="E10" s="78">
        <v>175</v>
      </c>
      <c r="F10" s="78">
        <v>200</v>
      </c>
      <c r="G10" s="78">
        <v>225</v>
      </c>
      <c r="H10" s="35">
        <v>250</v>
      </c>
      <c r="I10" s="36" t="s">
        <v>12</v>
      </c>
      <c r="J10" s="38" t="s">
        <v>70</v>
      </c>
      <c r="K10" s="37">
        <v>250</v>
      </c>
      <c r="L10" s="37">
        <v>250</v>
      </c>
      <c r="M10" s="23">
        <f t="shared" si="2"/>
        <v>175</v>
      </c>
      <c r="N10" s="23">
        <v>185</v>
      </c>
      <c r="O10" s="168">
        <f>N10/M10</f>
        <v>1.0571428571428572</v>
      </c>
      <c r="P10" s="24" t="s">
        <v>30</v>
      </c>
      <c r="Q10" s="157">
        <f>200-E10</f>
        <v>25</v>
      </c>
      <c r="R10" s="158">
        <v>25</v>
      </c>
      <c r="S10" s="148">
        <v>0</v>
      </c>
      <c r="T10" s="168">
        <f>S10/25</f>
        <v>0</v>
      </c>
      <c r="U10" s="24" t="s">
        <v>46</v>
      </c>
      <c r="V10" s="148">
        <v>0</v>
      </c>
      <c r="W10" s="168">
        <f>V10/25</f>
        <v>0</v>
      </c>
      <c r="X10" s="24" t="s">
        <v>57</v>
      </c>
      <c r="Y10" s="148">
        <v>0</v>
      </c>
      <c r="Z10" s="174">
        <f>Y10/25</f>
        <v>0</v>
      </c>
      <c r="AA10" s="41" t="s">
        <v>82</v>
      </c>
      <c r="AB10" s="151">
        <v>15</v>
      </c>
      <c r="AC10" s="172">
        <f>AB10/25</f>
        <v>0.6</v>
      </c>
      <c r="AD10" s="41" t="s">
        <v>102</v>
      </c>
      <c r="AE10" s="176">
        <v>33</v>
      </c>
      <c r="AF10" s="172">
        <f>AE10/25</f>
        <v>1.32</v>
      </c>
      <c r="AG10" s="17" t="s">
        <v>114</v>
      </c>
      <c r="AH10" s="151">
        <v>55</v>
      </c>
      <c r="AI10" s="172">
        <f>AH10/25</f>
        <v>2.2000000000000002</v>
      </c>
      <c r="AJ10" s="17" t="s">
        <v>119</v>
      </c>
      <c r="AK10" s="180">
        <v>77</v>
      </c>
      <c r="AL10" s="172">
        <f>+AK10/25</f>
        <v>3.08</v>
      </c>
      <c r="AM10" s="17" t="s">
        <v>130</v>
      </c>
      <c r="AN10" s="180">
        <v>117</v>
      </c>
      <c r="AO10" s="172">
        <f>+AN10/25</f>
        <v>4.68</v>
      </c>
      <c r="AP10" s="92" t="s">
        <v>148</v>
      </c>
      <c r="AQ10" s="161">
        <v>150</v>
      </c>
      <c r="AR10" s="85">
        <f>+AQ10/25</f>
        <v>6</v>
      </c>
      <c r="AS10" s="91" t="s">
        <v>152</v>
      </c>
      <c r="AT10" s="180">
        <f>150+37</f>
        <v>187</v>
      </c>
      <c r="AU10" s="172">
        <f>+AT10/25</f>
        <v>7.48</v>
      </c>
      <c r="AV10" s="192">
        <v>372</v>
      </c>
      <c r="AW10" s="172">
        <f>+AV10/200</f>
        <v>1.86</v>
      </c>
      <c r="AX10" s="89" t="s">
        <v>190</v>
      </c>
      <c r="AY10" s="70" t="s">
        <v>35</v>
      </c>
      <c r="AZ10" s="43" t="s">
        <v>193</v>
      </c>
    </row>
    <row r="11" spans="1:54" ht="233.25" customHeight="1" x14ac:dyDescent="0.2">
      <c r="A11" s="25" t="s">
        <v>77</v>
      </c>
      <c r="B11" s="25" t="s">
        <v>49</v>
      </c>
      <c r="C11" s="26" t="s">
        <v>4</v>
      </c>
      <c r="D11" s="26"/>
      <c r="E11" s="27">
        <v>0.1</v>
      </c>
      <c r="F11" s="27">
        <v>0.3</v>
      </c>
      <c r="G11" s="27">
        <v>0.3</v>
      </c>
      <c r="H11" s="27">
        <v>0.3</v>
      </c>
      <c r="I11" s="11" t="s">
        <v>12</v>
      </c>
      <c r="J11" s="33" t="s">
        <v>70</v>
      </c>
      <c r="K11" s="28">
        <v>1</v>
      </c>
      <c r="L11" s="28">
        <v>1</v>
      </c>
      <c r="M11" s="28">
        <v>0.1</v>
      </c>
      <c r="N11" s="28">
        <v>0.1</v>
      </c>
      <c r="O11" s="167">
        <f>N11/M11</f>
        <v>1</v>
      </c>
      <c r="P11" s="17" t="s">
        <v>50</v>
      </c>
      <c r="Q11" s="152">
        <v>0.3</v>
      </c>
      <c r="R11" s="152">
        <v>0.3</v>
      </c>
      <c r="S11" s="152">
        <v>0.01</v>
      </c>
      <c r="T11" s="168">
        <f t="shared" si="3"/>
        <v>3.3333333333333333E-2</v>
      </c>
      <c r="U11" s="17" t="s">
        <v>51</v>
      </c>
      <c r="V11" s="150">
        <v>0.02</v>
      </c>
      <c r="W11" s="167">
        <f>V11/R11</f>
        <v>6.6666666666666666E-2</v>
      </c>
      <c r="X11" s="17" t="s">
        <v>64</v>
      </c>
      <c r="Y11" s="150">
        <v>0.05</v>
      </c>
      <c r="Z11" s="167">
        <f t="shared" si="4"/>
        <v>0.16666666666666669</v>
      </c>
      <c r="AA11" s="17" t="s">
        <v>79</v>
      </c>
      <c r="AB11" s="152">
        <v>0.06</v>
      </c>
      <c r="AC11" s="167">
        <f t="shared" si="5"/>
        <v>0.2</v>
      </c>
      <c r="AD11" s="17" t="s">
        <v>103</v>
      </c>
      <c r="AE11" s="179">
        <v>0.09</v>
      </c>
      <c r="AF11" s="167">
        <f>AE11/R11</f>
        <v>0.3</v>
      </c>
      <c r="AG11" s="17" t="s">
        <v>113</v>
      </c>
      <c r="AH11" s="179">
        <v>0.16</v>
      </c>
      <c r="AI11" s="172">
        <f>AH11/R11</f>
        <v>0.53333333333333333</v>
      </c>
      <c r="AJ11" s="17" t="s">
        <v>125</v>
      </c>
      <c r="AK11" s="179">
        <v>0.21</v>
      </c>
      <c r="AL11" s="172">
        <f>+AK11/R11</f>
        <v>0.7</v>
      </c>
      <c r="AM11" s="17" t="s">
        <v>136</v>
      </c>
      <c r="AN11" s="182">
        <v>0.23499999999999999</v>
      </c>
      <c r="AO11" s="172">
        <f>+AN11/R11</f>
        <v>0.78333333333333333</v>
      </c>
      <c r="AP11" s="17" t="s">
        <v>141</v>
      </c>
      <c r="AQ11" s="141">
        <v>0.27</v>
      </c>
      <c r="AR11" s="85">
        <f>+AQ11/R11</f>
        <v>0.90000000000000013</v>
      </c>
      <c r="AS11" s="164" t="s">
        <v>153</v>
      </c>
      <c r="AT11" s="179">
        <v>0.3</v>
      </c>
      <c r="AU11" s="172">
        <f>+AT11/R11</f>
        <v>1</v>
      </c>
      <c r="AV11" s="193">
        <v>0.4</v>
      </c>
      <c r="AW11" s="194">
        <f>+AV11/100%</f>
        <v>0.4</v>
      </c>
      <c r="AX11" s="164" t="s">
        <v>201</v>
      </c>
      <c r="AY11" s="70" t="s">
        <v>33</v>
      </c>
      <c r="AZ11" s="43" t="s">
        <v>200</v>
      </c>
    </row>
    <row r="12" spans="1:54" ht="17.25" customHeight="1" x14ac:dyDescent="0.2">
      <c r="A12" s="197"/>
      <c r="B12" s="197"/>
      <c r="C12" s="197"/>
      <c r="D12" s="197"/>
      <c r="E12" s="2"/>
      <c r="F12" s="2"/>
      <c r="G12" s="2"/>
      <c r="H12" s="2"/>
      <c r="I12" s="2"/>
      <c r="J12" s="2"/>
      <c r="K12" s="2"/>
      <c r="L12" s="2"/>
      <c r="AE12" s="86"/>
      <c r="AI12" s="86"/>
      <c r="AK12" s="87"/>
      <c r="AX12" s="86"/>
    </row>
    <row r="13" spans="1:54" ht="23.25" customHeight="1" x14ac:dyDescent="0.2">
      <c r="A13" s="197"/>
      <c r="B13" s="197"/>
      <c r="C13" s="19"/>
      <c r="D13" s="29"/>
      <c r="E13" s="2"/>
      <c r="F13" s="2"/>
      <c r="G13" s="2"/>
      <c r="H13" s="2"/>
      <c r="I13" s="82"/>
      <c r="J13" s="2"/>
      <c r="K13" s="2"/>
      <c r="L13" s="2"/>
      <c r="AI13" s="86"/>
      <c r="AK13" s="86"/>
      <c r="AN13" s="88"/>
      <c r="AT13" s="123"/>
    </row>
    <row r="14" spans="1:54" x14ac:dyDescent="0.2">
      <c r="A14" s="2"/>
      <c r="B14" s="2"/>
      <c r="C14" s="2"/>
      <c r="D14" s="2"/>
      <c r="E14" s="2"/>
      <c r="F14" s="2"/>
      <c r="G14" s="2"/>
      <c r="H14" s="2"/>
      <c r="I14" s="2"/>
      <c r="J14" s="2"/>
      <c r="K14" s="2"/>
      <c r="L14" s="2"/>
      <c r="AK14" s="86"/>
    </row>
    <row r="15" spans="1:54" x14ac:dyDescent="0.2">
      <c r="B15" s="2"/>
      <c r="C15" s="2"/>
      <c r="D15" s="2"/>
      <c r="E15" s="2"/>
      <c r="F15" s="93"/>
      <c r="G15" s="2"/>
      <c r="H15" s="2"/>
      <c r="I15" s="2"/>
      <c r="J15" s="2"/>
      <c r="K15" s="2"/>
      <c r="L15" s="2"/>
    </row>
    <row r="16" spans="1:54" x14ac:dyDescent="0.2">
      <c r="B16" s="2"/>
      <c r="C16" s="2"/>
      <c r="D16" s="2"/>
      <c r="E16" s="2"/>
      <c r="F16" s="2"/>
      <c r="G16" s="2"/>
      <c r="H16" s="2"/>
      <c r="I16" s="2"/>
      <c r="J16" s="2"/>
      <c r="K16" s="2"/>
      <c r="L16" s="2"/>
    </row>
    <row r="17" spans="2:49" x14ac:dyDescent="0.2">
      <c r="B17" s="2"/>
      <c r="C17" s="2"/>
      <c r="D17" s="2"/>
      <c r="E17" s="2"/>
      <c r="F17" s="2"/>
      <c r="G17" s="2"/>
      <c r="H17" s="2"/>
      <c r="I17" s="2"/>
      <c r="J17" s="2"/>
      <c r="K17" s="2"/>
      <c r="L17" s="2"/>
    </row>
    <row r="18" spans="2:49" x14ac:dyDescent="0.2">
      <c r="B18" s="2"/>
      <c r="C18" s="2"/>
      <c r="D18" s="2"/>
      <c r="E18" s="2"/>
      <c r="F18" s="2"/>
      <c r="G18" s="2"/>
      <c r="H18" s="2"/>
      <c r="I18" s="2"/>
      <c r="J18" s="2"/>
      <c r="K18" s="2"/>
      <c r="L18" s="2"/>
      <c r="AV18" s="97"/>
      <c r="AW18" s="86"/>
    </row>
    <row r="22" spans="2:49" x14ac:dyDescent="0.2">
      <c r="AT22" s="94"/>
    </row>
    <row r="24" spans="2:49" ht="15.75" x14ac:dyDescent="0.25">
      <c r="AU24" s="99"/>
      <c r="AV24" s="100"/>
    </row>
    <row r="29" spans="2:49" x14ac:dyDescent="0.2">
      <c r="AV29" s="98"/>
    </row>
    <row r="30" spans="2:49" x14ac:dyDescent="0.2">
      <c r="AV30" s="98"/>
    </row>
  </sheetData>
  <mergeCells count="16">
    <mergeCell ref="AZ2:AZ3"/>
    <mergeCell ref="A1:AY1"/>
    <mergeCell ref="AY2:AY3"/>
    <mergeCell ref="A12:D12"/>
    <mergeCell ref="A13:B13"/>
    <mergeCell ref="E2:H2"/>
    <mergeCell ref="M2:P2"/>
    <mergeCell ref="B2:B3"/>
    <mergeCell ref="A2:A3"/>
    <mergeCell ref="I2:I3"/>
    <mergeCell ref="C2:C3"/>
    <mergeCell ref="J2:J3"/>
    <mergeCell ref="K2:K3"/>
    <mergeCell ref="L2:L3"/>
    <mergeCell ref="D2:D3"/>
    <mergeCell ref="Q2:AX2"/>
  </mergeCells>
  <conditionalFormatting sqref="O4:O11 T10:T11">
    <cfRule type="cellIs" dxfId="164" priority="214" operator="lessThan">
      <formula>0.4</formula>
    </cfRule>
    <cfRule type="cellIs" dxfId="163" priority="215" operator="between">
      <formula>0.4</formula>
      <formula>0.799</formula>
    </cfRule>
    <cfRule type="cellIs" dxfId="162" priority="216" operator="greaterThanOrEqual">
      <formula>0.8</formula>
    </cfRule>
  </conditionalFormatting>
  <conditionalFormatting sqref="T9">
    <cfRule type="cellIs" dxfId="161" priority="208" operator="lessThan">
      <formula>0.4</formula>
    </cfRule>
    <cfRule type="cellIs" dxfId="160" priority="209" operator="between">
      <formula>0.4</formula>
      <formula>0.799</formula>
    </cfRule>
    <cfRule type="cellIs" dxfId="159" priority="210" operator="greaterThanOrEqual">
      <formula>0.8</formula>
    </cfRule>
  </conditionalFormatting>
  <conditionalFormatting sqref="Z4:Z5">
    <cfRule type="cellIs" dxfId="158" priority="160" operator="lessThan">
      <formula>0.4</formula>
    </cfRule>
    <cfRule type="cellIs" dxfId="157" priority="161" operator="between">
      <formula>0.4</formula>
      <formula>0.799</formula>
    </cfRule>
    <cfRule type="cellIs" dxfId="156" priority="162" operator="greaterThanOrEqual">
      <formula>0.8</formula>
    </cfRule>
  </conditionalFormatting>
  <conditionalFormatting sqref="T6:T8">
    <cfRule type="cellIs" dxfId="155" priority="157" operator="lessThan">
      <formula>0.4</formula>
    </cfRule>
    <cfRule type="cellIs" dxfId="154" priority="158" operator="between">
      <formula>0.4</formula>
      <formula>0.799</formula>
    </cfRule>
    <cfRule type="cellIs" dxfId="153" priority="159" operator="greaterThanOrEqual">
      <formula>0.8</formula>
    </cfRule>
  </conditionalFormatting>
  <conditionalFormatting sqref="W6:W11">
    <cfRule type="cellIs" dxfId="152" priority="154" operator="lessThan">
      <formula>0.4</formula>
    </cfRule>
    <cfRule type="cellIs" dxfId="151" priority="155" operator="between">
      <formula>0.4</formula>
      <formula>0.799</formula>
    </cfRule>
    <cfRule type="cellIs" dxfId="150" priority="156" operator="greaterThanOrEqual">
      <formula>0.8</formula>
    </cfRule>
  </conditionalFormatting>
  <conditionalFormatting sqref="Z6:Z11">
    <cfRule type="cellIs" dxfId="149" priority="151" operator="lessThan">
      <formula>0.4</formula>
    </cfRule>
    <cfRule type="cellIs" dxfId="148" priority="152" operator="between">
      <formula>0.4</formula>
      <formula>0.799</formula>
    </cfRule>
    <cfRule type="cellIs" dxfId="147" priority="153" operator="greaterThanOrEqual">
      <formula>0.8</formula>
    </cfRule>
  </conditionalFormatting>
  <conditionalFormatting sqref="T4:T5">
    <cfRule type="cellIs" dxfId="146" priority="148" operator="lessThan">
      <formula>0.4</formula>
    </cfRule>
    <cfRule type="cellIs" dxfId="145" priority="149" operator="between">
      <formula>0.4</formula>
      <formula>0.799</formula>
    </cfRule>
    <cfRule type="cellIs" dxfId="144" priority="150" operator="greaterThanOrEqual">
      <formula>0.8</formula>
    </cfRule>
  </conditionalFormatting>
  <conditionalFormatting sqref="W4:W5">
    <cfRule type="cellIs" dxfId="143" priority="145" operator="lessThan">
      <formula>0.4</formula>
    </cfRule>
    <cfRule type="cellIs" dxfId="142" priority="146" operator="between">
      <formula>0.4</formula>
      <formula>0.799</formula>
    </cfRule>
    <cfRule type="cellIs" dxfId="141" priority="147" operator="greaterThanOrEqual">
      <formula>0.8</formula>
    </cfRule>
  </conditionalFormatting>
  <conditionalFormatting sqref="AC4:AC11">
    <cfRule type="cellIs" dxfId="140" priority="136" operator="lessThan">
      <formula>0.4</formula>
    </cfRule>
    <cfRule type="cellIs" dxfId="139" priority="137" operator="between">
      <formula>0.4</formula>
      <formula>0.799</formula>
    </cfRule>
    <cfRule type="cellIs" dxfId="138" priority="138" operator="greaterThanOrEqual">
      <formula>0.8</formula>
    </cfRule>
  </conditionalFormatting>
  <conditionalFormatting sqref="AF9">
    <cfRule type="cellIs" dxfId="137" priority="133" operator="lessThan">
      <formula>0.4</formula>
    </cfRule>
    <cfRule type="cellIs" dxfId="136" priority="134" operator="between">
      <formula>0.4</formula>
      <formula>0.799</formula>
    </cfRule>
    <cfRule type="cellIs" dxfId="135" priority="135" operator="greaterThanOrEqual">
      <formula>0.8</formula>
    </cfRule>
  </conditionalFormatting>
  <conditionalFormatting sqref="AF7">
    <cfRule type="cellIs" dxfId="134" priority="130" operator="lessThan">
      <formula>0.4</formula>
    </cfRule>
    <cfRule type="cellIs" dxfId="133" priority="131" operator="between">
      <formula>0.4</formula>
      <formula>0.799</formula>
    </cfRule>
    <cfRule type="cellIs" dxfId="132" priority="132" operator="greaterThanOrEqual">
      <formula>0.8</formula>
    </cfRule>
  </conditionalFormatting>
  <conditionalFormatting sqref="AF5:AF6">
    <cfRule type="cellIs" dxfId="131" priority="127" operator="lessThan">
      <formula>0.4</formula>
    </cfRule>
    <cfRule type="cellIs" dxfId="130" priority="128" operator="between">
      <formula>0.4</formula>
      <formula>0.799</formula>
    </cfRule>
    <cfRule type="cellIs" dxfId="129" priority="129" operator="greaterThanOrEqual">
      <formula>0.8</formula>
    </cfRule>
  </conditionalFormatting>
  <conditionalFormatting sqref="AF4">
    <cfRule type="cellIs" dxfId="128" priority="124" operator="lessThan">
      <formula>0.4</formula>
    </cfRule>
    <cfRule type="cellIs" dxfId="127" priority="125" operator="between">
      <formula>0.4</formula>
      <formula>0.799</formula>
    </cfRule>
    <cfRule type="cellIs" dxfId="126" priority="126" operator="greaterThanOrEqual">
      <formula>0.8</formula>
    </cfRule>
  </conditionalFormatting>
  <conditionalFormatting sqref="AF8">
    <cfRule type="cellIs" dxfId="125" priority="121" operator="lessThan">
      <formula>0.4</formula>
    </cfRule>
    <cfRule type="cellIs" dxfId="124" priority="122" operator="between">
      <formula>0.4</formula>
      <formula>0.799</formula>
    </cfRule>
    <cfRule type="cellIs" dxfId="123" priority="123" operator="greaterThanOrEqual">
      <formula>0.8</formula>
    </cfRule>
  </conditionalFormatting>
  <conditionalFormatting sqref="AF11">
    <cfRule type="cellIs" dxfId="122" priority="118" operator="lessThan">
      <formula>0.4</formula>
    </cfRule>
    <cfRule type="cellIs" dxfId="121" priority="119" operator="between">
      <formula>0.4</formula>
      <formula>0.799</formula>
    </cfRule>
    <cfRule type="cellIs" dxfId="120" priority="120" operator="greaterThanOrEqual">
      <formula>0.8</formula>
    </cfRule>
  </conditionalFormatting>
  <conditionalFormatting sqref="AF10">
    <cfRule type="cellIs" dxfId="119" priority="115" operator="lessThan">
      <formula>0.4</formula>
    </cfRule>
    <cfRule type="cellIs" dxfId="118" priority="116" operator="between">
      <formula>0.4</formula>
      <formula>0.799</formula>
    </cfRule>
    <cfRule type="cellIs" dxfId="117" priority="117" operator="greaterThanOrEqual">
      <formula>0.8</formula>
    </cfRule>
  </conditionalFormatting>
  <conditionalFormatting sqref="AI10:AI11">
    <cfRule type="cellIs" dxfId="116" priority="112" operator="lessThan">
      <formula>0.4</formula>
    </cfRule>
    <cfRule type="cellIs" dxfId="115" priority="113" operator="between">
      <formula>0.4</formula>
      <formula>0.799</formula>
    </cfRule>
    <cfRule type="cellIs" dxfId="114" priority="114" operator="greaterThanOrEqual">
      <formula>0.8</formula>
    </cfRule>
  </conditionalFormatting>
  <conditionalFormatting sqref="AI4:AI9">
    <cfRule type="cellIs" dxfId="113" priority="106" operator="lessThan">
      <formula>0.4</formula>
    </cfRule>
    <cfRule type="cellIs" dxfId="112" priority="107" operator="between">
      <formula>0.4</formula>
      <formula>0.799</formula>
    </cfRule>
    <cfRule type="cellIs" dxfId="111" priority="108" operator="greaterThanOrEqual">
      <formula>0.8</formula>
    </cfRule>
  </conditionalFormatting>
  <conditionalFormatting sqref="AL8">
    <cfRule type="cellIs" dxfId="110" priority="97" operator="lessThan">
      <formula>0.4</formula>
    </cfRule>
    <cfRule type="cellIs" dxfId="109" priority="98" operator="between">
      <formula>0.4</formula>
      <formula>0.799</formula>
    </cfRule>
    <cfRule type="cellIs" dxfId="108" priority="99" operator="greaterThanOrEqual">
      <formula>0.8</formula>
    </cfRule>
  </conditionalFormatting>
  <conditionalFormatting sqref="AL10">
    <cfRule type="cellIs" dxfId="107" priority="94" operator="lessThan">
      <formula>0.4</formula>
    </cfRule>
    <cfRule type="cellIs" dxfId="106" priority="95" operator="between">
      <formula>0.4</formula>
      <formula>0.799</formula>
    </cfRule>
    <cfRule type="cellIs" dxfId="105" priority="96" operator="greaterThanOrEqual">
      <formula>0.8</formula>
    </cfRule>
  </conditionalFormatting>
  <conditionalFormatting sqref="AL4">
    <cfRule type="cellIs" dxfId="104" priority="91" operator="lessThan">
      <formula>0.4</formula>
    </cfRule>
    <cfRule type="cellIs" dxfId="103" priority="92" operator="between">
      <formula>0.4</formula>
      <formula>0.799</formula>
    </cfRule>
    <cfRule type="cellIs" dxfId="102" priority="93" operator="greaterThanOrEqual">
      <formula>0.8</formula>
    </cfRule>
  </conditionalFormatting>
  <conditionalFormatting sqref="AL6">
    <cfRule type="cellIs" dxfId="101" priority="88" operator="lessThan">
      <formula>0.4</formula>
    </cfRule>
    <cfRule type="cellIs" dxfId="100" priority="89" operator="between">
      <formula>0.4</formula>
      <formula>0.799</formula>
    </cfRule>
    <cfRule type="cellIs" dxfId="99" priority="90" operator="greaterThanOrEqual">
      <formula>0.8</formula>
    </cfRule>
  </conditionalFormatting>
  <conditionalFormatting sqref="AL5">
    <cfRule type="cellIs" dxfId="98" priority="82" operator="lessThan">
      <formula>0.4</formula>
    </cfRule>
    <cfRule type="cellIs" dxfId="97" priority="83" operator="between">
      <formula>0.4</formula>
      <formula>0.799</formula>
    </cfRule>
    <cfRule type="cellIs" dxfId="96" priority="84" operator="greaterThanOrEqual">
      <formula>0.8</formula>
    </cfRule>
  </conditionalFormatting>
  <conditionalFormatting sqref="AL7">
    <cfRule type="cellIs" dxfId="95" priority="79" operator="lessThan">
      <formula>0.4</formula>
    </cfRule>
    <cfRule type="cellIs" dxfId="94" priority="80" operator="between">
      <formula>0.4</formula>
      <formula>0.799</formula>
    </cfRule>
    <cfRule type="cellIs" dxfId="93" priority="81" operator="greaterThanOrEqual">
      <formula>0.8</formula>
    </cfRule>
  </conditionalFormatting>
  <conditionalFormatting sqref="AL9">
    <cfRule type="cellIs" dxfId="92" priority="76" operator="lessThan">
      <formula>0.4</formula>
    </cfRule>
    <cfRule type="cellIs" dxfId="91" priority="77" operator="between">
      <formula>0.4</formula>
      <formula>0.799</formula>
    </cfRule>
    <cfRule type="cellIs" dxfId="90" priority="78" operator="greaterThanOrEqual">
      <formula>0.8</formula>
    </cfRule>
  </conditionalFormatting>
  <conditionalFormatting sqref="AL11">
    <cfRule type="cellIs" dxfId="89" priority="73" operator="lessThan">
      <formula>0.4</formula>
    </cfRule>
    <cfRule type="cellIs" dxfId="88" priority="74" operator="between">
      <formula>0.4</formula>
      <formula>0.799</formula>
    </cfRule>
    <cfRule type="cellIs" dxfId="87" priority="75" operator="greaterThanOrEqual">
      <formula>0.8</formula>
    </cfRule>
  </conditionalFormatting>
  <conditionalFormatting sqref="AO10">
    <cfRule type="cellIs" dxfId="86" priority="70" operator="lessThan">
      <formula>0.4</formula>
    </cfRule>
    <cfRule type="cellIs" dxfId="85" priority="71" operator="between">
      <formula>0.4</formula>
      <formula>0.799</formula>
    </cfRule>
    <cfRule type="cellIs" dxfId="84" priority="72" operator="greaterThanOrEqual">
      <formula>0.8</formula>
    </cfRule>
  </conditionalFormatting>
  <conditionalFormatting sqref="AO11">
    <cfRule type="cellIs" dxfId="83" priority="67" operator="lessThan">
      <formula>0.4</formula>
    </cfRule>
    <cfRule type="cellIs" dxfId="82" priority="68" operator="between">
      <formula>0.4</formula>
      <formula>0.799</formula>
    </cfRule>
    <cfRule type="cellIs" dxfId="81" priority="69" operator="greaterThanOrEqual">
      <formula>0.8</formula>
    </cfRule>
  </conditionalFormatting>
  <conditionalFormatting sqref="AO8">
    <cfRule type="cellIs" dxfId="80" priority="64" operator="lessThan">
      <formula>0.4</formula>
    </cfRule>
    <cfRule type="cellIs" dxfId="79" priority="65" operator="between">
      <formula>0.4</formula>
      <formula>0.799</formula>
    </cfRule>
    <cfRule type="cellIs" dxfId="78" priority="66" operator="greaterThanOrEqual">
      <formula>0.8</formula>
    </cfRule>
  </conditionalFormatting>
  <conditionalFormatting sqref="AO5">
    <cfRule type="cellIs" dxfId="77" priority="61" operator="lessThan">
      <formula>0.4</formula>
    </cfRule>
    <cfRule type="cellIs" dxfId="76" priority="62" operator="between">
      <formula>0.4</formula>
      <formula>0.799</formula>
    </cfRule>
    <cfRule type="cellIs" dxfId="75" priority="63" operator="greaterThanOrEqual">
      <formula>0.8</formula>
    </cfRule>
  </conditionalFormatting>
  <conditionalFormatting sqref="AO7">
    <cfRule type="cellIs" dxfId="74" priority="58" operator="lessThan">
      <formula>0.4</formula>
    </cfRule>
    <cfRule type="cellIs" dxfId="73" priority="59" operator="between">
      <formula>0.4</formula>
      <formula>0.799</formula>
    </cfRule>
    <cfRule type="cellIs" dxfId="72" priority="60" operator="greaterThanOrEqual">
      <formula>0.8</formula>
    </cfRule>
  </conditionalFormatting>
  <conditionalFormatting sqref="AO9">
    <cfRule type="cellIs" dxfId="71" priority="55" operator="lessThan">
      <formula>0.4</formula>
    </cfRule>
    <cfRule type="cellIs" dxfId="70" priority="56" operator="between">
      <formula>0.4</formula>
      <formula>0.799</formula>
    </cfRule>
    <cfRule type="cellIs" dxfId="69" priority="57" operator="greaterThanOrEqual">
      <formula>0.8</formula>
    </cfRule>
  </conditionalFormatting>
  <conditionalFormatting sqref="AO4">
    <cfRule type="cellIs" dxfId="68" priority="52" operator="lessThan">
      <formula>0.4</formula>
    </cfRule>
    <cfRule type="cellIs" dxfId="67" priority="53" operator="between">
      <formula>0.4</formula>
      <formula>0.799</formula>
    </cfRule>
    <cfRule type="cellIs" dxfId="66" priority="54" operator="greaterThanOrEqual">
      <formula>0.8</formula>
    </cfRule>
  </conditionalFormatting>
  <conditionalFormatting sqref="AO6">
    <cfRule type="cellIs" dxfId="65" priority="49" operator="lessThan">
      <formula>0.4</formula>
    </cfRule>
    <cfRule type="cellIs" dxfId="64" priority="50" operator="between">
      <formula>0.4</formula>
      <formula>0.799</formula>
    </cfRule>
    <cfRule type="cellIs" dxfId="63" priority="51" operator="greaterThanOrEqual">
      <formula>0.8</formula>
    </cfRule>
  </conditionalFormatting>
  <conditionalFormatting sqref="AR10">
    <cfRule type="cellIs" dxfId="62" priority="46" operator="lessThan">
      <formula>0.4</formula>
    </cfRule>
    <cfRule type="cellIs" dxfId="61" priority="47" operator="between">
      <formula>0.4</formula>
      <formula>0.799</formula>
    </cfRule>
    <cfRule type="cellIs" dxfId="60" priority="48" operator="greaterThanOrEqual">
      <formula>0.8</formula>
    </cfRule>
  </conditionalFormatting>
  <conditionalFormatting sqref="AR11">
    <cfRule type="cellIs" dxfId="59" priority="43" operator="lessThan">
      <formula>0.4</formula>
    </cfRule>
    <cfRule type="cellIs" dxfId="58" priority="44" operator="between">
      <formula>0.4</formula>
      <formula>0.799</formula>
    </cfRule>
    <cfRule type="cellIs" dxfId="57" priority="45" operator="greaterThanOrEqual">
      <formula>0.8</formula>
    </cfRule>
  </conditionalFormatting>
  <conditionalFormatting sqref="AR8">
    <cfRule type="cellIs" dxfId="56" priority="40" operator="lessThan">
      <formula>0.4</formula>
    </cfRule>
    <cfRule type="cellIs" dxfId="55" priority="41" operator="between">
      <formula>0.4</formula>
      <formula>0.799</formula>
    </cfRule>
    <cfRule type="cellIs" dxfId="54" priority="42" operator="greaterThanOrEqual">
      <formula>0.8</formula>
    </cfRule>
  </conditionalFormatting>
  <conditionalFormatting sqref="AR5">
    <cfRule type="cellIs" dxfId="53" priority="37" operator="lessThan">
      <formula>0.4</formula>
    </cfRule>
    <cfRule type="cellIs" dxfId="52" priority="38" operator="between">
      <formula>0.4</formula>
      <formula>0.799</formula>
    </cfRule>
    <cfRule type="cellIs" dxfId="51" priority="39" operator="greaterThanOrEqual">
      <formula>0.8</formula>
    </cfRule>
  </conditionalFormatting>
  <conditionalFormatting sqref="AR7">
    <cfRule type="cellIs" dxfId="50" priority="34" operator="lessThan">
      <formula>0.4</formula>
    </cfRule>
    <cfRule type="cellIs" dxfId="49" priority="35" operator="between">
      <formula>0.4</formula>
      <formula>0.799</formula>
    </cfRule>
    <cfRule type="cellIs" dxfId="48" priority="36" operator="greaterThanOrEqual">
      <formula>0.8</formula>
    </cfRule>
  </conditionalFormatting>
  <conditionalFormatting sqref="AR9">
    <cfRule type="cellIs" dxfId="47" priority="31" operator="lessThan">
      <formula>0.4</formula>
    </cfRule>
    <cfRule type="cellIs" dxfId="46" priority="32" operator="between">
      <formula>0.4</formula>
      <formula>0.799</formula>
    </cfRule>
    <cfRule type="cellIs" dxfId="45" priority="33" operator="greaterThanOrEqual">
      <formula>0.8</formula>
    </cfRule>
  </conditionalFormatting>
  <conditionalFormatting sqref="AR4">
    <cfRule type="cellIs" dxfId="44" priority="28" operator="lessThan">
      <formula>0.4</formula>
    </cfRule>
    <cfRule type="cellIs" dxfId="43" priority="29" operator="between">
      <formula>0.4</formula>
      <formula>0.799</formula>
    </cfRule>
    <cfRule type="cellIs" dxfId="42" priority="30" operator="greaterThanOrEqual">
      <formula>0.8</formula>
    </cfRule>
  </conditionalFormatting>
  <conditionalFormatting sqref="AR6">
    <cfRule type="cellIs" dxfId="41" priority="25" operator="lessThan">
      <formula>0.4</formula>
    </cfRule>
    <cfRule type="cellIs" dxfId="40" priority="26" operator="between">
      <formula>0.4</formula>
      <formula>0.799</formula>
    </cfRule>
    <cfRule type="cellIs" dxfId="39" priority="27" operator="greaterThanOrEqual">
      <formula>0.8</formula>
    </cfRule>
  </conditionalFormatting>
  <conditionalFormatting sqref="AU4 AW4">
    <cfRule type="cellIs" dxfId="38" priority="22" operator="lessThan">
      <formula>0.4</formula>
    </cfRule>
    <cfRule type="cellIs" dxfId="37" priority="23" operator="between">
      <formula>0.4</formula>
      <formula>0.799</formula>
    </cfRule>
    <cfRule type="cellIs" dxfId="36" priority="24" operator="greaterThanOrEqual">
      <formula>0.8</formula>
    </cfRule>
  </conditionalFormatting>
  <conditionalFormatting sqref="AU6 AW6">
    <cfRule type="cellIs" dxfId="35" priority="16" operator="lessThan">
      <formula>0.4</formula>
    </cfRule>
    <cfRule type="cellIs" dxfId="34" priority="17" operator="between">
      <formula>0.4</formula>
      <formula>0.799</formula>
    </cfRule>
    <cfRule type="cellIs" dxfId="33" priority="18" operator="greaterThanOrEqual">
      <formula>0.8</formula>
    </cfRule>
  </conditionalFormatting>
  <conditionalFormatting sqref="AU10 AW10">
    <cfRule type="cellIs" dxfId="32" priority="13" operator="lessThan">
      <formula>0.4</formula>
    </cfRule>
    <cfRule type="cellIs" dxfId="31" priority="14" operator="between">
      <formula>0.4</formula>
      <formula>0.799</formula>
    </cfRule>
    <cfRule type="cellIs" dxfId="30" priority="15" operator="greaterThanOrEqual">
      <formula>0.8</formula>
    </cfRule>
  </conditionalFormatting>
  <conditionalFormatting sqref="AU11 AW11">
    <cfRule type="cellIs" dxfId="29" priority="10" operator="lessThan">
      <formula>0.4</formula>
    </cfRule>
    <cfRule type="cellIs" dxfId="28" priority="11" operator="between">
      <formula>0.4</formula>
      <formula>0.799</formula>
    </cfRule>
    <cfRule type="cellIs" dxfId="27" priority="12" operator="greaterThanOrEqual">
      <formula>0.8</formula>
    </cfRule>
  </conditionalFormatting>
  <conditionalFormatting sqref="AU8 AW8">
    <cfRule type="cellIs" dxfId="26" priority="7" operator="lessThan">
      <formula>0.4</formula>
    </cfRule>
    <cfRule type="cellIs" dxfId="25" priority="8" operator="between">
      <formula>0.4</formula>
      <formula>0.799</formula>
    </cfRule>
    <cfRule type="cellIs" dxfId="24" priority="9" operator="greaterThanOrEqual">
      <formula>0.8</formula>
    </cfRule>
  </conditionalFormatting>
  <conditionalFormatting sqref="AU9 AW9">
    <cfRule type="cellIs" dxfId="23" priority="1" operator="lessThan">
      <formula>0.4</formula>
    </cfRule>
    <cfRule type="cellIs" dxfId="22" priority="2" operator="between">
      <formula>0.4</formula>
      <formula>0.799</formula>
    </cfRule>
    <cfRule type="cellIs" dxfId="21"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215" t="s">
        <v>1</v>
      </c>
      <c r="B1" s="215" t="s">
        <v>3</v>
      </c>
      <c r="C1" s="215"/>
      <c r="D1" s="215"/>
      <c r="E1" s="215"/>
      <c r="F1" s="215" t="s">
        <v>39</v>
      </c>
      <c r="G1" s="224" t="s">
        <v>17</v>
      </c>
      <c r="H1" s="224"/>
      <c r="I1" s="224"/>
      <c r="J1" s="219" t="s">
        <v>20</v>
      </c>
      <c r="K1" s="220"/>
    </row>
    <row r="2" spans="1:11" ht="79.5" customHeight="1" thickBot="1" x14ac:dyDescent="0.3">
      <c r="A2" s="223"/>
      <c r="B2" s="57">
        <v>2019</v>
      </c>
      <c r="C2" s="57">
        <v>2020</v>
      </c>
      <c r="D2" s="57">
        <v>2021</v>
      </c>
      <c r="E2" s="57">
        <v>2022</v>
      </c>
      <c r="F2" s="223"/>
      <c r="G2" s="58" t="s">
        <v>18</v>
      </c>
      <c r="H2" s="59" t="s">
        <v>19</v>
      </c>
      <c r="I2" s="59" t="s">
        <v>24</v>
      </c>
      <c r="J2" s="54" t="s">
        <v>95</v>
      </c>
      <c r="K2" s="55" t="s">
        <v>93</v>
      </c>
    </row>
    <row r="3" spans="1:11" ht="25.5" x14ac:dyDescent="0.25">
      <c r="A3" s="67">
        <v>250</v>
      </c>
      <c r="B3" s="67">
        <v>175</v>
      </c>
      <c r="C3" s="67">
        <v>200</v>
      </c>
      <c r="D3" s="67">
        <v>225</v>
      </c>
      <c r="E3" s="67">
        <v>250</v>
      </c>
      <c r="F3" s="65" t="s">
        <v>12</v>
      </c>
      <c r="G3" s="67">
        <v>175</v>
      </c>
      <c r="H3" s="67">
        <v>185</v>
      </c>
      <c r="I3" s="63">
        <f>H3/G3</f>
        <v>1.0571428571428572</v>
      </c>
      <c r="J3" s="66">
        <v>200</v>
      </c>
      <c r="K3" s="66">
        <v>200</v>
      </c>
    </row>
  </sheetData>
  <mergeCells count="5">
    <mergeCell ref="A1:A2"/>
    <mergeCell ref="B1:E1"/>
    <mergeCell ref="F1:F2"/>
    <mergeCell ref="G1:I1"/>
    <mergeCell ref="J1:K1"/>
  </mergeCells>
  <conditionalFormatting sqref="I3">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221" t="s">
        <v>2</v>
      </c>
      <c r="B1" s="215" t="s">
        <v>1</v>
      </c>
      <c r="C1" s="215" t="s">
        <v>3</v>
      </c>
      <c r="D1" s="215"/>
      <c r="E1" s="215"/>
      <c r="F1" s="215"/>
      <c r="G1" s="215" t="s">
        <v>39</v>
      </c>
      <c r="H1" s="224" t="s">
        <v>17</v>
      </c>
      <c r="I1" s="224"/>
      <c r="J1" s="224"/>
      <c r="K1" s="219" t="s">
        <v>20</v>
      </c>
      <c r="L1" s="220"/>
    </row>
    <row r="2" spans="1:12" ht="76.5" customHeight="1" thickBot="1" x14ac:dyDescent="0.3">
      <c r="A2" s="222"/>
      <c r="B2" s="223"/>
      <c r="C2" s="57">
        <v>2019</v>
      </c>
      <c r="D2" s="57">
        <v>2020</v>
      </c>
      <c r="E2" s="57">
        <v>2021</v>
      </c>
      <c r="F2" s="57">
        <v>2022</v>
      </c>
      <c r="G2" s="223"/>
      <c r="H2" s="58" t="s">
        <v>18</v>
      </c>
      <c r="I2" s="59" t="s">
        <v>19</v>
      </c>
      <c r="J2" s="59" t="s">
        <v>24</v>
      </c>
      <c r="K2" s="54" t="s">
        <v>95</v>
      </c>
      <c r="L2" s="55" t="s">
        <v>93</v>
      </c>
    </row>
    <row r="3" spans="1:12" ht="36" x14ac:dyDescent="0.25">
      <c r="A3" s="60" t="s">
        <v>4</v>
      </c>
      <c r="B3" s="61">
        <v>1</v>
      </c>
      <c r="C3" s="48">
        <v>3.0000000000000001E-3</v>
      </c>
      <c r="D3" s="48">
        <v>0.19900000000000001</v>
      </c>
      <c r="E3" s="48">
        <v>0.20300000000000001</v>
      </c>
      <c r="F3" s="48">
        <v>0.59399999999999997</v>
      </c>
      <c r="G3" s="62" t="s">
        <v>5</v>
      </c>
      <c r="H3" s="48">
        <v>3.0000000000000001E-3</v>
      </c>
      <c r="I3" s="48">
        <v>3.0000000000000001E-3</v>
      </c>
      <c r="J3" s="63">
        <f>I3/H3</f>
        <v>1</v>
      </c>
      <c r="K3" s="48">
        <v>0.19900000000000001</v>
      </c>
      <c r="L3" s="45">
        <v>0</v>
      </c>
    </row>
  </sheetData>
  <mergeCells count="6">
    <mergeCell ref="K1:L1"/>
    <mergeCell ref="A1:A2"/>
    <mergeCell ref="B1:B2"/>
    <mergeCell ref="C1:F1"/>
    <mergeCell ref="G1:G2"/>
    <mergeCell ref="H1:J1"/>
  </mergeCells>
  <conditionalFormatting sqref="J3">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7" zoomScale="60" zoomScaleNormal="60" workbookViewId="0">
      <selection activeCell="B9" sqref="B9"/>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203" t="s">
        <v>0</v>
      </c>
      <c r="B1" s="202" t="s">
        <v>13</v>
      </c>
      <c r="C1" s="202" t="s">
        <v>2</v>
      </c>
      <c r="D1" s="202" t="s">
        <v>89</v>
      </c>
      <c r="E1" s="202" t="s">
        <v>3</v>
      </c>
      <c r="F1" s="202"/>
      <c r="G1" s="202"/>
      <c r="H1" s="202"/>
      <c r="I1" s="202" t="s">
        <v>39</v>
      </c>
    </row>
    <row r="2" spans="1:9" ht="32.25" customHeight="1" x14ac:dyDescent="0.25">
      <c r="A2" s="203"/>
      <c r="B2" s="202"/>
      <c r="C2" s="202"/>
      <c r="D2" s="202"/>
      <c r="E2" s="74">
        <v>2019</v>
      </c>
      <c r="F2" s="74">
        <v>2020</v>
      </c>
      <c r="G2" s="74">
        <v>2021</v>
      </c>
      <c r="H2" s="74">
        <v>2022</v>
      </c>
      <c r="I2" s="202"/>
    </row>
    <row r="3" spans="1:9" ht="159" customHeight="1" x14ac:dyDescent="0.25">
      <c r="A3" s="75" t="s">
        <v>38</v>
      </c>
      <c r="B3" s="10" t="s">
        <v>16</v>
      </c>
      <c r="C3" s="4" t="s">
        <v>4</v>
      </c>
      <c r="D3" s="33" t="s">
        <v>86</v>
      </c>
      <c r="E3" s="15">
        <v>0.03</v>
      </c>
      <c r="F3" s="5">
        <v>0.23</v>
      </c>
      <c r="G3" s="5">
        <v>0.5</v>
      </c>
      <c r="H3" s="5">
        <v>0.6</v>
      </c>
      <c r="I3" s="32" t="s">
        <v>23</v>
      </c>
    </row>
    <row r="4" spans="1:9" ht="159" customHeight="1" x14ac:dyDescent="0.25">
      <c r="A4" s="75" t="s">
        <v>38</v>
      </c>
      <c r="B4" s="10" t="s">
        <v>14</v>
      </c>
      <c r="C4" s="4" t="s">
        <v>4</v>
      </c>
      <c r="D4" s="33" t="s">
        <v>86</v>
      </c>
      <c r="E4" s="8">
        <v>8.5000000000000006E-2</v>
      </c>
      <c r="F4" s="8">
        <v>0.20100000000000001</v>
      </c>
      <c r="G4" s="8">
        <v>0.35099999999999998</v>
      </c>
      <c r="H4" s="5">
        <v>0.6</v>
      </c>
      <c r="I4" s="32" t="s">
        <v>5</v>
      </c>
    </row>
    <row r="5" spans="1:9" ht="162.75" customHeight="1" x14ac:dyDescent="0.25">
      <c r="A5" s="75" t="s">
        <v>38</v>
      </c>
      <c r="B5" s="10" t="s">
        <v>6</v>
      </c>
      <c r="C5" s="16" t="s">
        <v>4</v>
      </c>
      <c r="D5" s="33" t="s">
        <v>86</v>
      </c>
      <c r="E5" s="5">
        <v>0.23</v>
      </c>
      <c r="F5" s="5">
        <v>0.37</v>
      </c>
      <c r="G5" s="5">
        <v>0.49</v>
      </c>
      <c r="H5" s="5">
        <v>0.6</v>
      </c>
      <c r="I5" s="32" t="s">
        <v>23</v>
      </c>
    </row>
    <row r="6" spans="1:9" ht="288" x14ac:dyDescent="0.25">
      <c r="A6" s="76" t="s">
        <v>37</v>
      </c>
      <c r="B6" s="10" t="s">
        <v>7</v>
      </c>
      <c r="C6" s="4" t="s">
        <v>4</v>
      </c>
      <c r="D6" s="33" t="s">
        <v>88</v>
      </c>
      <c r="E6" s="8">
        <v>3.0999999999999999E-3</v>
      </c>
      <c r="F6" s="8">
        <v>0.19900000000000001</v>
      </c>
      <c r="G6" s="8">
        <v>0.20300000000000001</v>
      </c>
      <c r="H6" s="8">
        <v>0.59399999999999997</v>
      </c>
      <c r="I6" s="32" t="s">
        <v>22</v>
      </c>
    </row>
    <row r="7" spans="1:9" ht="288" x14ac:dyDescent="0.25">
      <c r="A7" s="75" t="s">
        <v>38</v>
      </c>
      <c r="B7" s="10" t="s">
        <v>15</v>
      </c>
      <c r="C7" s="16" t="s">
        <v>4</v>
      </c>
      <c r="D7" s="33" t="s">
        <v>87</v>
      </c>
      <c r="E7" s="5">
        <v>0.05</v>
      </c>
      <c r="F7" s="5">
        <v>0.3</v>
      </c>
      <c r="G7" s="5">
        <v>0.6</v>
      </c>
      <c r="H7" s="5">
        <v>1</v>
      </c>
      <c r="I7" s="6" t="s">
        <v>48</v>
      </c>
    </row>
    <row r="8" spans="1:9" ht="288" x14ac:dyDescent="0.25">
      <c r="A8" s="75" t="s">
        <v>38</v>
      </c>
      <c r="B8" s="32" t="s">
        <v>9</v>
      </c>
      <c r="C8" s="20" t="s">
        <v>10</v>
      </c>
      <c r="D8" s="33" t="s">
        <v>87</v>
      </c>
      <c r="E8" s="16">
        <v>6</v>
      </c>
      <c r="F8" s="16">
        <v>10</v>
      </c>
      <c r="G8" s="16">
        <v>17</v>
      </c>
      <c r="H8" s="16">
        <v>20</v>
      </c>
      <c r="I8" s="6" t="s">
        <v>22</v>
      </c>
    </row>
    <row r="9" spans="1:9" ht="263.25" customHeight="1" x14ac:dyDescent="0.25">
      <c r="A9" s="75" t="s">
        <v>38</v>
      </c>
      <c r="B9" s="77" t="s">
        <v>11</v>
      </c>
      <c r="C9" s="16" t="s">
        <v>8</v>
      </c>
      <c r="D9" s="33" t="s">
        <v>87</v>
      </c>
      <c r="E9" s="78">
        <v>175</v>
      </c>
      <c r="F9" s="78">
        <v>200</v>
      </c>
      <c r="G9" s="78">
        <v>225</v>
      </c>
      <c r="H9" s="78">
        <v>250</v>
      </c>
      <c r="I9" s="11" t="s">
        <v>12</v>
      </c>
    </row>
    <row r="10" spans="1:9" ht="126" x14ac:dyDescent="0.25">
      <c r="A10" s="25" t="s">
        <v>77</v>
      </c>
      <c r="B10" s="25" t="s">
        <v>49</v>
      </c>
      <c r="C10" s="26" t="s">
        <v>4</v>
      </c>
      <c r="D10" s="26"/>
      <c r="E10" s="27">
        <v>0.1</v>
      </c>
      <c r="F10" s="27">
        <v>0.3</v>
      </c>
      <c r="G10" s="27">
        <v>0.3</v>
      </c>
      <c r="H10" s="27">
        <v>0.3</v>
      </c>
      <c r="I10" s="11" t="s">
        <v>12</v>
      </c>
    </row>
  </sheetData>
  <mergeCells count="6">
    <mergeCell ref="I1:I2"/>
    <mergeCell ref="A1:A2"/>
    <mergeCell ref="B1:B2"/>
    <mergeCell ref="C1:C2"/>
    <mergeCell ref="D1:D2"/>
    <mergeCell ref="E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CC5-8E2B-471C-9C55-F8CE18C114A9}">
  <dimension ref="B4:H19"/>
  <sheetViews>
    <sheetView showGridLines="0" workbookViewId="0">
      <selection activeCell="F13" sqref="F13"/>
    </sheetView>
  </sheetViews>
  <sheetFormatPr baseColWidth="10" defaultRowHeight="15" x14ac:dyDescent="0.25"/>
  <cols>
    <col min="4" max="4" width="12.28515625" bestFit="1" customWidth="1"/>
    <col min="6" max="6" width="11.28515625" bestFit="1" customWidth="1"/>
    <col min="8" max="8" width="12.7109375" bestFit="1" customWidth="1"/>
  </cols>
  <sheetData>
    <row r="4" spans="2:8" ht="15.75" thickBot="1" x14ac:dyDescent="0.3"/>
    <row r="5" spans="2:8" ht="15.75" thickBot="1" x14ac:dyDescent="0.3">
      <c r="B5" s="204" t="s">
        <v>163</v>
      </c>
      <c r="C5" s="206" t="s">
        <v>164</v>
      </c>
      <c r="D5" s="207"/>
      <c r="E5" s="206" t="s">
        <v>165</v>
      </c>
      <c r="F5" s="207"/>
      <c r="G5" s="208" t="s">
        <v>166</v>
      </c>
      <c r="H5" s="209"/>
    </row>
    <row r="6" spans="2:8" ht="15.75" thickBot="1" x14ac:dyDescent="0.3">
      <c r="B6" s="205"/>
      <c r="C6" s="113" t="s">
        <v>167</v>
      </c>
      <c r="D6" s="113" t="s">
        <v>168</v>
      </c>
      <c r="E6" s="113" t="s">
        <v>167</v>
      </c>
      <c r="F6" s="113" t="s">
        <v>168</v>
      </c>
      <c r="G6" s="114" t="s">
        <v>167</v>
      </c>
      <c r="H6" s="114" t="s">
        <v>168</v>
      </c>
    </row>
    <row r="7" spans="2:8" ht="15.75" thickBot="1" x14ac:dyDescent="0.3">
      <c r="B7" s="115" t="s">
        <v>169</v>
      </c>
      <c r="C7" s="103">
        <v>1.9E-2</v>
      </c>
      <c r="D7" s="104">
        <v>2167835.46</v>
      </c>
      <c r="E7" s="105"/>
      <c r="F7" s="106"/>
      <c r="G7" s="107"/>
      <c r="H7" s="107"/>
    </row>
    <row r="8" spans="2:8" ht="15.75" thickBot="1" x14ac:dyDescent="0.3">
      <c r="B8" s="115">
        <v>2019</v>
      </c>
      <c r="C8" s="108">
        <v>0.03</v>
      </c>
      <c r="D8" s="104">
        <v>3422898.1</v>
      </c>
      <c r="E8" s="103">
        <v>0.03</v>
      </c>
      <c r="F8" s="104">
        <v>3820715.52</v>
      </c>
      <c r="G8" s="109"/>
      <c r="H8" s="109"/>
    </row>
    <row r="9" spans="2:8" ht="15.75" thickBot="1" x14ac:dyDescent="0.3">
      <c r="B9" s="115">
        <v>2020</v>
      </c>
      <c r="C9" s="108">
        <v>0.23</v>
      </c>
      <c r="D9" s="104">
        <v>26242218.77</v>
      </c>
      <c r="E9" s="103">
        <v>0.1176</v>
      </c>
      <c r="F9" s="110">
        <v>13418129</v>
      </c>
      <c r="G9" s="111">
        <v>0.14760000000000001</v>
      </c>
      <c r="H9" s="112">
        <v>17238844.5</v>
      </c>
    </row>
    <row r="10" spans="2:8" x14ac:dyDescent="0.25">
      <c r="H10" s="96">
        <f>+F9+D8</f>
        <v>16841027.100000001</v>
      </c>
    </row>
    <row r="12" spans="2:8" x14ac:dyDescent="0.25">
      <c r="B12" s="116" t="s">
        <v>170</v>
      </c>
      <c r="C12" s="117"/>
      <c r="D12" s="117"/>
      <c r="E12" s="117"/>
      <c r="F12" s="117"/>
    </row>
    <row r="13" spans="2:8" x14ac:dyDescent="0.25">
      <c r="B13" s="118" t="s">
        <v>171</v>
      </c>
      <c r="C13" s="118" t="s">
        <v>172</v>
      </c>
      <c r="D13" s="118" t="s">
        <v>173</v>
      </c>
      <c r="E13" s="118" t="s">
        <v>174</v>
      </c>
      <c r="F13" s="118" t="s">
        <v>175</v>
      </c>
    </row>
    <row r="14" spans="2:8" x14ac:dyDescent="0.25">
      <c r="B14" s="119" t="s">
        <v>176</v>
      </c>
      <c r="C14" s="120" t="s">
        <v>177</v>
      </c>
      <c r="D14" s="120">
        <v>1.9E-2</v>
      </c>
      <c r="E14" s="120" t="s">
        <v>177</v>
      </c>
      <c r="F14" s="117"/>
    </row>
    <row r="15" spans="2:8" x14ac:dyDescent="0.25">
      <c r="B15" s="119" t="s">
        <v>178</v>
      </c>
      <c r="C15" s="120">
        <v>0.03</v>
      </c>
      <c r="D15" s="120">
        <v>0.03</v>
      </c>
      <c r="E15" s="120">
        <f>D15/C15*100%</f>
        <v>1</v>
      </c>
      <c r="F15" s="137">
        <v>0.03</v>
      </c>
    </row>
    <row r="16" spans="2:8" x14ac:dyDescent="0.25">
      <c r="B16" s="119" t="s">
        <v>179</v>
      </c>
      <c r="C16" s="120">
        <v>0.23</v>
      </c>
      <c r="D16" s="120">
        <f>11.76%+D15</f>
        <v>0.14760000000000001</v>
      </c>
      <c r="E16" s="120">
        <f>(D16/C16)*100%</f>
        <v>0.64173913043478259</v>
      </c>
      <c r="F16" s="137">
        <v>0.2</v>
      </c>
    </row>
    <row r="17" spans="2:6" x14ac:dyDescent="0.25">
      <c r="B17" s="119" t="s">
        <v>180</v>
      </c>
      <c r="C17" s="120">
        <v>0.5</v>
      </c>
      <c r="D17" s="120"/>
      <c r="E17" s="120">
        <f>(D17/C17)*100%</f>
        <v>0</v>
      </c>
      <c r="F17" s="137">
        <v>0.27</v>
      </c>
    </row>
    <row r="18" spans="2:6" x14ac:dyDescent="0.25">
      <c r="B18" s="119" t="s">
        <v>181</v>
      </c>
      <c r="C18" s="120">
        <v>0.6</v>
      </c>
      <c r="D18" s="120"/>
      <c r="E18" s="120">
        <f>(D18/C18)*100%</f>
        <v>0</v>
      </c>
      <c r="F18" s="137">
        <v>0.1</v>
      </c>
    </row>
    <row r="19" spans="2:6" x14ac:dyDescent="0.25">
      <c r="B19" s="121" t="s">
        <v>182</v>
      </c>
      <c r="C19" s="122">
        <v>0.6</v>
      </c>
      <c r="D19" s="122">
        <f>+D16</f>
        <v>0.14760000000000001</v>
      </c>
      <c r="E19" s="122">
        <f>(D19*100%)/C19</f>
        <v>0.24600000000000002</v>
      </c>
      <c r="F19" s="122">
        <v>0.6</v>
      </c>
    </row>
  </sheetData>
  <mergeCells count="4">
    <mergeCell ref="B5:B6"/>
    <mergeCell ref="C5:D5"/>
    <mergeCell ref="E5:F5"/>
    <mergeCell ref="G5: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E3B6-EF58-4D2B-BB93-55EECF49B122}">
  <dimension ref="B3:H19"/>
  <sheetViews>
    <sheetView showGridLines="0" workbookViewId="0">
      <selection activeCell="F30" activeCellId="1" sqref="D21 F30"/>
    </sheetView>
  </sheetViews>
  <sheetFormatPr baseColWidth="10" defaultRowHeight="15" x14ac:dyDescent="0.25"/>
  <cols>
    <col min="4" max="4" width="12.7109375" bestFit="1" customWidth="1"/>
    <col min="6" max="6" width="12.7109375" bestFit="1" customWidth="1"/>
    <col min="8" max="8" width="19.140625" customWidth="1"/>
  </cols>
  <sheetData>
    <row r="3" spans="2:8" ht="15.75" thickBot="1" x14ac:dyDescent="0.3"/>
    <row r="4" spans="2:8" ht="15.75" thickBot="1" x14ac:dyDescent="0.3">
      <c r="B4" s="204" t="s">
        <v>163</v>
      </c>
      <c r="C4" s="206" t="s">
        <v>164</v>
      </c>
      <c r="D4" s="207"/>
      <c r="E4" s="206" t="s">
        <v>165</v>
      </c>
      <c r="F4" s="207"/>
      <c r="G4" s="208" t="s">
        <v>166</v>
      </c>
      <c r="H4" s="209"/>
    </row>
    <row r="5" spans="2:8" ht="15.75" thickBot="1" x14ac:dyDescent="0.3">
      <c r="B5" s="205"/>
      <c r="C5" s="113" t="s">
        <v>167</v>
      </c>
      <c r="D5" s="113" t="s">
        <v>168</v>
      </c>
      <c r="E5" s="113" t="s">
        <v>167</v>
      </c>
      <c r="F5" s="113" t="s">
        <v>168</v>
      </c>
      <c r="G5" s="114" t="s">
        <v>167</v>
      </c>
      <c r="H5" s="114" t="s">
        <v>168</v>
      </c>
    </row>
    <row r="6" spans="2:8" ht="15.75" thickBot="1" x14ac:dyDescent="0.3">
      <c r="B6" s="102" t="s">
        <v>169</v>
      </c>
      <c r="C6" s="124" t="s">
        <v>183</v>
      </c>
      <c r="D6" s="104">
        <v>14262075.42</v>
      </c>
      <c r="E6" s="105"/>
      <c r="F6" s="106"/>
      <c r="G6" s="107"/>
      <c r="H6" s="107"/>
    </row>
    <row r="7" spans="2:8" ht="15.75" thickBot="1" x14ac:dyDescent="0.3">
      <c r="B7" s="102">
        <v>2019</v>
      </c>
      <c r="C7" s="108">
        <v>0.23</v>
      </c>
      <c r="D7" s="104">
        <v>26242218.77</v>
      </c>
      <c r="E7" s="124" t="s">
        <v>184</v>
      </c>
      <c r="F7" s="104">
        <v>11980143.35</v>
      </c>
      <c r="G7" s="109"/>
      <c r="H7" s="125"/>
    </row>
    <row r="8" spans="2:8" ht="15.75" thickBot="1" x14ac:dyDescent="0.3">
      <c r="B8" s="102">
        <v>2020</v>
      </c>
      <c r="C8" s="108">
        <v>0.37</v>
      </c>
      <c r="D8" s="104">
        <v>42215743.240000002</v>
      </c>
      <c r="E8" s="103">
        <v>0.14230000000000001</v>
      </c>
      <c r="F8" s="104">
        <v>16231703.439999999</v>
      </c>
      <c r="G8" s="111">
        <v>0.37230000000000002</v>
      </c>
      <c r="H8" s="112">
        <f>+D6+F7+F8</f>
        <v>42473922.210000001</v>
      </c>
    </row>
    <row r="9" spans="2:8" x14ac:dyDescent="0.25">
      <c r="D9" s="127"/>
      <c r="E9" s="126"/>
      <c r="F9" s="127"/>
    </row>
    <row r="10" spans="2:8" x14ac:dyDescent="0.25">
      <c r="D10" s="96"/>
      <c r="E10" s="126"/>
      <c r="F10" s="129"/>
    </row>
    <row r="12" spans="2:8" x14ac:dyDescent="0.25">
      <c r="B12" s="130" t="s">
        <v>189</v>
      </c>
      <c r="C12" s="131"/>
      <c r="D12" s="131"/>
      <c r="E12" s="131"/>
      <c r="F12" s="131"/>
    </row>
    <row r="13" spans="2:8" x14ac:dyDescent="0.25">
      <c r="B13" s="132" t="s">
        <v>171</v>
      </c>
      <c r="C13" s="132" t="s">
        <v>172</v>
      </c>
      <c r="D13" s="132" t="s">
        <v>173</v>
      </c>
      <c r="E13" s="132" t="s">
        <v>174</v>
      </c>
      <c r="F13" s="118" t="s">
        <v>175</v>
      </c>
    </row>
    <row r="14" spans="2:8" x14ac:dyDescent="0.25">
      <c r="B14" s="133" t="s">
        <v>176</v>
      </c>
      <c r="C14" s="134" t="s">
        <v>177</v>
      </c>
      <c r="D14" s="135">
        <v>12.5</v>
      </c>
      <c r="E14" s="138" t="s">
        <v>177</v>
      </c>
      <c r="F14" s="140"/>
    </row>
    <row r="15" spans="2:8" x14ac:dyDescent="0.25">
      <c r="B15" s="133" t="s">
        <v>178</v>
      </c>
      <c r="C15" s="136">
        <v>0.23</v>
      </c>
      <c r="D15" s="136">
        <v>0.23</v>
      </c>
      <c r="E15" s="136">
        <f>D15/C15*100%</f>
        <v>1</v>
      </c>
      <c r="F15" s="139">
        <v>0.23</v>
      </c>
      <c r="H15" s="96"/>
    </row>
    <row r="16" spans="2:8" x14ac:dyDescent="0.25">
      <c r="B16" s="133" t="s">
        <v>179</v>
      </c>
      <c r="C16" s="136">
        <v>0.37</v>
      </c>
      <c r="D16" s="136">
        <f>14.23%+D15</f>
        <v>0.37230000000000002</v>
      </c>
      <c r="E16" s="136">
        <f>D16/C16*100%</f>
        <v>1.0062162162162163</v>
      </c>
      <c r="F16" s="137">
        <v>0.14000000000000001</v>
      </c>
      <c r="H16" s="128"/>
    </row>
    <row r="17" spans="2:6" x14ac:dyDescent="0.25">
      <c r="B17" s="133" t="s">
        <v>180</v>
      </c>
      <c r="C17" s="136">
        <v>0.49</v>
      </c>
      <c r="D17" s="136"/>
      <c r="E17" s="136">
        <f>D17/C17*100%</f>
        <v>0</v>
      </c>
      <c r="F17" s="137">
        <v>0.12</v>
      </c>
    </row>
    <row r="18" spans="2:6" x14ac:dyDescent="0.25">
      <c r="B18" s="133" t="s">
        <v>181</v>
      </c>
      <c r="C18" s="136">
        <v>0.6</v>
      </c>
      <c r="D18" s="136"/>
      <c r="E18" s="136">
        <f>D18/C18*100%</f>
        <v>0</v>
      </c>
      <c r="F18" s="137">
        <v>0.11</v>
      </c>
    </row>
    <row r="19" spans="2:6" x14ac:dyDescent="0.25">
      <c r="B19" s="133" t="s">
        <v>182</v>
      </c>
      <c r="C19" s="137">
        <v>0.6</v>
      </c>
      <c r="D19" s="137">
        <f>+D16</f>
        <v>0.37230000000000002</v>
      </c>
      <c r="E19" s="137">
        <f>(D19*100%)/C19</f>
        <v>0.62050000000000005</v>
      </c>
      <c r="F19" s="137">
        <v>0.6</v>
      </c>
    </row>
  </sheetData>
  <mergeCells count="4">
    <mergeCell ref="B4:B5"/>
    <mergeCell ref="C4:D4"/>
    <mergeCell ref="E4:F4"/>
    <mergeCell ref="G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212" t="s">
        <v>2</v>
      </c>
      <c r="B1" s="214" t="s">
        <v>1</v>
      </c>
      <c r="C1" s="215" t="s">
        <v>3</v>
      </c>
      <c r="D1" s="215"/>
      <c r="E1" s="215"/>
      <c r="F1" s="215"/>
      <c r="G1" s="216" t="s">
        <v>39</v>
      </c>
      <c r="H1" s="217" t="s">
        <v>17</v>
      </c>
      <c r="I1" s="218"/>
      <c r="J1" s="218"/>
      <c r="K1" s="210" t="s">
        <v>20</v>
      </c>
      <c r="L1" s="211"/>
    </row>
    <row r="2" spans="1:12" ht="63.75" customHeight="1" thickBot="1" x14ac:dyDescent="0.3">
      <c r="A2" s="213"/>
      <c r="B2" s="201"/>
      <c r="C2" s="42">
        <v>2019</v>
      </c>
      <c r="D2" s="42">
        <v>2020</v>
      </c>
      <c r="E2" s="42">
        <v>2021</v>
      </c>
      <c r="F2" s="42">
        <v>2022</v>
      </c>
      <c r="G2" s="200"/>
      <c r="H2" s="52" t="s">
        <v>18</v>
      </c>
      <c r="I2" s="53" t="s">
        <v>19</v>
      </c>
      <c r="J2" s="53" t="s">
        <v>24</v>
      </c>
      <c r="K2" s="54" t="s">
        <v>95</v>
      </c>
      <c r="L2" s="55" t="s">
        <v>93</v>
      </c>
    </row>
    <row r="3" spans="1:12" ht="54" x14ac:dyDescent="0.25">
      <c r="A3" s="44" t="s">
        <v>4</v>
      </c>
      <c r="B3" s="30">
        <v>0.6</v>
      </c>
      <c r="C3" s="45">
        <v>0.03</v>
      </c>
      <c r="D3" s="46">
        <v>0.23</v>
      </c>
      <c r="E3" s="46">
        <v>0.5</v>
      </c>
      <c r="F3" s="46">
        <v>0.6</v>
      </c>
      <c r="G3" s="47" t="s">
        <v>23</v>
      </c>
      <c r="H3" s="48">
        <v>0.03</v>
      </c>
      <c r="I3" s="49">
        <v>0.03</v>
      </c>
      <c r="J3" s="50">
        <f t="shared" ref="J3" si="0">I3/H3</f>
        <v>1</v>
      </c>
      <c r="K3" s="51">
        <v>0.23</v>
      </c>
      <c r="L3" s="56">
        <v>5.0000000000000001E-3</v>
      </c>
    </row>
  </sheetData>
  <mergeCells count="6">
    <mergeCell ref="K1:L1"/>
    <mergeCell ref="A1:A2"/>
    <mergeCell ref="B1:B2"/>
    <mergeCell ref="C1:F1"/>
    <mergeCell ref="G1:G2"/>
    <mergeCell ref="H1:J1"/>
  </mergeCells>
  <phoneticPr fontId="9" type="noConversion"/>
  <conditionalFormatting sqref="J3">
    <cfRule type="cellIs" dxfId="20" priority="16" operator="lessThan">
      <formula>0.4</formula>
    </cfRule>
    <cfRule type="cellIs" dxfId="19" priority="17" operator="between">
      <formula>0.4</formula>
      <formula>0.799</formula>
    </cfRule>
    <cfRule type="cellIs" dxfId="18" priority="18" operator="greaterThanOrEqual">
      <formula>0.8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221" t="s">
        <v>2</v>
      </c>
      <c r="B1" s="215" t="s">
        <v>1</v>
      </c>
      <c r="C1" s="215" t="s">
        <v>3</v>
      </c>
      <c r="D1" s="215"/>
      <c r="E1" s="215"/>
      <c r="F1" s="215"/>
      <c r="G1" s="215" t="s">
        <v>39</v>
      </c>
      <c r="H1" s="224" t="s">
        <v>17</v>
      </c>
      <c r="I1" s="224"/>
      <c r="J1" s="224"/>
      <c r="K1" s="219" t="s">
        <v>20</v>
      </c>
      <c r="L1" s="220"/>
    </row>
    <row r="2" spans="1:12" ht="57.75" customHeight="1" thickBot="1" x14ac:dyDescent="0.3">
      <c r="A2" s="222"/>
      <c r="B2" s="223"/>
      <c r="C2" s="57">
        <v>2019</v>
      </c>
      <c r="D2" s="57">
        <v>2020</v>
      </c>
      <c r="E2" s="57">
        <v>2021</v>
      </c>
      <c r="F2" s="57">
        <v>2022</v>
      </c>
      <c r="G2" s="223"/>
      <c r="H2" s="58" t="s">
        <v>18</v>
      </c>
      <c r="I2" s="59" t="s">
        <v>19</v>
      </c>
      <c r="J2" s="59" t="s">
        <v>24</v>
      </c>
      <c r="K2" s="54" t="s">
        <v>95</v>
      </c>
      <c r="L2" s="55" t="s">
        <v>93</v>
      </c>
    </row>
    <row r="3" spans="1:12" ht="54" x14ac:dyDescent="0.25">
      <c r="A3" s="16" t="s">
        <v>4</v>
      </c>
      <c r="B3" s="7">
        <v>0.6</v>
      </c>
      <c r="C3" s="5">
        <v>0.23</v>
      </c>
      <c r="D3" s="5">
        <v>0.37</v>
      </c>
      <c r="E3" s="5">
        <v>0.49</v>
      </c>
      <c r="F3" s="5">
        <v>0.6</v>
      </c>
      <c r="G3" s="32" t="s">
        <v>23</v>
      </c>
      <c r="H3" s="8">
        <f t="shared" ref="H3" si="0">+C3</f>
        <v>0.23</v>
      </c>
      <c r="I3" s="8">
        <v>0.23</v>
      </c>
      <c r="J3" s="12">
        <f t="shared" ref="J3" si="1">I3/H3</f>
        <v>1</v>
      </c>
      <c r="K3" s="8">
        <v>0.37</v>
      </c>
      <c r="L3" s="8">
        <v>8.0000000000000002E-3</v>
      </c>
    </row>
  </sheetData>
  <mergeCells count="6">
    <mergeCell ref="K1:L1"/>
    <mergeCell ref="A1:A2"/>
    <mergeCell ref="B1:B2"/>
    <mergeCell ref="C1:F1"/>
    <mergeCell ref="G1:G2"/>
    <mergeCell ref="H1:J1"/>
  </mergeCells>
  <phoneticPr fontId="9" type="noConversion"/>
  <conditionalFormatting sqref="J3">
    <cfRule type="cellIs" dxfId="17" priority="22" operator="lessThan">
      <formula>0.4</formula>
    </cfRule>
    <cfRule type="cellIs" dxfId="16" priority="23" operator="between">
      <formula>0.4</formula>
      <formula>0.799</formula>
    </cfRule>
    <cfRule type="cellIs" dxfId="15" priority="24" operator="greaterThanOrEqual">
      <formula>0.8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221" t="s">
        <v>2</v>
      </c>
      <c r="B1" s="215" t="s">
        <v>1</v>
      </c>
      <c r="C1" s="215" t="s">
        <v>3</v>
      </c>
      <c r="D1" s="215"/>
      <c r="E1" s="215"/>
      <c r="F1" s="215"/>
      <c r="G1" s="215" t="s">
        <v>39</v>
      </c>
      <c r="H1" s="224" t="s">
        <v>17</v>
      </c>
      <c r="I1" s="224"/>
      <c r="J1" s="224"/>
      <c r="K1" s="219" t="s">
        <v>20</v>
      </c>
      <c r="L1" s="220"/>
    </row>
    <row r="2" spans="1:12" ht="60.75" customHeight="1" thickBot="1" x14ac:dyDescent="0.3">
      <c r="A2" s="222"/>
      <c r="B2" s="223"/>
      <c r="C2" s="57">
        <v>2019</v>
      </c>
      <c r="D2" s="57">
        <v>2020</v>
      </c>
      <c r="E2" s="57">
        <v>2021</v>
      </c>
      <c r="F2" s="57">
        <v>2022</v>
      </c>
      <c r="G2" s="223"/>
      <c r="H2" s="58" t="s">
        <v>18</v>
      </c>
      <c r="I2" s="59" t="s">
        <v>19</v>
      </c>
      <c r="J2" s="59" t="s">
        <v>24</v>
      </c>
      <c r="K2" s="54" t="s">
        <v>95</v>
      </c>
      <c r="L2" s="55" t="s">
        <v>93</v>
      </c>
    </row>
    <row r="3" spans="1:12" ht="36" x14ac:dyDescent="0.25">
      <c r="A3" s="60" t="s">
        <v>4</v>
      </c>
      <c r="B3" s="61">
        <v>0.6</v>
      </c>
      <c r="C3" s="48">
        <v>8.5000000000000006E-2</v>
      </c>
      <c r="D3" s="48">
        <v>0.20100000000000001</v>
      </c>
      <c r="E3" s="48">
        <v>0.35099999999999998</v>
      </c>
      <c r="F3" s="46">
        <v>0.6</v>
      </c>
      <c r="G3" s="62" t="s">
        <v>5</v>
      </c>
      <c r="H3" s="48">
        <v>8.5000000000000006E-2</v>
      </c>
      <c r="I3" s="48">
        <v>2.3E-2</v>
      </c>
      <c r="J3" s="63">
        <f>I3/H3</f>
        <v>0.27058823529411763</v>
      </c>
      <c r="K3" s="48">
        <v>0.20100000000000001</v>
      </c>
      <c r="L3" s="45">
        <v>0</v>
      </c>
    </row>
  </sheetData>
  <mergeCells count="6">
    <mergeCell ref="K1:L1"/>
    <mergeCell ref="A1:A2"/>
    <mergeCell ref="B1:B2"/>
    <mergeCell ref="C1:F1"/>
    <mergeCell ref="G1:G2"/>
    <mergeCell ref="H1:J1"/>
  </mergeCells>
  <conditionalFormatting sqref="J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221" t="s">
        <v>2</v>
      </c>
      <c r="B1" s="215" t="s">
        <v>1</v>
      </c>
      <c r="C1" s="215" t="s">
        <v>3</v>
      </c>
      <c r="D1" s="215"/>
      <c r="E1" s="215"/>
      <c r="F1" s="215"/>
      <c r="G1" s="215" t="s">
        <v>39</v>
      </c>
      <c r="H1" s="224" t="s">
        <v>17</v>
      </c>
      <c r="I1" s="224"/>
      <c r="J1" s="224"/>
      <c r="K1" s="219" t="s">
        <v>20</v>
      </c>
      <c r="L1" s="220"/>
    </row>
    <row r="2" spans="1:12" ht="58.5" customHeight="1" thickBot="1" x14ac:dyDescent="0.3">
      <c r="A2" s="222"/>
      <c r="B2" s="223"/>
      <c r="C2" s="57">
        <v>2019</v>
      </c>
      <c r="D2" s="57">
        <v>2020</v>
      </c>
      <c r="E2" s="57">
        <v>2021</v>
      </c>
      <c r="F2" s="57">
        <v>2022</v>
      </c>
      <c r="G2" s="223"/>
      <c r="H2" s="58" t="s">
        <v>18</v>
      </c>
      <c r="I2" s="59" t="s">
        <v>19</v>
      </c>
      <c r="J2" s="59" t="s">
        <v>24</v>
      </c>
      <c r="K2" s="54" t="s">
        <v>95</v>
      </c>
      <c r="L2" s="55" t="s">
        <v>93</v>
      </c>
    </row>
    <row r="3" spans="1:12" ht="36" x14ac:dyDescent="0.25">
      <c r="A3" s="60" t="s">
        <v>4</v>
      </c>
      <c r="B3" s="61">
        <v>1</v>
      </c>
      <c r="C3" s="45">
        <v>0.05</v>
      </c>
      <c r="D3" s="45">
        <v>0.3</v>
      </c>
      <c r="E3" s="45">
        <v>0.6</v>
      </c>
      <c r="F3" s="46">
        <v>1</v>
      </c>
      <c r="G3" s="64" t="s">
        <v>96</v>
      </c>
      <c r="H3" s="45">
        <v>0.05</v>
      </c>
      <c r="I3" s="45">
        <v>0.05</v>
      </c>
      <c r="J3" s="63">
        <f>I3/H3</f>
        <v>1</v>
      </c>
      <c r="K3" s="45">
        <v>0.3</v>
      </c>
      <c r="L3" s="45">
        <v>0.14000000000000001</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221" t="s">
        <v>2</v>
      </c>
      <c r="B1" s="215" t="s">
        <v>1</v>
      </c>
      <c r="C1" s="215" t="s">
        <v>3</v>
      </c>
      <c r="D1" s="215"/>
      <c r="E1" s="215"/>
      <c r="F1" s="215"/>
      <c r="G1" s="215" t="s">
        <v>39</v>
      </c>
      <c r="H1" s="224" t="s">
        <v>17</v>
      </c>
      <c r="I1" s="224"/>
      <c r="J1" s="224"/>
      <c r="K1" s="219" t="s">
        <v>20</v>
      </c>
      <c r="L1" s="220"/>
    </row>
    <row r="2" spans="1:12" ht="72.75" thickBot="1" x14ac:dyDescent="0.3">
      <c r="A2" s="222"/>
      <c r="B2" s="223"/>
      <c r="C2" s="57">
        <v>2019</v>
      </c>
      <c r="D2" s="57">
        <v>2020</v>
      </c>
      <c r="E2" s="57">
        <v>2021</v>
      </c>
      <c r="F2" s="57">
        <v>2022</v>
      </c>
      <c r="G2" s="223"/>
      <c r="H2" s="58" t="s">
        <v>18</v>
      </c>
      <c r="I2" s="59" t="s">
        <v>19</v>
      </c>
      <c r="J2" s="59" t="s">
        <v>24</v>
      </c>
      <c r="K2" s="54" t="s">
        <v>95</v>
      </c>
      <c r="L2" s="55" t="s">
        <v>93</v>
      </c>
    </row>
    <row r="3" spans="1:12" ht="36" x14ac:dyDescent="0.25">
      <c r="A3" s="65" t="s">
        <v>8</v>
      </c>
      <c r="B3" s="67">
        <v>20</v>
      </c>
      <c r="C3" s="67">
        <v>6</v>
      </c>
      <c r="D3" s="67">
        <v>10</v>
      </c>
      <c r="E3" s="67">
        <v>17</v>
      </c>
      <c r="F3" s="67">
        <v>20</v>
      </c>
      <c r="G3" s="64" t="s">
        <v>5</v>
      </c>
      <c r="H3" s="67">
        <v>6</v>
      </c>
      <c r="I3" s="67">
        <v>8</v>
      </c>
      <c r="J3" s="63">
        <f>I3/H3</f>
        <v>1.3333333333333333</v>
      </c>
      <c r="K3" s="66">
        <v>10</v>
      </c>
      <c r="L3" s="66">
        <v>11</v>
      </c>
    </row>
  </sheetData>
  <mergeCells count="6">
    <mergeCell ref="K1:L1"/>
    <mergeCell ref="A1:A2"/>
    <mergeCell ref="B1:B2"/>
    <mergeCell ref="C1:F1"/>
    <mergeCell ref="G1:G2"/>
    <mergeCell ref="H1:J1"/>
  </mergeCells>
  <conditionalFormatting sqref="J3">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Metas PND IGAC_2020</vt:lpstr>
      <vt:lpstr>Hoja1</vt:lpstr>
      <vt:lpstr>Hoja2</vt:lpstr>
      <vt:lpstr>Hoja3</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XIMENA RUISEÑORA</cp:lastModifiedBy>
  <dcterms:created xsi:type="dcterms:W3CDTF">2019-08-16T15:25:21Z</dcterms:created>
  <dcterms:modified xsi:type="dcterms:W3CDTF">2021-01-15T15:23:30Z</dcterms:modified>
</cp:coreProperties>
</file>