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D:\Natalia Pineda\2021\IGAC\Indicadores\SINERGIA\Reportes avance indicadores SINERGIA\"/>
    </mc:Choice>
  </mc:AlternateContent>
  <xr:revisionPtr revIDLastSave="0" documentId="8_{4584B638-9D77-4893-8373-2A139DFC0AC5}" xr6:coauthVersionLast="47" xr6:coauthVersionMax="47" xr10:uidLastSave="{00000000-0000-0000-0000-000000000000}"/>
  <bookViews>
    <workbookView xWindow="-120" yWindow="-120" windowWidth="20730" windowHeight="11160" xr2:uid="{00000000-000D-0000-FFFF-FFFF00000000}"/>
  </bookViews>
  <sheets>
    <sheet name="Seguimiento I semestre PND_2021" sheetId="1" r:id="rId1"/>
    <sheet name="Hoja4" sheetId="15" r:id="rId2"/>
    <sheet name="Rezagos Metas PND" sheetId="14" state="hidden" r:id="rId3"/>
    <sheet name="Hoja1" sheetId="11" state="hidden" r:id="rId4"/>
    <sheet name="Hoja2" sheetId="12" state="hidden" r:id="rId5"/>
    <sheet name="Hoja3" sheetId="13" state="hidden" r:id="rId6"/>
    <sheet name="Cartografía" sheetId="2" state="hidden" r:id="rId7"/>
    <sheet name="Caracterización geográfica" sheetId="4" state="hidden" r:id="rId8"/>
    <sheet name="Área con catastro actualiz" sheetId="5" state="hidden" r:id="rId9"/>
    <sheet name="SINIC" sheetId="6" state="hidden" r:id="rId10"/>
    <sheet name="Gestores habili" sheetId="7" state="hidden" r:id="rId11"/>
    <sheet name="Geoservicios" sheetId="8" state="hidden" r:id="rId12"/>
    <sheet name="PDET Actuali" sheetId="10" state="hidden" r:id="rId13"/>
  </sheets>
  <definedNames>
    <definedName name="_xlnm._FilterDatabase" localSheetId="2" hidden="1">'Rezagos Metas PND'!$A$3:$CC$11</definedName>
    <definedName name="_xlnm._FilterDatabase" localSheetId="0" hidden="1">'Seguimiento I semestre PND_2021'!$B$3:$DG$11</definedName>
  </definedNames>
  <calcPr calcId="181029"/>
</workbook>
</file>

<file path=xl/calcChain.xml><?xml version="1.0" encoding="utf-8"?>
<calcChain xmlns="http://schemas.openxmlformats.org/spreadsheetml/2006/main">
  <c r="DF6" i="1" l="1"/>
  <c r="DE6" i="1"/>
  <c r="DC6" i="1"/>
  <c r="DC4" i="1"/>
  <c r="DA11" i="1"/>
  <c r="DF10" i="1"/>
  <c r="DC10" i="1"/>
  <c r="DA10" i="1"/>
  <c r="CO10" i="1"/>
  <c r="CH10" i="1"/>
  <c r="BY10" i="1"/>
  <c r="BT10" i="1"/>
  <c r="DF7" i="1"/>
  <c r="DE7" i="1"/>
  <c r="DD7" i="1"/>
  <c r="DC7" i="1"/>
  <c r="DF5" i="1"/>
  <c r="DE5" i="1"/>
  <c r="DC5" i="1"/>
  <c r="DA5" i="1"/>
  <c r="DF9" i="1"/>
  <c r="DC9" i="1"/>
  <c r="DA9" i="1"/>
  <c r="DC8" i="1"/>
  <c r="DF8" i="1" s="1"/>
  <c r="DA8" i="1"/>
  <c r="CT11" i="1"/>
  <c r="CY10" i="1"/>
  <c r="CV10" i="1"/>
  <c r="CT10" i="1"/>
  <c r="CW6" i="1"/>
  <c r="CY6" i="1" s="1"/>
  <c r="CV6" i="1"/>
  <c r="CO6" i="1"/>
  <c r="CW4" i="1"/>
  <c r="CY4" i="1" s="1"/>
  <c r="CV4" i="1"/>
  <c r="CR6" i="1"/>
  <c r="CQ6" i="1"/>
  <c r="DD4" i="1" l="1"/>
  <c r="CX6" i="1"/>
  <c r="CX4" i="1"/>
  <c r="DE4" i="1" l="1"/>
  <c r="DF4" i="1"/>
  <c r="CY9" i="1"/>
  <c r="CV9" i="1"/>
  <c r="CT9" i="1"/>
  <c r="CX7" i="1"/>
  <c r="CY7" i="1"/>
  <c r="CX5" i="1"/>
  <c r="CV7" i="1"/>
  <c r="CW7" i="1"/>
  <c r="CY5" i="1"/>
  <c r="CV5" i="1"/>
  <c r="CR4" i="1"/>
  <c r="CQ4" i="1"/>
  <c r="CO4" i="1"/>
  <c r="CR9" i="1"/>
  <c r="CO9" i="1"/>
  <c r="CM9" i="1"/>
  <c r="CR7" i="1"/>
  <c r="CQ7" i="1"/>
  <c r="CC7" i="1"/>
  <c r="CJ7" i="1"/>
  <c r="CP7" i="1"/>
  <c r="CI7" i="1"/>
  <c r="CO7" i="1"/>
  <c r="CM7" i="1"/>
  <c r="CR5" i="1"/>
  <c r="CQ5" i="1"/>
  <c r="CO5" i="1"/>
  <c r="CM5" i="1"/>
  <c r="CM8" i="1"/>
  <c r="CD11" i="1"/>
  <c r="CM11" i="1"/>
  <c r="CR10" i="1"/>
  <c r="CM10" i="1"/>
  <c r="H7" i="15"/>
  <c r="H6" i="15"/>
  <c r="H5" i="15"/>
  <c r="H4" i="15"/>
  <c r="H3" i="15"/>
  <c r="CA11" i="1"/>
  <c r="DC11" i="1" s="1"/>
  <c r="BT11" i="1"/>
  <c r="CF11" i="1"/>
  <c r="CK10" i="1"/>
  <c r="CF10" i="1"/>
  <c r="BR10" i="1"/>
  <c r="CK9" i="1"/>
  <c r="CH9" i="1"/>
  <c r="CF9" i="1"/>
  <c r="CF8" i="1"/>
  <c r="BU7" i="1"/>
  <c r="CB7" i="1"/>
  <c r="CK7" i="1"/>
  <c r="CH7" i="1"/>
  <c r="CD7" i="1"/>
  <c r="CA7" i="1"/>
  <c r="CK5" i="1"/>
  <c r="CJ5" i="1"/>
  <c r="CH6" i="1"/>
  <c r="CH5" i="1"/>
  <c r="CH4" i="1"/>
  <c r="BY9" i="1"/>
  <c r="BR9" i="1"/>
  <c r="CH11" i="1" l="1"/>
  <c r="CV11" i="1"/>
  <c r="CO11" i="1"/>
  <c r="CA9" i="1"/>
  <c r="BW9" i="1"/>
  <c r="CD10" i="1"/>
  <c r="BW11" i="1"/>
  <c r="CD9" i="1"/>
  <c r="CD5" i="1"/>
  <c r="BY11" i="1"/>
  <c r="CA10" i="1"/>
  <c r="BW10" i="1"/>
  <c r="BY8" i="1"/>
  <c r="BM4" i="1"/>
  <c r="CT4" i="1" l="1"/>
  <c r="DA4" i="1"/>
  <c r="CF4" i="1"/>
  <c r="CM4" i="1"/>
  <c r="BF7" i="1"/>
  <c r="BW7" i="1"/>
  <c r="CA5" i="1"/>
  <c r="BW5" i="1" l="1"/>
  <c r="CC5" i="1"/>
  <c r="BD5" i="1"/>
  <c r="BV7" i="1"/>
  <c r="BM5" i="1"/>
  <c r="BV5" i="1"/>
  <c r="BV4" i="1"/>
  <c r="CA6" i="1"/>
  <c r="CA4" i="1"/>
  <c r="BM6" i="1"/>
  <c r="BY4" i="1"/>
  <c r="CT6" i="1" l="1"/>
  <c r="DA6" i="1"/>
  <c r="CF6" i="1"/>
  <c r="CM6" i="1"/>
  <c r="BY5" i="1"/>
  <c r="CF5" i="1"/>
  <c r="BV6" i="1"/>
  <c r="CB6" i="1"/>
  <c r="BW6" i="1"/>
  <c r="BW4" i="1"/>
  <c r="CB4" i="1"/>
  <c r="CI4" i="1" s="1"/>
  <c r="BR11" i="1"/>
  <c r="BJ10" i="1"/>
  <c r="BT9" i="1"/>
  <c r="BT8" i="1"/>
  <c r="BT6" i="1"/>
  <c r="BT4" i="1"/>
  <c r="BR4" i="1"/>
  <c r="BT7" i="1"/>
  <c r="BT5" i="1"/>
  <c r="BM7" i="1"/>
  <c r="BD7" i="1"/>
  <c r="BJ8" i="1"/>
  <c r="BF8" i="1"/>
  <c r="V8" i="1"/>
  <c r="BJ11" i="1"/>
  <c r="CY11" i="1" s="1"/>
  <c r="DF11" i="1" s="1"/>
  <c r="BF11" i="1"/>
  <c r="V11" i="1"/>
  <c r="V13" i="1"/>
  <c r="V14" i="1"/>
  <c r="L7" i="13"/>
  <c r="L6" i="13"/>
  <c r="BF10" i="1"/>
  <c r="V10" i="1"/>
  <c r="K7" i="13"/>
  <c r="K6" i="13"/>
  <c r="K5" i="13"/>
  <c r="K4" i="13"/>
  <c r="BJ6" i="1"/>
  <c r="BF6" i="1"/>
  <c r="P4" i="12"/>
  <c r="O4" i="12"/>
  <c r="N4" i="12"/>
  <c r="M4" i="12"/>
  <c r="I14" i="12"/>
  <c r="BK4" i="1"/>
  <c r="BJ4" i="1"/>
  <c r="I7" i="12"/>
  <c r="BF4" i="1"/>
  <c r="V6" i="1"/>
  <c r="V4" i="1"/>
  <c r="CK11" i="1" l="1"/>
  <c r="CR11" i="1"/>
  <c r="CD6" i="1"/>
  <c r="CI6" i="1"/>
  <c r="CJ4" i="1"/>
  <c r="CK4" i="1"/>
  <c r="CC6" i="1"/>
  <c r="CD8" i="1"/>
  <c r="BW8" i="1"/>
  <c r="CA8" i="1" s="1"/>
  <c r="CC4" i="1"/>
  <c r="CD4" i="1"/>
  <c r="BR6" i="1"/>
  <c r="BY6" i="1"/>
  <c r="BG7" i="1"/>
  <c r="BG5" i="1"/>
  <c r="BH5" i="1"/>
  <c r="BJ9" i="1"/>
  <c r="BF9" i="1"/>
  <c r="V9" i="1"/>
  <c r="DB1" i="1"/>
  <c r="CY1" i="1"/>
  <c r="BJ7" i="1"/>
  <c r="V7" i="1"/>
  <c r="BJ5" i="1"/>
  <c r="BF5" i="1"/>
  <c r="V5" i="1"/>
  <c r="Q5" i="14"/>
  <c r="BE4" i="14"/>
  <c r="AV4" i="14"/>
  <c r="BD8" i="14"/>
  <c r="BB8" i="14"/>
  <c r="AZ8" i="14"/>
  <c r="BD4" i="14"/>
  <c r="AZ4" i="14"/>
  <c r="CV8" i="1" l="1"/>
  <c r="CY8" i="1"/>
  <c r="CO8" i="1"/>
  <c r="CR8" i="1"/>
  <c r="CJ6" i="1"/>
  <c r="CK6" i="1"/>
  <c r="CK8" i="1"/>
  <c r="CH8" i="1"/>
  <c r="DA1" i="1"/>
  <c r="BD6" i="14"/>
  <c r="Q4" i="14"/>
  <c r="T4" i="14"/>
  <c r="W4" i="14"/>
  <c r="Z4" i="14"/>
  <c r="AC4" i="14"/>
  <c r="AF4" i="14"/>
  <c r="AI4" i="14"/>
  <c r="AL4" i="14"/>
  <c r="AO4" i="14"/>
  <c r="T5" i="14"/>
  <c r="W5" i="14"/>
  <c r="Z5" i="14"/>
  <c r="AC5" i="14"/>
  <c r="AF5" i="14"/>
  <c r="AI5" i="14"/>
  <c r="Q6" i="14"/>
  <c r="T6" i="14"/>
  <c r="W6" i="14"/>
  <c r="Z6" i="14"/>
  <c r="AC6" i="14"/>
  <c r="AF6" i="14"/>
  <c r="AI6" i="14"/>
  <c r="AL6" i="14"/>
  <c r="AO6" i="14"/>
  <c r="Q7" i="14"/>
  <c r="T7" i="14"/>
  <c r="W7" i="14"/>
  <c r="Z7" i="14"/>
  <c r="AC7" i="14"/>
  <c r="AF7" i="14"/>
  <c r="AI7" i="14"/>
  <c r="AO7" i="14"/>
  <c r="Q8" i="14"/>
  <c r="T8" i="14"/>
  <c r="W8" i="14"/>
  <c r="Z8" i="14"/>
  <c r="AC8" i="14"/>
  <c r="AF8" i="14"/>
  <c r="AI8" i="14"/>
  <c r="Q9" i="14"/>
  <c r="T9" i="14"/>
  <c r="W9" i="14"/>
  <c r="Z9" i="14"/>
  <c r="AC9" i="14"/>
  <c r="AF9" i="14"/>
  <c r="AI9" i="14"/>
  <c r="AL9" i="14"/>
  <c r="AO9" i="14"/>
  <c r="Q10" i="14"/>
  <c r="T10" i="14"/>
  <c r="W10" i="14"/>
  <c r="Z10" i="14"/>
  <c r="AC10" i="14"/>
  <c r="AF10" i="14"/>
  <c r="AI10" i="14"/>
  <c r="AL10" i="14"/>
  <c r="AO10" i="14"/>
  <c r="T11" i="14"/>
  <c r="W11" i="14"/>
  <c r="Z11" i="14"/>
  <c r="AC11" i="14"/>
  <c r="AF11" i="14"/>
  <c r="AI11" i="14"/>
  <c r="AL11" i="14"/>
  <c r="AO11" i="14"/>
  <c r="AX11" i="14"/>
  <c r="AV11" i="14"/>
  <c r="AR11" i="14"/>
  <c r="O11" i="14"/>
  <c r="AX10" i="14"/>
  <c r="AU10" i="14"/>
  <c r="AV10" i="14" s="1"/>
  <c r="AR10" i="14"/>
  <c r="M10" i="14"/>
  <c r="O10" i="14" s="1"/>
  <c r="AW9" i="14"/>
  <c r="AX9" i="14" s="1"/>
  <c r="AV9" i="14"/>
  <c r="AR9" i="14"/>
  <c r="M9" i="14"/>
  <c r="O9" i="14" s="1"/>
  <c r="AX8" i="14"/>
  <c r="AV8" i="14"/>
  <c r="M8" i="14"/>
  <c r="O8" i="14" s="1"/>
  <c r="AR7" i="14"/>
  <c r="M7" i="14"/>
  <c r="O7" i="14" s="1"/>
  <c r="AX6" i="14"/>
  <c r="AV6" i="14"/>
  <c r="AR6" i="14"/>
  <c r="M6" i="14"/>
  <c r="O6" i="14" s="1"/>
  <c r="M5" i="14"/>
  <c r="O5" i="14" s="1"/>
  <c r="AX4" i="14"/>
  <c r="AR4" i="14"/>
  <c r="O4" i="14"/>
  <c r="AT9" i="1"/>
  <c r="AQ9" i="1"/>
  <c r="AN9" i="1"/>
  <c r="AK9" i="1"/>
  <c r="AH9" i="1"/>
  <c r="AE9" i="1"/>
  <c r="AB9" i="1"/>
  <c r="AB8" i="1"/>
  <c r="AE6" i="1"/>
  <c r="AB6" i="1"/>
  <c r="AE4" i="1"/>
  <c r="AB4" i="1"/>
  <c r="T4" i="1"/>
  <c r="AE11" i="1"/>
  <c r="AT5" i="14" l="1"/>
  <c r="AN10" i="1"/>
  <c r="AZ10" i="1"/>
  <c r="AW10" i="1"/>
  <c r="AT10" i="1"/>
  <c r="AQ10" i="1"/>
  <c r="AK10" i="1"/>
  <c r="AH10" i="1"/>
  <c r="AE10" i="1"/>
  <c r="AB10" i="1"/>
  <c r="E18" i="13"/>
  <c r="E17" i="13"/>
  <c r="D16" i="13"/>
  <c r="E16" i="13" s="1"/>
  <c r="E15" i="13"/>
  <c r="H10" i="12"/>
  <c r="H22" i="13"/>
  <c r="E18" i="12"/>
  <c r="E17" i="12"/>
  <c r="D16" i="12"/>
  <c r="D19" i="12" s="1"/>
  <c r="E19" i="12" s="1"/>
  <c r="E15" i="12"/>
  <c r="D19" i="13" l="1"/>
  <c r="E19" i="13" s="1"/>
  <c r="E16" i="12"/>
  <c r="AZ7" i="1"/>
  <c r="AW9" i="1"/>
  <c r="AW7" i="1"/>
  <c r="AQ7" i="1"/>
  <c r="AN7" i="1"/>
  <c r="AK7" i="1"/>
  <c r="AZ11" i="1"/>
  <c r="AW11" i="1"/>
  <c r="AT11" i="1"/>
  <c r="AQ11" i="1"/>
  <c r="AB11" i="1"/>
  <c r="AZ6" i="1"/>
  <c r="AW6" i="1"/>
  <c r="AT6" i="1"/>
  <c r="AZ4" i="1"/>
  <c r="AW4" i="1"/>
  <c r="AT4" i="1"/>
  <c r="AQ4" i="1"/>
  <c r="AH4" i="1"/>
  <c r="AZ9" i="1" l="1"/>
  <c r="AQ8" i="1" l="1"/>
  <c r="AQ6" i="1"/>
  <c r="AQ5" i="1"/>
  <c r="AN11" i="1" l="1"/>
  <c r="AN8" i="1"/>
  <c r="AN6" i="1"/>
  <c r="AN4" i="1"/>
  <c r="AN5" i="1" l="1"/>
  <c r="AK5" i="1" l="1"/>
  <c r="AK6" i="1"/>
  <c r="AK8" i="1"/>
  <c r="AK11" i="1"/>
  <c r="AK4" i="1"/>
  <c r="J3" i="10" l="1"/>
  <c r="I3" i="8"/>
  <c r="J3" i="7"/>
  <c r="J3" i="6"/>
  <c r="J3" i="5"/>
  <c r="H3" i="4"/>
  <c r="J3" i="4" s="1"/>
  <c r="J3" i="2"/>
  <c r="AH11" i="1" l="1"/>
  <c r="AE8" i="1" l="1"/>
  <c r="AH8" i="1"/>
  <c r="AH7" i="1"/>
  <c r="AE7" i="1"/>
  <c r="AB7" i="1"/>
  <c r="AE5" i="1"/>
  <c r="AB5" i="1"/>
  <c r="AH6" i="1"/>
  <c r="AH5" i="1" l="1"/>
  <c r="T11" i="1" l="1"/>
  <c r="P10" i="1" l="1"/>
  <c r="T10" i="1" s="1"/>
  <c r="P9" i="1"/>
  <c r="T9" i="1" s="1"/>
  <c r="P8" i="1"/>
  <c r="T8" i="1" s="1"/>
  <c r="P7" i="1"/>
  <c r="T7" i="1" s="1"/>
  <c r="P6" i="1"/>
  <c r="T6" i="1" s="1"/>
  <c r="P5" i="1"/>
  <c r="T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Natalia Pineda</author>
  </authors>
  <commentList>
    <comment ref="Z4" authorId="0" shapeId="0" xr:uid="{49C09B62-9E1C-470C-ADFE-C39D486433BC}">
      <text>
        <r>
          <rPr>
            <sz val="9"/>
            <color indexed="81"/>
            <rFont val="Tahoma"/>
            <family val="2"/>
          </rPr>
          <t xml:space="preserve">
20%</t>
        </r>
      </text>
    </comment>
    <comment ref="M10" authorId="1" shapeId="0" xr:uid="{9018FFCB-D1FF-4F6C-A81B-940EC172BC3C}">
      <text>
        <r>
          <rPr>
            <b/>
            <sz val="9"/>
            <color indexed="81"/>
            <rFont val="Tahoma"/>
            <charset val="1"/>
          </rPr>
          <t>Natalia Pineda:</t>
        </r>
        <r>
          <rPr>
            <sz val="9"/>
            <color indexed="81"/>
            <rFont val="Tahoma"/>
            <charset val="1"/>
          </rPr>
          <t xml:space="preserve">
Se ajusta la meta a 500 geoservicios, a partir del mes de junio 2021</t>
        </r>
      </text>
    </comment>
    <comment ref="N10" authorId="1" shapeId="0" xr:uid="{D07C5DB3-B45C-4B70-926B-EBCBF48906B2}">
      <text>
        <r>
          <rPr>
            <b/>
            <sz val="9"/>
            <color indexed="81"/>
            <rFont val="Tahoma"/>
            <charset val="1"/>
          </rPr>
          <t>Natalia Pineda:</t>
        </r>
        <r>
          <rPr>
            <sz val="9"/>
            <color indexed="81"/>
            <rFont val="Tahoma"/>
            <charset val="1"/>
          </rPr>
          <t xml:space="preserve">
Se ajusta la meta a 500 geoservicios, a partir del mes de junio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XIMENA RUISEÑORA</author>
  </authors>
  <commentList>
    <comment ref="G4" authorId="0" shapeId="0" xr:uid="{24212237-61B7-4331-ACAA-FFBD61BB5921}">
      <text>
        <r>
          <rPr>
            <sz val="9"/>
            <color indexed="81"/>
            <rFont val="Tahoma"/>
            <family val="2"/>
          </rPr>
          <t xml:space="preserve">
</t>
        </r>
        <r>
          <rPr>
            <sz val="14"/>
            <color indexed="81"/>
            <rFont val="Tahoma"/>
            <family val="2"/>
          </rPr>
          <t>27%: SOLO 2021</t>
        </r>
      </text>
    </comment>
    <comment ref="R4" authorId="0" shapeId="0" xr:uid="{BE81692E-649F-4E22-ADF0-4D0FDD882735}">
      <text>
        <r>
          <rPr>
            <sz val="9"/>
            <color indexed="81"/>
            <rFont val="Tahoma"/>
            <family val="2"/>
          </rPr>
          <t xml:space="preserve">
20%</t>
        </r>
      </text>
    </comment>
    <comment ref="AW4" authorId="0" shapeId="0" xr:uid="{C0C3FFB6-362B-4E9B-9D10-89B2DB0A373B}">
      <text>
        <r>
          <rPr>
            <b/>
            <sz val="9"/>
            <color indexed="81"/>
            <rFont val="Tahoma"/>
            <family val="2"/>
          </rPr>
          <t xml:space="preserve">XIMENA </t>
        </r>
        <r>
          <rPr>
            <sz val="9"/>
            <color indexed="81"/>
            <rFont val="Tahoma"/>
            <family val="2"/>
          </rPr>
          <t xml:space="preserve">
Ver hoja 2
</t>
        </r>
      </text>
    </comment>
    <comment ref="G6" authorId="0" shapeId="0" xr:uid="{587DF1D6-9916-41A9-905E-CC210CF12B1C}">
      <text>
        <r>
          <rPr>
            <sz val="14"/>
            <color indexed="81"/>
            <rFont val="Tahoma"/>
            <family val="2"/>
          </rPr>
          <t xml:space="preserve">
12%: SOLO 2021</t>
        </r>
      </text>
    </comment>
    <comment ref="AW6" authorId="0" shapeId="0" xr:uid="{3A792C62-AB5C-4D61-9903-14E80FA1463D}">
      <text>
        <r>
          <rPr>
            <b/>
            <sz val="9"/>
            <color indexed="81"/>
            <rFont val="Tahoma"/>
            <family val="2"/>
          </rPr>
          <t xml:space="preserve">XIMENA </t>
        </r>
        <r>
          <rPr>
            <sz val="9"/>
            <color indexed="81"/>
            <rFont val="Tahoma"/>
            <family val="2"/>
          </rPr>
          <t xml:space="preserve">
Este valor incluye base, (ver hoja 3)</t>
        </r>
      </text>
    </comment>
  </commentList>
</comments>
</file>

<file path=xl/sharedStrings.xml><?xml version="1.0" encoding="utf-8"?>
<sst xmlns="http://schemas.openxmlformats.org/spreadsheetml/2006/main" count="831" uniqueCount="345">
  <si>
    <t>PACTOS DEL PND</t>
  </si>
  <si>
    <t>META CUATRIENIO</t>
  </si>
  <si>
    <t>UNIDAD DE MEDIDA</t>
  </si>
  <si>
    <t>Meta anualizada</t>
  </si>
  <si>
    <t>Porcentaje</t>
  </si>
  <si>
    <t>Subdirección de Catastro</t>
  </si>
  <si>
    <t>Porcentaje del área geográfica con caracterización geográfica</t>
  </si>
  <si>
    <t>Porcentaje de área geográfica en municipios PDET con catastro actualizado</t>
  </si>
  <si>
    <t>Número</t>
  </si>
  <si>
    <t>Gestores catastrales habilitados</t>
  </si>
  <si>
    <t>Gestores habilitados</t>
  </si>
  <si>
    <t>Geoservicios publicados y disponibles</t>
  </si>
  <si>
    <t>CIAF</t>
  </si>
  <si>
    <t>INDICADORES</t>
  </si>
  <si>
    <t>Porcentaje del área geográfica con catastro actualizado  </t>
  </si>
  <si>
    <t xml:space="preserve">Porcentaje de implementación del Sistema Nacional de Información de Catastro Multipropósito </t>
  </si>
  <si>
    <t>Porcentaje del área geográfica con cartografía básica a las escalas y con la temporalidad adecuadas</t>
  </si>
  <si>
    <t>SEGUIMIENTO 2019</t>
  </si>
  <si>
    <t>Meta 2019</t>
  </si>
  <si>
    <t>Avance cuantitativo</t>
  </si>
  <si>
    <t>SEGUIMIENTO 2020</t>
  </si>
  <si>
    <t>% de avance de meta a marzo de 2020</t>
  </si>
  <si>
    <t xml:space="preserve">Subdirección de Catastro </t>
  </si>
  <si>
    <t xml:space="preserve">Subdirección de Geografía y Cartografía </t>
  </si>
  <si>
    <t>% de avance a diciembre de 2019</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</si>
  <si>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</si>
  <si>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</si>
  <si>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</si>
  <si>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</si>
  <si>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</si>
  <si>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</si>
  <si>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</si>
  <si>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Observaciones</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</si>
  <si>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</si>
  <si>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</si>
  <si>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</si>
  <si>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</si>
  <si>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</si>
  <si>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</si>
  <si>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</si>
  <si>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</si>
  <si>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</si>
  <si>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</si>
  <si>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</si>
  <si>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</si>
  <si>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Oficina de Informática y Telecomunicaciones</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</si>
  <si>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</si>
  <si>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</si>
  <si>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</si>
  <si>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</si>
  <si>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</si>
  <si>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</si>
  <si>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</si>
  <si>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</si>
  <si>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</si>
  <si>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</si>
  <si>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</si>
  <si>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</si>
  <si>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</si>
  <si>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</si>
  <si>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</si>
  <si>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</si>
  <si>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</si>
  <si>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</si>
  <si>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</si>
  <si>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</si>
  <si>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</si>
  <si>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</si>
  <si>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68.457.962 ha</t>
  </si>
  <si>
    <t>39.084.775,05 Ha</t>
  </si>
  <si>
    <t>100%
*NUPRE
*Interrelación catastro-registro
* Ajustes CICA</t>
  </si>
  <si>
    <t>Avance cuantitativo a mayo de 2020</t>
  </si>
  <si>
    <t>% de avance de meta a mayo de 2020</t>
  </si>
  <si>
    <t>Avance cualitativo a mayo</t>
  </si>
  <si>
    <t>Acuerdos MPC</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</si>
  <si>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</si>
  <si>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</si>
  <si>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</si>
  <si>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</si>
  <si>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</si>
  <si>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</si>
  <si>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</si>
  <si>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</si>
  <si>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</si>
  <si>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</si>
  <si>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</si>
  <si>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</si>
  <si>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t>
  </si>
  <si>
    <t>Meta física 2020</t>
  </si>
  <si>
    <t>Avance cuantitativo a junio de 2020</t>
  </si>
  <si>
    <t>% de avance de meta a junio de 2020</t>
  </si>
  <si>
    <t>Avance cualitativo a junio</t>
  </si>
  <si>
    <t>Meta 2020</t>
  </si>
  <si>
    <t>Oficina de Informática</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</si>
  <si>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</si>
  <si>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</si>
  <si>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</si>
  <si>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</si>
  <si>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</si>
  <si>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</si>
  <si>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</si>
  <si>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FÍSICA CUATRIENIO</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</si>
  <si>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</si>
  <si>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</si>
  <si>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</si>
  <si>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</si>
  <si>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</si>
  <si>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</si>
  <si>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</si>
  <si>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</si>
  <si>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</si>
  <si>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</si>
  <si>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</si>
  <si>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</si>
  <si>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</si>
  <si>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</si>
  <si>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</si>
  <si>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</si>
  <si>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</si>
  <si>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</si>
  <si>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</si>
  <si>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</si>
  <si>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</si>
  <si>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</si>
  <si>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</si>
  <si>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</si>
  <si>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</si>
  <si>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</si>
  <si>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</si>
  <si>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</si>
  <si>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</si>
  <si>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</si>
  <si>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</si>
  <si>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</si>
  <si>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</si>
  <si>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</si>
  <si>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</si>
  <si>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</si>
  <si>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</si>
  <si>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</si>
  <si>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</si>
  <si>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</si>
  <si>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</si>
  <si>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</si>
  <si>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</si>
  <si>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</si>
  <si>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</si>
  <si>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</si>
  <si>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</si>
  <si>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</si>
  <si>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</si>
  <si>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</si>
  <si>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</si>
  <si>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</si>
  <si>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</si>
  <si>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</si>
  <si>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 de avance de meta a Diciembre de 2020</t>
  </si>
  <si>
    <t>Avance cualitativo a Diciembre</t>
  </si>
  <si>
    <t xml:space="preserve">Avance cuantitativo a Diciembre 2020 </t>
  </si>
  <si>
    <t>Avance cuantitativo acumulado vigencias 2019-2020</t>
  </si>
  <si>
    <t>AÑO</t>
  </si>
  <si>
    <t>META</t>
  </si>
  <si>
    <t>EJECUTADO</t>
  </si>
  <si>
    <t>ACUMULADO</t>
  </si>
  <si>
    <t>%</t>
  </si>
  <si>
    <t>Área (ha)</t>
  </si>
  <si>
    <t>Línea base</t>
  </si>
  <si>
    <t>CARTOGRAFÍA</t>
  </si>
  <si>
    <t>Año</t>
  </si>
  <si>
    <t>Meta</t>
  </si>
  <si>
    <t>Avance</t>
  </si>
  <si>
    <t>% Avance</t>
  </si>
  <si>
    <t>Meta real</t>
  </si>
  <si>
    <t>Línea Base</t>
  </si>
  <si>
    <t>-</t>
  </si>
  <si>
    <t>Ene-Dic 2019</t>
  </si>
  <si>
    <t>Ene-Dic 2020</t>
  </si>
  <si>
    <t>Ene-Dic 2021</t>
  </si>
  <si>
    <t>Ene-Dic 2022</t>
  </si>
  <si>
    <t>2018-2022</t>
  </si>
  <si>
    <t>12.5%</t>
  </si>
  <si>
    <t>10.5%</t>
  </si>
  <si>
    <t>CARACTERIZACIÓN</t>
  </si>
  <si>
    <r>
      <rPr>
        <b/>
        <sz val="12"/>
        <color theme="1"/>
        <rFont val="Arial"/>
        <family val="2"/>
      </rPr>
      <t>Para la vigencia 2020, respecto a la implementación del Sistema Nacional de Información de Catastro Multipróposito, se logró un porcentaje  de cumplimiento del 15% y un acumulado para las vigencias 2019-2020 del 20%</t>
    </r>
    <r>
      <rPr>
        <sz val="12"/>
        <color theme="1"/>
        <rFont val="Arial"/>
        <family val="2"/>
      </rPr>
      <t>. En resumen, con relacion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5. Protocolo de asignación NUPRE: Se elaboró el documento de protocolo de asignación de NUPRE (Identificador único predial), en este documento se define la estrategia de entrega a los gestores catastrales.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8. Documento de diseño de Arquitectura de Referencia SNC</t>
    </r>
  </si>
  <si>
    <r>
      <t xml:space="preserve">5% (Año 2019) + 15%(Año 2020)= </t>
    </r>
    <r>
      <rPr>
        <b/>
        <sz val="12"/>
        <color theme="1"/>
        <rFont val="Arial"/>
        <family val="2"/>
      </rPr>
      <t>20% (Acumulado)</t>
    </r>
  </si>
  <si>
    <r>
      <t>8 (Año 2019) + 11 (Año 2020) =</t>
    </r>
    <r>
      <rPr>
        <b/>
        <sz val="12"/>
        <color theme="1"/>
        <rFont val="Arial"/>
        <family val="2"/>
      </rPr>
      <t xml:space="preserve"> 19 (Acumulado)</t>
    </r>
  </si>
  <si>
    <r>
      <t xml:space="preserve">Se emitió acto administrativo de Habilitación al Municipio de Sincelejo-Sucre, mediante Resolución 1030 del 10 de  diciembre de 2020.
Se emitió acto administrativo de Habilitación al Municipio de Sesquilé-Cundinamarca, mediante Resolución 1057 del 16 de  diciembre de 2020.
De acuerdo con lo anterior, en diciembre se habilitaron 2 gestores catastrales, quedando a la fecha 19 gestores catastrales habilitados.
</t>
    </r>
    <r>
      <rPr>
        <b/>
        <sz val="12"/>
        <color theme="1"/>
        <rFont val="Arial"/>
        <family val="2"/>
      </rPr>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decir,al 31 de diciembre de 2020  se ha cumplido la meta del cuatrienio en un 95% </t>
    </r>
  </si>
  <si>
    <t>Se estima que los Gestores catastrales entregarán la información el 20 de enero , una vez se realice la revisión  en el sistema nacional catastral con el fin de obtener la información del área geográfica con catastro actualizado y reportar las cifras finales corte diciembre 2020</t>
  </si>
  <si>
    <t>Ver Observación en "Avance Cualitativo a Diciembre"</t>
  </si>
  <si>
    <t>% avance acumulado
vigencias 2019 -2020</t>
  </si>
  <si>
    <t>Este indicador se debe revisar con DNP para verificar si es de tipo acumulación o suma</t>
  </si>
  <si>
    <r>
      <t xml:space="preserve">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t>
    </r>
    <r>
      <rPr>
        <b/>
        <sz val="12"/>
        <color theme="1"/>
        <rFont val="Arial"/>
        <family val="2"/>
      </rPr>
      <t>Por otra parte, para la vigencia 2020 se programó una meta del 30% de implementación del programa marco de operación del sistema de información Geográfico -SIG Indígena, la cual se cumplió al 100%</t>
    </r>
    <r>
      <rPr>
        <sz val="12"/>
        <color theme="1"/>
        <rFont val="Arial"/>
        <family val="2"/>
      </rPr>
      <t xml:space="preserve"> desarrollando las siguientes etapas: 1.) Planeación del proyecto vigencia 2020 (8%), 2.) Análisis de nuevas funcionalidades para el SIG indígenas (9%),3.) Transferencia de Conocimiento (10%) y 4.) Soporte de funcionamiento del SIG Indígenas (3%)         
        </t>
    </r>
  </si>
  <si>
    <t>Pendiente</t>
  </si>
  <si>
    <t>REZAGO 2019</t>
  </si>
  <si>
    <t>REZAGO 2020</t>
  </si>
  <si>
    <t>SIN REZAGO</t>
  </si>
  <si>
    <t>REZAGO CUATRIENIO</t>
  </si>
  <si>
    <t>NUEVA META 2021</t>
  </si>
  <si>
    <t>REZAGO 2020 (ha)</t>
  </si>
  <si>
    <t>REZAGO CUATRIENIO (ha)</t>
  </si>
  <si>
    <t>N/A</t>
  </si>
  <si>
    <t>PENDIENTE PARA CUMPLIR CUATRIENIO</t>
  </si>
  <si>
    <t>CUMPLIDA</t>
  </si>
  <si>
    <t>NUEVA META 2021 (ha)</t>
  </si>
  <si>
    <t>REZAGO METAS</t>
  </si>
  <si>
    <t>Para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acumulado a la fecha de 13.418.129 ha.
Resultado de la gestión al cierre de la vigencia 2020, el IGAC logró un 11,76% del área geográfica con cartografía básica a las escalas y con la temporalidad adecuada de 13.418.129 ha, obteniendo un acumulado del 14,76% de cubrimiento del territorio colombiano con cartografía actualizada al 2020, Lo anterior suma un cumplimiento acumulado 2019-2020 del 64,18% respecto a la meta del 23%,</t>
  </si>
  <si>
    <t>3% (Año 2019)+11,76%(Año 2020)= 14,76% ( acumulado)
El avance acumulado 2019 -2020  en ha es de 17.238.844,5, sin embargo teniendo en cuenta que para el año 2019 se registro el 3% equivalente a 3.422.898,1 ha y no se tuvo en cuenta el real ejecutado: 3.820.715,52 ha; se toma el valor total de 16.841.027,10 ( 13.418.129+3.422.898,1)
Ver hoja 2</t>
  </si>
  <si>
    <t>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acumulado de 16.231.703,44 ha y 95 caracterizaciones.  
La Subdirección de Geografía y Cartografía de acuerdo con la meta del Plan Nacional de Desarrollo 2018 – 2022 “Pacto por Colombia pacto por la equidad”, logró un 14,23% correspondiente a 16.231.703,44 ha del cubrimiento del  Territorio Colombiano con caracterización territorial, para un acumulado del 37,23% al 2020. Lo anterior suma un cumplimiento acumulado 2019-2020 del 100,62% respecto a la meta del 37%,</t>
  </si>
  <si>
    <t>12,5% (Línea Base) + 10,5% (Año 2019) +14,23% (Año 2020)= 37,23% (Acumulado)
Ver hoja 3</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</si>
  <si>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25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Lo anterior suma un cumplimiento acumulado 2019-2020 de 372 geoservicios, con  respecto a la meta de 200, cumpliendo en un 186%,</t>
  </si>
  <si>
    <t>185(Año 2019) + 187 (Año 2020)= 372 (Acumulado)</t>
  </si>
  <si>
    <t>Meta física</t>
  </si>
  <si>
    <t>Rezago 2019</t>
  </si>
  <si>
    <t>Rezago Ha</t>
  </si>
  <si>
    <t>Avance físico 2020</t>
  </si>
  <si>
    <t>SEGUIMIENTO AÑO 2019</t>
  </si>
  <si>
    <t>2019 PDET</t>
  </si>
  <si>
    <t>2020PDET</t>
  </si>
  <si>
    <t>META 2021</t>
  </si>
  <si>
    <t>AVANNCE AC A 2020</t>
  </si>
  <si>
    <t>META AC</t>
  </si>
  <si>
    <t>Avance Cualitativo</t>
  </si>
  <si>
    <t xml:space="preserve">Avance real </t>
  </si>
  <si>
    <t xml:space="preserve">Meta </t>
  </si>
  <si>
    <t xml:space="preserve">Meta 
</t>
  </si>
  <si>
    <t xml:space="preserve">% avance cuatrienio </t>
  </si>
  <si>
    <t>Faltante para meta cuatrienio</t>
  </si>
  <si>
    <t xml:space="preserve">%Avance meta 2020 </t>
  </si>
  <si>
    <t>Rezago %area actualizada</t>
  </si>
  <si>
    <t>Avance físico</t>
  </si>
  <si>
    <t>Porcentaje del área geográfica con catastro actualizado  (hectáreas)</t>
  </si>
  <si>
    <t>LB</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</si>
  <si>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</si>
  <si>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</si>
  <si>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</si>
  <si>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</si>
  <si>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</si>
  <si>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Meta 2021</t>
  </si>
  <si>
    <t>Avance real total 2021</t>
  </si>
  <si>
    <t xml:space="preserve">%Avance meta 2021 </t>
  </si>
  <si>
    <t>Avance enero</t>
  </si>
  <si>
    <t>Avance Cualitativo Total 2021</t>
  </si>
  <si>
    <t>Avance Cualitativo enero</t>
  </si>
  <si>
    <t>Meta física 2021</t>
  </si>
  <si>
    <t>Avance físico 2021</t>
  </si>
  <si>
    <t>Anual</t>
  </si>
  <si>
    <t>Trimestral</t>
  </si>
  <si>
    <t>% de avance meta 2019</t>
  </si>
  <si>
    <t>% avance cuatrienio</t>
  </si>
  <si>
    <t>PERIODICIDAD REPORTE
 CUANTITATIVO</t>
  </si>
  <si>
    <t>El avance acumulado a 2020 fue de 10,32% con  la actualización de 4.038.252 hectáreas.</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</si>
  <si>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</si>
  <si>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</si>
  <si>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%avance frente a la meta 2021</t>
  </si>
  <si>
    <t>Durante el mes de enero, se generaron 75.231,63 hectáreas de productos cartográficos parcial o total del área rural de los municipios de: Villavicencio (Meta), Cáceres (Antioquia) y Planadas (Tolima). Así mismo,  se generaron 2.876,09 hectáreas de productos cartográficos del área urbana del municipio de Villavicencio, Meta, de las cuales 306,61 ha se encuentran traslapadas, por lo que el cubrimiento total en cartografía para el mes de enero es de 77.801,11 ha</t>
  </si>
  <si>
    <t>Durante el mes de enero, se realizó la caracterización territorial del municipio de Villavicencio y se avanzó en la consolidación y análisis de la información del municipio de Popayán, correspondiente a 128.375,75 has.</t>
  </si>
  <si>
    <t>Se encuentra en proceso la selección y contratación de la fábrica de software encargada de apoyar la etapa de desarrollo del Sistema Nacional de Información de Castro Multipropósito</t>
  </si>
  <si>
    <t>Semestral</t>
  </si>
  <si>
    <t>Se dio inicio al trámite de habilitación de los municipios de Envigado y Zipaquirá a través de las Resoluciones N°.1098 y 35, respectivamente.</t>
  </si>
  <si>
    <t xml:space="preserve">En el mes de enero se realizó el monitoreo automático de los geoservicios del Portal Geográfico Nacional mediante la herramienta libre GeoHealthCheck optimizando el seguimiento de 372 geoservicios, los cuales se encuentran operando plenamente.
</t>
  </si>
  <si>
    <t>En el mes de enero se realizó la planeación y programación de las actividades a desarrollar en la vigencia 2021 para el Sistema de Información Geográfica -SIG Indígenas. 
De igual forma, se elaboraron las condiciones de contratación y revisión de hojas de vida de dos profesionales que apoyarán el fortalecimiento del Sistema de Información Geográfica</t>
  </si>
  <si>
    <t>Se encuentra en proceso la etapa de contratación de personal.</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</si>
  <si>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</si>
  <si>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Avance febrero</t>
  </si>
  <si>
    <t>Avance Cualitativo febrero</t>
  </si>
  <si>
    <t>Durante el mes de febrero, se realizó la caracterización territorial del municipio de Popayán, correspondiente a 48.037,40 ha y se avanzó con la caracterización del municipio de Arauquita.</t>
  </si>
  <si>
    <t>META FÍSICA CUATRIENIO PND</t>
  </si>
  <si>
    <t>META FÍSICA HECTÁREAS TOTAL COLOMBIA</t>
  </si>
  <si>
    <t>Durante el mes de febrero, se finalizó la producción de 31.996,77 ha del área  rural del municipio de la Plata, Huila. Adicionalmente, se avanzó en la generación de ortoimágenes y bases de datos vectorial de la cuenca Yaguilga (rural), Popayán (urbano y rural), Fuente de oro (urbano) y Chaparral (urbano).</t>
  </si>
  <si>
    <t>Avance real diciembre</t>
  </si>
  <si>
    <t>Avance fisico total terrritorio nacional</t>
  </si>
  <si>
    <t>%Avance total terrritorio nacional</t>
  </si>
  <si>
    <t>Avance fisico total terrritorio nacional acumulado</t>
  </si>
  <si>
    <t>%Avance total terrritorio nacional acumulado</t>
  </si>
  <si>
    <t>Porcentaje de área geográfica en municipios PDET con catastro actualizado (hectáreas)</t>
  </si>
  <si>
    <t>Porcentaje del área geográfica con cartografía básica a las escalas y con la temporalidad adecuadas (Hectáreas)</t>
  </si>
  <si>
    <t>Porcentaje del área geográfica con caracterización geográfica (Hectáreas)</t>
  </si>
  <si>
    <t>% avance cuatrienio  según SINERGIA</t>
  </si>
  <si>
    <t>%Avance real respecto de la meta del PND</t>
  </si>
  <si>
    <t>Acumulado.
Mide los avances de un periodo, y para el siguiente incluye (o suma) los avances obtenidos en periodos anteriores. Los avances anuales son independientes de lo obtenido en años anteriores.</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</si>
  <si>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</si>
  <si>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Durante la vigencia 2020 se llevó a cabo la actualización de  4.083.550,05  hectáreas del área geográfica de los municipios PDET correspondientes al 10.44% del total del área geográfica de estos municipios logrando el 52,31% de avance de la meta establecida para la vigencia 2020.
De los 4,08 millones de hectáreas actualizados, 3,75 millones son producto del trabajo realizado por el IGAC y 0,33 millones de Catastro Antioquia durante el 2020</t>
  </si>
  <si>
    <t xml:space="preserve">A 1 de enero de 2021 el área geográfica con catastro actualizado es de 17.560.382,69 hectáreas correspondientes al 15,39% del área geográfica total del país y al 25,65% de la meta del Plan Nacional de Desarrollo establecida en el 60% del total del territorio. 
De los 17,56 millones de hectáreas actualizados, 8,99 millones son producto del trabajo realizado por el IGAC, la ANT y los Catastros de Antioquia y Soacha durante el 2020, así como de los municipios que han sido actualizados durante los últimos cinco años, y 8,56 millones corresponden a las áreas actualizadas mediante el proceso de conservación adelantado por el Instituto y otros gestores.
</t>
  </si>
  <si>
    <t>Se está realizando la planeación y preparación de los insumos y contratación de los equipos de trabajo para las actualizaciones catastrales de Villavicencio (fase II), Popayán, Arauquita y los 8 municipios de Boyacá (Socha, Socotá, Sativasur, Tasco, Betéitiva, Busbanzá, Corrales y Floresta). Por otro lado, se está revisando y definiendo la intervención en otros municipios adicionales para la actual vigencia.</t>
  </si>
  <si>
    <t>El IGAC junto con el DNP y la Consejería Presidencial para la Gestión y Cumplimiento, brindó asesoría a los municipios de las regiones PDET en la formulación de los proyectos tipo, con cargo al presupuesto de regalías a fin de lograr la financiación de la gestión catastral de 38 municipios PDET.</t>
  </si>
  <si>
    <t>Se realizaron reuniones con  los Gestores Castastrales, la Superintendencia de Notariado y Regitro, y el Departamento Nacional de Planeación; con el propósito de definir el alcance del Sistema Nacional de Información de Catastro Multipropósito SINIC, con relación a lss  funcionalidades del mismo,requeridas para el ejercicio de las funciones de inspección, vigilancia y control que hacen parte del servicio público catastral.</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</si>
  <si>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</si>
  <si>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En el mes de febrero se realizó el monitoreo automático de los geoservicios mediante la herramienta libre GeoHealthCheck optimizando el seguimiento de 372 geoservicios, los cuales se encuentran operando plenamente. 
Así mismo se da inicio a la migración de los geoservicios del Portal Geográfico Nacional al nuevo Portal Colombia en mapas.</t>
  </si>
  <si>
    <t>En el mes de febrero se realizó la elaboración del Plan de Gestión del Proyecto SIG-Indígena_Fase II y del cronograma de actividades del Proyecto.
Así mismo, se envió comunicado a la Comisión Nacional de Territorios Indigenas - CNTI con el fin de programar una reunión para la revisión y aprobación del plan de gestión y cronograma de actividades del proyecto SIG-Indígena_Fase II.</t>
  </si>
  <si>
    <t>% avance cuatrienio según SINERGIA</t>
  </si>
  <si>
    <t>Avance marzo</t>
  </si>
  <si>
    <t>Avance Cualitativo marzo</t>
  </si>
  <si>
    <t>Durante el mes de marzo, se generaron productos cartográficos del área rural de 732,82 ha del municipio La Plata, Huila y 57.008,4 ha del municipio Fuente de Oro, Meta. Es decir, que el cubrimiento total en cartografía para el mes de marzo es de 57.741,22 ha.</t>
  </si>
  <si>
    <t>Durante el mes de marzo, se realizó la caracterización territorial de Arauquita, correspondiente a 287.686,40 ha y se avanzó en las caracterizaciones del Guamo, Córdoba y Rioblanco.</t>
  </si>
  <si>
    <t>Durante el primer trimestre del 2021 se adelantaron las contrataciones del personal para realizar los procesos de actualización de los municipios de Popayán y Villavicencio cuyos contratos fueron firmados en 2020. Para el caso de Villavicencio se realizó la socialización con las autoridades municipales de la fase II del proceso de actualización y se dio inicio al trabajo de campo. 
En lo que respecta a la actualización de Popayán fue aprobado por parte de la Alcaldía municipal el plan de trabajo y así mismo, se llevó a cabo la socialización del proceso con las autoridades municipales. Se tiene contemplado iniciar trabajo de campo a partir del mes de abril. Por otro lado, se suscribió el contrato para la actualización catastral de Arauquita del departamento de Arauca. Para este caso, fue aprobado el plan de trabajo y se expidió la resolución de inicio del proceso. 
Finalmente, se realizó la planeación de la socialización de los procesos de actualización catastral con las autoridades municipales de los 8 municipios de Boyacá en los que se llevarán a cabo procesos de actualización catastral en la presente vigencia. En este sentido, se suscribió el acta de inicio con el operador Telezpacio quien adelantará dicha labor.</t>
  </si>
  <si>
    <t>El IGAC brindó apoyo en la estructuración y revisión de documentos técnicos de 5 proyectos tipo  regalías, correspondiente a los municipios de: Balboa, Tibú, Solita, Curillo y Algeciras.</t>
  </si>
  <si>
    <t>Se realizó el análisis, las especificaciones y diseño del documento de arquitectura base en su primera versión para el Repositorio de Datos Maestros.</t>
  </si>
  <si>
    <t>60% (solo vigencia 2021)
40%(con acumulación de años anteriores y rezago)</t>
  </si>
  <si>
    <t>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dio inicio al Trámite de Habilitación del municipio de Sabaneta-Antioquia, mediante Resolución 181 del 23 de marzo de 2021.</t>
  </si>
  <si>
    <t>En el mes de marzo se realizó el monitoreo automático de los geoservicios mediante la herramienta libre GeoHealthCheck optimizando el seguimiento de 372 geoservicios, los cuales se encuentran operando plenamente. Así mismo, se realizaron gestiones con las entidades para el restablecimiento de algunos geoservicios que se encontraban fuera de servicio. Por otra parte, se continua con la migración de los geoservicios del Portal Geográfico Nacional al nuevo Portal Colombia en Mapas. 
Para la vigencia 2021 se programó una meta de 225 geoservicios publicados y disponibles,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se ha logrado superar la meta en 147 geoservicios más de lo programado , teniendo un cumplimiento del 165%.</t>
  </si>
  <si>
    <t>En el mes de marzo se realizaron reuniones con la Comisión Nacional de Territorios Indígenas - CNTI, donde se discutió y aprobó el Plan de gestión del proyecto SIG_Indígena_Fase II y el cronograma de actividades para la vigencia 2021.
Así mismo, se realizó la definición de las fechas preliminares para las actividades de entrenamiento que se realizaran con los miembros de la Comisión Nacional de Territorios Indígenas _CNTI en la apropiación del SIG_ Indígena.
Por otra parte, para la vigencia 2021 se programó una meta del 30% de la implementación del programa marco de operación del sistema de información Geográfica -SIG Indígena, por lo tanto, para el primer trimestre del año se realizó un avance del 5% de la meta programada correspondiente a la etapa de planeación del proyecto.</t>
  </si>
  <si>
    <t>Pacto por la equidad de oportunidades para grupos étnicos: Indígenas, Negros, Afrocolombianos, Raizales y Palenqueros</t>
  </si>
  <si>
    <t>No</t>
  </si>
  <si>
    <t>Mide el número de entidades públicas nacionales o territoriales, incluyendo, entre otros, esquemas asociativos de entidades territoriales, que sean habilitados como gestores catastrales para la prestación del servicio catastral.</t>
  </si>
  <si>
    <t>Mide el número de geoservicios publicados y disponibles en el Portal Geografico Nacional - PGN por las entidades productoras del orden nacinal y territorial de utilidad para la toma de decisiones que promueven el desarrollo regional.</t>
  </si>
  <si>
    <t>Mide el porcentaje de avance de la implementación del programa marco de operaciòn del Sistema de Informaciòn Geogràfico - SIG Indìgena a partir de las actividades de análisis, diseño, desarrollo,aseguramiento de calidad, puesta en producción y operación del Sistema</t>
  </si>
  <si>
    <t xml:space="preserve">Mide el porcentaje del área geográfica con productos cartográficos generados a diferentes escalas para su uso en  proyectos de intervención territorial como el Catastro Multipróposito y los POT </t>
  </si>
  <si>
    <t>Mide el total del área geográfica que cuenta con un catastro actualizado, incluidos  el área geográfica bajo jurisdicción del IGAC y de los gestores catastrales habilitados.</t>
  </si>
  <si>
    <t>Mide el porcentaje de cubrimiento con caracterización y análisis geográfico del territorio nacional, para generar estudios y metodologías geográficas como herramientas para apoyar la gestión del desarrollo territorial, así como para proyectos tales como el barrido predial masivo en los municipio donde se implementará el catastro multipropósito</t>
  </si>
  <si>
    <t>Mide el área de los municipios PDET a los cuales se les ha realizado actualización de la información catastral, incluyendo el área los municipios PDET que se encuentran bajo jurisdicción del IGAC y de los Gestores Catastrales.</t>
  </si>
  <si>
    <t>Mide el porcentaje de avance de la implementación del Sistema de Información de Catastro Multipropósito a partir de las actividades de análisis, diseño, desarrollo,aseguramiento de calidad, puesta en producción y operación del Sistema.</t>
  </si>
  <si>
    <t>OBJETIVO</t>
  </si>
  <si>
    <t>Avance abril</t>
  </si>
  <si>
    <t>Avance Cualitativo abril</t>
  </si>
  <si>
    <t>En el mes de abril se realizó el monitoreo automático de los geoservicios mediante la herramienta libre GeoHealthCheck optimizando el seguimiento de 372 geoservicios, los cuales se encuentran operando plenamente.
Así mismo se realizó la gestión e incorporación de 74 nuevos geoservicios, suministrados por diferentes entidades como la Corporación del Valle del Cauca (CVC), el Departamento Administrativo Nacional de Estadística (DANE), la Alcaldía de Medellín, el Instituto Geográfico Agustín Codazzi (IGAC) y Corpoboyacá; esto para un total de 446 geoservicios, los cuales se encuentran plenamente operando.
 Por otra parte, se realizó la revisión del flujo de información para publicación de información geográfica y se revisó la priorización de publicación de los geoservicios en el portal Colombia en Mapas. La totalidad de servicios se encuentra publicado en el portal  ICDE.</t>
  </si>
  <si>
    <t xml:space="preserve">En el mes de abril se generó el documento de diseño de la base de datos del sistema de información incluyendo el diccionario de datos y modelos conceptual, lógico y físico. Este documento se encuentra pendiente de validación por la Comisión Nacional de Territorios Indígenas - CNTI.
Así mismo, se brindó apoyo en la elaboración de la encuesta para medir el nivel de conocimiento que tienen los participantes que tomarán los cursos de entrenamiento dentro en la vigencia 2021.
Por otra parte, se atendieron las incidencias reportadas por la Comisión Nacional de Territorios Indígenas - CNTI de las fallas que presentó el Sistema de Información Geográfica. Así mismo, se atendieron las incidencias reportadas por la implementación de la herramienta en el repositorio documental de la infraestructura tecnológica dispuesta por la Comisión Nacional de Territorios Indígenas - CNTI.
Para la vigencia 2021 se programó una meta del 30% de la implementación del Programa Marco de Operación del Sistema de Información Geográfica -SIG Indígena, por lo que a la fecha se lleva un avance acumulado del 10,30% de la meta programada, para esta vigencia.
</t>
  </si>
  <si>
    <t>Se llevaron a cabo las revisiones finales de las especificaciones técnicas SINIC/RDM, en su primera versión. En estas especificaciones se detallan los principales requerimientos funcionales y no funcionales para cubrir las necesidades que debe cumplir el Repositorio de Datos Maestro - RDM para las diferentes entidades que participan en el proceso de actualización catastral (IGAC, Superintendencia de Notariado y Registro - SNR y la Agencia Nacional de Tierras - ANT). De esta manera, una vez surtida esta revisión, el IGAC, a través del proceso de selección y contratación de la fábrica de software y del personal técnico requerido (proceso que ya viene siendo adelantado por la Entidad), podrá iniciar la fase de desarrollo del Sistema Nacional de Información de Catastro Multipropósito.</t>
  </si>
  <si>
    <t>Se llevó a cabo el reconocimiento de 26.679 predios en los procesos de actualización de Villavicencio y Popayán.
Por otro lado, se realizó la socialización del proceso de actualización catastral con alcaldes y líderes de los 8 municipios de Boyacá y se trabajó en conjunto con el operador logístico en la identificación de la dinámica inmobiliaria del territorio y la definición de las unidades de intervención.
Se dio inicio a la planeación del proceso de actualización de los municipios de Guamo, Córdoba y Rioblanco.
Se determinaron los puntos de investigación económica para el cálculo de los avalúos masivos de los municipios a actualizar en 2021 y se actualizaron los presupuestos de obra de tipologías constructivas y georreferenciación de información de mercado que se obtuvo por fuentes externas durante el 2020.</t>
  </si>
  <si>
    <t>Se realizaron mesas técnicas con los municipios de Florencia, Buenaventura, Cantagallo, Morales, Arenal, La Paz, Saravena, Puerto Asís, Solita, Tibú, Convención, Fortúl, Curillo, El Carmen, Caldono, y Balboa, como apoyo a la formulación de proyectos  tipo con cargo al presupuesto de regalías, para financiar los procesos de gestión catastral en estos 16 municipios.</t>
  </si>
  <si>
    <t xml:space="preserve">Durante el mes de abril se habilitó como gestor catastral el municipio de Sabaneta-Antioquia  por medio de la Resolución 214 del 9 de abril 2021.
Al mes de abril se superó la meta del cuatrienio en un 120%, con la habilitación de 24 gestores catastrales.
Se dió inicio al  Trámite de Habilitación del  municipio de Neiva - Huila, mediante Resolución 22 del 15 de abril de 2021. </t>
  </si>
  <si>
    <t>Durante el mes de abril, se generaron  8.907,68 hectáreas de productos cartográficos parcial del área rural del municipio de El Tablazo (Cundinamarca), y 8.879 hectáreas de productos cartográficos del área urbana del municipio de Popayán (Cauca). Es decir, que el cubrimiento total en cartografía para el mes de abril es de 17.786,68 hectáreas.
Al mes de abril se cuenta con un acumulado de  13.603.454,78  de hectáreas generadas y/o actualizadas con productos cartográficos, correspondiente al 15,37% del área geográfica con cartografía básica a las escalas y con la temporalidad adecuada.</t>
  </si>
  <si>
    <t>Avance Cualitativo mayo</t>
  </si>
  <si>
    <t>Avance mayo</t>
  </si>
  <si>
    <t>Durante el mes de mayo se adelantaron las actividades que se describen a continuación en los municipios descritos, en los cuales se ha venido realizando el proceso de gestión catastral durante la vigencia 2021:
Villavicencio:
*Identificación predial de 39.981 predios del municipio
Popayán:
*Identificación predial de 17.976 predios del municipio
8 municipios de Boyacá:
*Inicio de operación en campo
*Reconocimiento de 1.558 predios
*Habilitación de la atención de PQRS a través de canales de atención presencial y virtual
*Socialización nivel 2 (tiene como objetivo la recolección y retroalimentación de información del territorio y el establecimiento de acuerdos para la identificación predial con lideres comunitarios).
Rioblanco (Tolima), Guamo y Córdoba (Bolívar):
*Análisis de la dinámica inmobiliaria e identificación del perímetro urbano para definir la zona de intervención del IGAC, en conjunto con la ANT.</t>
  </si>
  <si>
    <t>Se realizaron mesas técnicas con 26 municipios de los departamentos de Bolívar, Caquetá, Cauca, Chocó, Córdoba, Huila, Norte de Santander y Putumayo, como apoyo a la formulación de proyectos tipo con cargo al presupuesto de regalías, para financiar los procesos de gestión catastral en estos municipios.</t>
  </si>
  <si>
    <t>Durante el mes de mayo se habilitó como gestor catastral el municipio de Neiva-Huila por medio de la Resolución 249 del 3 de mayo 2021. Al mes de mayo se superó la meta del cuatrienio en un 125%, con la habilitación de 25 gestores catastrales.</t>
  </si>
  <si>
    <t>Durante el mes de abril, se realizaron cinco caracterizaciones territoriales de los municipios de Rioblanco y Ataco (Tolima), El Guamo, Córdoba (Bolívar) y Fuente de Oro (Meta), correspondientes a 461.333,23ha. 
Al mes de abril se cuenta con un acumulado de  17.157.136,22  de hectáreas con estudios de caracterización territorial.</t>
  </si>
  <si>
    <t>Durante el mes de mayo, se generaron  2.727 ha del área urbana de los municipios de San Andrés de Tumaco (Nariño), Chaparral (Tolima), Córdoba y El Carmen de Bolívar (Bolívar), El Guamo (Bolívar) y Arauquita (Arauca); Asi mismo, se validaron 6.500.000 ha de modelos digitales de terreno de 10 metros de municipios de los departamentos del Cauca, Nariño. De esta forma, el total del cubrimiento cartográfico correspondiente al mes de mayo fue de 6.502.727,64 hectáreas.</t>
  </si>
  <si>
    <t xml:space="preserve">Durante el mes de mayo, se realizaron 5 caracterizaciones territoriales de los municipios de Cáceres (Antioquia), San Jacinto (Bolívar), Valencia (Córdoba), Monterrey (Casanare) y Santa Rosalía (Vichada) correspondientes a 769.113,60 hectáreas. </t>
  </si>
  <si>
    <t>En el mes de mayo se realizó el monitoreo automático de los geoservicios mediante la herramienta libre GeoHealthCheck optimizando el seguimiento de 446 geoservicios, los cuales se encuentran operando plenamente.
Así mismo, se realizó la gestión e incorporación de 6 nuevos geoservicios suministrados por diferentes entidades como el Departamento Administrativo Nacional de Estadística (DANE) y la Alcaldía de Barranquilla; esto para un total de 452 geoservicios, los cuales se encuentran plenamente operando.
Por otra parte, se realizó la implementación del buscador de geoservicios en la página de portal ICDE y se cargó la base de datos de geoservicios en el Micrositio del portal ICDE, habilitado en la plataforma Geocontenidos  ICDE.</t>
  </si>
  <si>
    <t>En el mes de mayo se validó por parte de la Comisión Nacional de Territorios Indígenas - CNTI el documento de diseño de las nuevas funcionalidades identificadas en la etapa de análisis para el sistema de información.
Así mismo, se creó la estructura de las capas a partir de las cuales se generará la geometría de los polígonos para la funcionalidad de delimitación de resguardos indígenas.
Por otra parte, se atendieron las incidencias reportadas por la Comisión Nacional de Territorios Indígenas - CNTI de las fallas que presentó el Sistema de Información Geográfica en las siguientes funcionalidades: Guardar vista, Salida gráfica, Tabla de contenido, Login, Reestablecer contraseña, Panear, acercar y alejar.
Para la vigencia 2021 se programó una meta del 30% de la implementación del Programa Marco de Operación del Sistema de Información Geográfica -SIG Indígena, por lo que a la fecha se lleva un avance acumulado del 14,60% de la meta programada.</t>
  </si>
  <si>
    <t>Se continua con el proceso de selección y contratación del personal técnico y la fábrica de software encargada de apoyar la etapa de desarrollo del Sistema Nacional de Información de Catastro Multipropósito - SINIC. Así mismo, se espera que las especificaciones técnicas del Repositorio de Datos Maestros - RDM, como la conceptualización del SINIC, sean entregados a más tardar el 15 de junio por parte del Departamento Nacional de Planeación al Instituto Geográfico Agustín Codazzi.</t>
  </si>
  <si>
    <t>Avance junio</t>
  </si>
  <si>
    <t>Avance Cualitativo Junio</t>
  </si>
  <si>
    <t>Se inició con la especificación de las épicas para la definición de la conceptualización del SINIC, actividad que se ha venido trabajando a través de diferentes mesas de trabajo realizadas entre la Subdirección de Catastro como usuario funcional y la Oficina de Informática y Telecomunicaciones del IGAC como usuario técnico. Adicionalmente a la fecha, aún se encuentran pendientes las especificaciones técnicas del Repositorio de Datos Maestros - RDM, las cuales deben ser entregadas por parte del Departamento Nacional de Planeación al Instituto Geográfico Agustín Codazzi.</t>
  </si>
  <si>
    <t>Se dio inicio al trámite de Habilitación de los municipios de Valledupar e Ibagué mediante Res. 341 del 10 de junio y Res. 430 del 18 de junio respectivamente. Al mes de junio de 2021 se logró la habilitación de 25 gestores catastrales, obteniendo un 125% de avance de la meta del cuatrienio, establecida en 20 gestores catastrales habilitados</t>
  </si>
  <si>
    <t>Durante el mes de junio se adelantaron las siguientes actividades en los municipios que se describen a continuación, en los cuales se viene implementando el proceso de gestión catastral durante la vigencia 2021: Villavicencio: *Identificación predial de 52.255
Popayán: *Identificación predial de 33.126 predios 
Arauquita: *Identificación predial de 240 . Suspendido temporalmente por orden público. 
8 municipios de Boyacá: *Inicio operación en campo: 3.529 predios reconocidos. *Se habilitó la atención de PQRS, por canales de atención presencial y virtual. *Se continuó con la socialización nivel 2 con líderes comunitarios. 
Rioblanco, Guamo y Córdoba (Bolívar): *Se realizó el diagnóstico de la información catastral. Se está a la espera de la definición del perímetro urbano oficial para definir la zona de intervención de IGAC, en conjunto con la ANT.</t>
  </si>
  <si>
    <t>Se realizaron mesas técnicas, se elaboraron, revisaron documentos y se generaron los cálculos y proyecciones para adelantar el proceso de gestión catastral de 28 municipios de los departamentos de Bolívar, Caquetá, Cauca, Chocó, Córdoba, Huila, Nariño, Norte de Santander, Putumayo y Sucre; a través de la formulación de proyectos tipo con cargo al presupuesto de regalías. Se adoptó la Resolución 333 del 8 de junio de 2021, en cumplimiento de lo establecido en la Resolución 111 del 2021 de la Agencia de Renovación del Territorio, en donde se definen las actividades asociadas a la implementación de los proyectos de catastro multipropósito que se articulan con las iniciativas consignadas en los Planes de Acción para la Transformación Regional – PATR, de los municipios PDET; como una herramienta que facilita la verificación de requisitos en la expedición de certificaciones de concordancia por parte de la ART.</t>
  </si>
  <si>
    <t>En el mes de junio se realizó el monitoreo automático de los geoservicios mediante la herramienta libre GeoHealthCheck optimizando el seguimiento de 452 geoservicios, los cuales se encuentran operando plenamente.
Así mismo, se realizó la gestión e incorporación de 6 nuevos geoservicios suministrados por diferentes entidades como el Departamento Administrativo Nacional de Estadística (DANE) y el Instituto de Hidrología, Meteorología y Estudios Ambientales (IDEAN).
Por otra parte, se restableció la conexión de 7 geoservicios, esto para un total de 465 geoservicios, los cuales se encuentran plenamente operando.</t>
  </si>
  <si>
    <t>En el mes de junio se realizó el desarrollo del formulario alfanumérico para el registro de los procesos de seguimiento de solicitudes de terrenos pretendidos por la Comisión Nacional de Territorios Indígenas - CNTI ante la Agencia Nacional de Tierras - ANT. Así mismo, se ajustó el material didáctico para la realización de las jornadas de capacitación y se definió la estrategia para la participación de los miembros de la Comisión Nacional de Territorios Indígenas - CNTI en el curso virtual ofrecido por el CIAF (Curso virtual en fundamentos SIG). Por otra parte, se atendieron las incidencias reportadas por la Comisión Nacional de Territorios Indígenas - CNTI de las fallas que presentó el Sistema de Información Geográfica. Para la vigencia 2021 se programó una meta del 30% de la implementación del Programa Marco de Operación del Sistema de Información Geográfica -SIG Indígena, por lo que a la fecha se lleva un avance acumulado del 17,20% de la meta programada.
*Durante este mes se aprobó la solicitud de modificación de la meta del cuatrienio y de las vigencias 2021 y 2022. (500 meta cuarienio, 476 meta 2021 y 500 meta 2022).</t>
  </si>
  <si>
    <t>Durante el mes de junio, se reportan 39.319,58 hectáreas de productos cartográficos de las zonas de Quebrada Yaguilga y de El Tablazo (Cundinamarca); y 67,53 hectáreas de productos cartográficos del área urbana de los municipios de Mirití-Paraná (Amazonas) y Rioblanco (Tolima). Así mismo, se generaron 17.798,22 hectáreas de ortoimágenes del municipio El Retén (Magdalena) y se reportan 3.405.011,51 hectáreas de modelos digitales de elevación de municipios de los departamentos de Antioquia, Vichada, Meta, Córdoba, Bolívar, Sucre, Amazonas, Casanare, Caquetá, Vaupés y Santander. Por lo tanto, el cubrimiento total en cartografía para el mes de junio es de 3.462.196,84 hectáreas.</t>
  </si>
  <si>
    <t>Durante el mes de junio, se realizaron 5 caracterizaciones territoriales de los municipios de Tame (Arauca), El Bagre y Remedios (Antioquia), Mesetas (Meta) y Puerto Guzmán (Putumayo) correspondiente a 1.578.984 hectáreas.</t>
  </si>
  <si>
    <t xml:space="preserve">
250
</t>
  </si>
  <si>
    <t xml:space="preserve">
250
</t>
  </si>
  <si>
    <t>SEGUIMIENTO 2021 II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</si>
</sst>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0.0%"/>
    <numFmt numFmtId="165" formatCode="_-* #,##0_-;\-* #,##0_-;_-* &quot;-&quot;??_-;_-@_-"/>
    <numFmt numFmtId="166" formatCode="[$-10409]#,##0.00"/>
  </numFmts>
  <fonts count="51"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4"/>
      <name val="Arial"/>
      <family val="2"/>
    </font>
    <font>
      <b/>
      <sz val="16"/>
      <color theme="1"/>
      <name val="Arial"/>
      <family val="2"/>
    </font>
    <font>
      <b/>
      <sz val="14"/>
      <color theme="1"/>
      <name val="Arial"/>
      <family val="2"/>
    </font>
    <font>
      <sz val="14"/>
      <color theme="1"/>
      <name val="Arial"/>
      <family val="2"/>
    </font>
    <font>
      <sz val="20"/>
      <color theme="1"/>
      <name val="Arial"/>
      <family val="2"/>
    </font>
    <font>
      <sz val="8"/>
      <name val="Calibri"/>
      <family val="2"/>
      <scheme val="minor"/>
    </font>
    <font>
      <sz val="12"/>
      <name val="Arial"/>
      <family val="2"/>
    </font>
    <font>
      <sz val="11"/>
      <color rgb="FF000000"/>
      <name val="Calibri"/>
      <family val="2"/>
      <scheme val="minor"/>
    </font>
    <font>
      <sz val="16"/>
      <color theme="1"/>
      <name val="Arial"/>
      <family val="2"/>
    </font>
    <font>
      <sz val="11"/>
      <color rgb="FF000000"/>
      <name val="Arial"/>
      <family val="2"/>
    </font>
    <font>
      <sz val="12"/>
      <color rgb="FF000000"/>
      <name val="Arial"/>
      <family val="2"/>
    </font>
    <font>
      <b/>
      <sz val="11"/>
      <color theme="1"/>
      <name val="Calibri"/>
      <family val="2"/>
      <scheme val="minor"/>
    </font>
    <font>
      <sz val="9"/>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b/>
      <sz val="9"/>
      <color rgb="FF000000"/>
      <name val="Arial"/>
      <family val="2"/>
    </font>
    <font>
      <b/>
      <sz val="10"/>
      <name val="Arial"/>
      <family val="2"/>
    </font>
    <font>
      <b/>
      <sz val="9"/>
      <color indexed="8"/>
      <name val="Tahoma"/>
      <family val="2"/>
    </font>
    <font>
      <sz val="8"/>
      <color indexed="8"/>
      <name val="Tahoma"/>
      <family val="2"/>
    </font>
    <font>
      <b/>
      <sz val="8"/>
      <color indexed="8"/>
      <name val="Tahoma"/>
      <family val="2"/>
    </font>
    <font>
      <b/>
      <sz val="10"/>
      <color theme="1"/>
      <name val="Arial"/>
      <family val="2"/>
    </font>
    <font>
      <b/>
      <sz val="9"/>
      <color theme="1"/>
      <name val="Tahoma"/>
      <family val="2"/>
    </font>
    <font>
      <sz val="8"/>
      <color theme="1"/>
      <name val="Tahoma"/>
      <family val="2"/>
    </font>
    <font>
      <b/>
      <sz val="8"/>
      <color theme="1"/>
      <name val="Tahoma"/>
      <family val="2"/>
    </font>
    <font>
      <sz val="14"/>
      <name val="Arial"/>
      <family val="2"/>
    </font>
    <font>
      <sz val="14"/>
      <color rgb="FF000000"/>
      <name val="Arial"/>
      <family val="2"/>
    </font>
    <font>
      <sz val="14"/>
      <color rgb="FFFF0000"/>
      <name val="Arial"/>
      <family val="2"/>
    </font>
    <font>
      <b/>
      <sz val="48"/>
      <color theme="1"/>
      <name val="Arial"/>
      <family val="2"/>
    </font>
    <font>
      <b/>
      <sz val="16"/>
      <name val="Arial"/>
      <family val="2"/>
    </font>
    <font>
      <b/>
      <sz val="25"/>
      <color theme="0"/>
      <name val="Arial"/>
      <family val="2"/>
    </font>
    <font>
      <b/>
      <sz val="25"/>
      <color theme="1"/>
      <name val="Arial"/>
      <family val="2"/>
    </font>
    <font>
      <sz val="14"/>
      <color indexed="81"/>
      <name val="Tahoma"/>
      <family val="2"/>
    </font>
    <font>
      <b/>
      <sz val="20"/>
      <color theme="0"/>
      <name val="Arial"/>
      <family val="2"/>
    </font>
    <font>
      <b/>
      <sz val="20"/>
      <color theme="1"/>
      <name val="Arial"/>
      <family val="2"/>
    </font>
    <font>
      <b/>
      <sz val="20"/>
      <color rgb="FF000000"/>
      <name val="Arial"/>
      <family val="2"/>
    </font>
    <font>
      <b/>
      <sz val="22"/>
      <color theme="1"/>
      <name val="Arial"/>
      <family val="2"/>
    </font>
    <font>
      <b/>
      <sz val="18"/>
      <name val="Arial"/>
      <family val="2"/>
    </font>
    <font>
      <b/>
      <sz val="16"/>
      <color theme="0"/>
      <name val="Arial"/>
      <family val="2"/>
    </font>
    <font>
      <b/>
      <sz val="18"/>
      <color theme="1"/>
      <name val="Arial"/>
      <family val="2"/>
    </font>
    <font>
      <b/>
      <sz val="9"/>
      <color theme="1"/>
      <name val="Arial Narrow"/>
      <family val="2"/>
    </font>
    <font>
      <b/>
      <sz val="9"/>
      <name val="Arial Narrow"/>
      <family val="2"/>
    </font>
    <font>
      <sz val="9"/>
      <color theme="1"/>
      <name val="Arial Narrow"/>
      <family val="2"/>
    </font>
    <font>
      <sz val="9"/>
      <color indexed="81"/>
      <name val="Tahoma"/>
      <charset val="1"/>
    </font>
    <font>
      <b/>
      <sz val="9"/>
      <color indexed="81"/>
      <name val="Tahoma"/>
      <charset val="1"/>
    </font>
    <font>
      <b/>
      <sz val="24"/>
      <color theme="1"/>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8" tint="0.39997558519241921"/>
        <bgColor indexed="64"/>
      </patternFill>
    </fill>
    <fill>
      <patternFill patternType="lightUp">
        <bgColor rgb="FFD2D2D2"/>
      </patternFill>
    </fill>
    <fill>
      <patternFill patternType="darkUp">
        <fgColor rgb="FF808080"/>
        <bgColor rgb="FFCACACA"/>
      </patternFill>
    </fill>
    <fill>
      <patternFill patternType="solid">
        <fgColor theme="4" tint="0.59999389629810485"/>
        <bgColor indexed="64"/>
      </patternFill>
    </fill>
    <fill>
      <patternFill patternType="solid">
        <fgColor theme="0"/>
        <bgColor indexed="0"/>
      </patternFill>
    </fill>
    <fill>
      <patternFill patternType="solid">
        <fgColor theme="4" tint="0.79998168889431442"/>
        <bgColor indexed="64"/>
      </patternFill>
    </fill>
    <fill>
      <patternFill patternType="solid">
        <fgColor theme="7"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8" tint="-0.249977111117893"/>
        <bgColor indexed="64"/>
      </patternFill>
    </fill>
    <fill>
      <patternFill patternType="solid">
        <fgColor rgb="FFFFFF00"/>
        <bgColor indexed="0"/>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style="medium">
        <color rgb="FFBFBFBF"/>
      </left>
      <right style="medium">
        <color rgb="FFBFBFBF"/>
      </right>
      <top style="medium">
        <color rgb="FFBFBFBF"/>
      </top>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diagonal/>
    </border>
    <border>
      <left style="thin">
        <color rgb="FF000000"/>
      </left>
      <right/>
      <top style="thin">
        <color rgb="FF000000"/>
      </top>
      <bottom style="thin">
        <color rgb="FF000000"/>
      </bottom>
      <diagonal/>
    </border>
    <border>
      <left/>
      <right/>
      <top style="medium">
        <color indexed="64"/>
      </top>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434">
    <xf numFmtId="0" fontId="0" fillId="0" borderId="0" xfId="0"/>
    <xf numFmtId="0" fontId="2" fillId="0" borderId="0" xfId="0" applyFont="1"/>
    <xf numFmtId="0" fontId="2" fillId="0" borderId="0" xfId="0" applyFont="1" applyBorder="1"/>
    <xf numFmtId="0" fontId="2" fillId="0" borderId="0" xfId="0" applyFont="1" applyFill="1"/>
    <xf numFmtId="0" fontId="7" fillId="3" borderId="1" xfId="0"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xf>
    <xf numFmtId="0" fontId="7" fillId="0" borderId="9" xfId="0" applyFont="1" applyFill="1" applyBorder="1" applyAlignment="1">
      <alignment horizontal="justify" vertical="center" wrapText="1"/>
    </xf>
    <xf numFmtId="0" fontId="7" fillId="3" borderId="1" xfId="0" applyFont="1" applyFill="1" applyBorder="1" applyAlignment="1">
      <alignment horizontal="left" vertical="center" wrapText="1" readingOrder="1"/>
    </xf>
    <xf numFmtId="0" fontId="7" fillId="0" borderId="1" xfId="0" applyFont="1" applyFill="1" applyBorder="1" applyAlignment="1">
      <alignment horizontal="left" vertical="center"/>
    </xf>
    <xf numFmtId="9" fontId="8" fillId="3"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xf>
    <xf numFmtId="9"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7" fillId="0" borderId="1"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3" xfId="0" applyFont="1" applyFill="1" applyBorder="1" applyAlignment="1">
      <alignment vertical="center" wrapText="1"/>
    </xf>
    <xf numFmtId="1" fontId="7"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1" xfId="0" applyNumberFormat="1" applyFont="1" applyFill="1" applyBorder="1" applyAlignment="1">
      <alignment horizontal="center" vertical="center"/>
    </xf>
    <xf numFmtId="0" fontId="2" fillId="0" borderId="0" xfId="0" applyFont="1" applyBorder="1" applyAlignment="1"/>
    <xf numFmtId="9" fontId="7" fillId="3" borderId="14"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justify" vertical="center" wrapText="1"/>
    </xf>
    <xf numFmtId="9" fontId="7" fillId="0" borderId="9"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7"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Fill="1" applyBorder="1" applyAlignment="1">
      <alignment vertical="center" wrapText="1"/>
    </xf>
    <xf numFmtId="0" fontId="2" fillId="3" borderId="17" xfId="0" applyFont="1" applyFill="1" applyBorder="1" applyAlignment="1">
      <alignment horizontal="justify" vertical="center" wrapText="1"/>
    </xf>
    <xf numFmtId="0" fontId="4" fillId="2" borderId="12" xfId="0" applyFont="1" applyFill="1" applyBorder="1" applyAlignment="1">
      <alignment horizontal="center" vertical="center" wrapText="1"/>
    </xf>
    <xf numFmtId="0" fontId="2" fillId="0" borderId="1" xfId="0" applyFont="1" applyFill="1" applyBorder="1" applyAlignment="1">
      <alignment vertical="center" wrapText="1"/>
    </xf>
    <xf numFmtId="0" fontId="7" fillId="3" borderId="9" xfId="0" applyFont="1" applyFill="1" applyBorder="1" applyAlignment="1">
      <alignment horizontal="center" vertical="center"/>
    </xf>
    <xf numFmtId="9" fontId="7" fillId="0" borderId="9" xfId="1" applyNumberFormat="1" applyFont="1" applyFill="1" applyBorder="1" applyAlignment="1">
      <alignment horizontal="center" vertical="center"/>
    </xf>
    <xf numFmtId="9" fontId="7" fillId="0" borderId="9" xfId="1" applyFont="1" applyFill="1" applyBorder="1" applyAlignment="1">
      <alignment horizontal="center" vertical="center"/>
    </xf>
    <xf numFmtId="0" fontId="7" fillId="3" borderId="14" xfId="0" applyFont="1" applyFill="1" applyBorder="1" applyAlignment="1">
      <alignment horizontal="left" vertical="center" wrapText="1"/>
    </xf>
    <xf numFmtId="164" fontId="7" fillId="0" borderId="9" xfId="1" applyNumberFormat="1" applyFont="1" applyFill="1" applyBorder="1" applyAlignment="1">
      <alignment horizontal="center" vertical="center"/>
    </xf>
    <xf numFmtId="164" fontId="7" fillId="3" borderId="9" xfId="1" applyNumberFormat="1" applyFont="1" applyFill="1" applyBorder="1" applyAlignment="1">
      <alignment horizontal="center" vertical="center"/>
    </xf>
    <xf numFmtId="9" fontId="8" fillId="3" borderId="9" xfId="0" applyNumberFormat="1" applyFont="1" applyFill="1" applyBorder="1" applyAlignment="1">
      <alignment horizontal="center" vertical="center"/>
    </xf>
    <xf numFmtId="9" fontId="7" fillId="0" borderId="9" xfId="3" applyNumberFormat="1"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10" fontId="7" fillId="0" borderId="9" xfId="3" applyNumberFormat="1" applyFont="1" applyFill="1" applyBorder="1" applyAlignment="1">
      <alignment horizontal="center" vertical="center"/>
    </xf>
    <xf numFmtId="0" fontId="4" fillId="2" borderId="21"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7" fillId="0" borderId="9" xfId="0" applyFont="1" applyBorder="1" applyAlignment="1">
      <alignment vertical="center" wrapText="1"/>
    </xf>
    <xf numFmtId="9" fontId="7" fillId="3" borderId="9" xfId="0" applyNumberFormat="1" applyFont="1" applyFill="1" applyBorder="1" applyAlignment="1">
      <alignment horizontal="center" vertical="center" wrapText="1"/>
    </xf>
    <xf numFmtId="0" fontId="7" fillId="0" borderId="9" xfId="0" applyFont="1" applyBorder="1" applyAlignment="1">
      <alignment wrapText="1"/>
    </xf>
    <xf numFmtId="9" fontId="8" fillId="3" borderId="9" xfId="1" applyFont="1" applyFill="1" applyBorder="1" applyAlignment="1">
      <alignment horizontal="center" vertical="center"/>
    </xf>
    <xf numFmtId="0" fontId="7" fillId="0" borderId="9" xfId="0" applyFont="1" applyBorder="1" applyAlignment="1">
      <alignment horizontal="center" wrapText="1"/>
    </xf>
    <xf numFmtId="0" fontId="7" fillId="0" borderId="9" xfId="0" applyFont="1" applyBorder="1" applyAlignment="1">
      <alignment horizontal="center" vertical="center" wrapText="1"/>
    </xf>
    <xf numFmtId="165" fontId="7" fillId="3" borderId="9" xfId="3" applyNumberFormat="1" applyFont="1" applyFill="1" applyBorder="1" applyAlignment="1">
      <alignment horizontal="center" vertical="center" wrapText="1"/>
    </xf>
    <xf numFmtId="165" fontId="7" fillId="3" borderId="9" xfId="3" applyNumberFormat="1" applyFont="1" applyFill="1" applyBorder="1" applyAlignment="1">
      <alignment vertical="center" wrapText="1"/>
    </xf>
    <xf numFmtId="0" fontId="2" fillId="3" borderId="14"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7" fillId="3" borderId="14"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3" borderId="1" xfId="0" applyFont="1" applyFill="1" applyBorder="1" applyAlignment="1">
      <alignment vertical="center" wrapText="1"/>
    </xf>
    <xf numFmtId="1" fontId="7"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wrapText="1"/>
    </xf>
    <xf numFmtId="0" fontId="10" fillId="0" borderId="1" xfId="0" applyFont="1" applyBorder="1" applyAlignment="1">
      <alignment vertical="center" wrapText="1"/>
    </xf>
    <xf numFmtId="9" fontId="2" fillId="0" borderId="0" xfId="1" applyFont="1" applyBorder="1"/>
    <xf numFmtId="0" fontId="11" fillId="0" borderId="33" xfId="0" applyFont="1" applyBorder="1" applyAlignment="1">
      <alignment horizontal="left" vertical="center" wrapText="1"/>
    </xf>
    <xf numFmtId="164" fontId="12" fillId="3" borderId="14" xfId="0" applyNumberFormat="1" applyFont="1" applyFill="1" applyBorder="1" applyAlignment="1">
      <alignment horizontal="center" vertical="center"/>
    </xf>
    <xf numFmtId="9" fontId="12"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applyFill="1"/>
    <xf numFmtId="4" fontId="13" fillId="0" borderId="0" xfId="0" applyNumberFormat="1" applyFont="1"/>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top" wrapText="1"/>
    </xf>
    <xf numFmtId="0" fontId="14" fillId="0" borderId="39" xfId="0" applyFont="1" applyBorder="1" applyAlignment="1">
      <alignment horizontal="left" vertical="center" wrapText="1"/>
    </xf>
    <xf numFmtId="42" fontId="2" fillId="0" borderId="0" xfId="4" applyFont="1" applyBorder="1"/>
    <xf numFmtId="9" fontId="2" fillId="0" borderId="0" xfId="0" applyNumberFormat="1" applyFont="1" applyFill="1"/>
    <xf numFmtId="0" fontId="2" fillId="0" borderId="1" xfId="0" applyFont="1" applyBorder="1" applyAlignment="1">
      <alignment horizontal="left" vertical="top" wrapText="1"/>
    </xf>
    <xf numFmtId="4" fontId="0" fillId="0" borderId="0" xfId="0" applyNumberFormat="1"/>
    <xf numFmtId="4" fontId="16" fillId="0" borderId="0" xfId="0" applyNumberFormat="1" applyFont="1"/>
    <xf numFmtId="10" fontId="2" fillId="0" borderId="0" xfId="0" applyNumberFormat="1" applyFont="1" applyFill="1"/>
    <xf numFmtId="3" fontId="17" fillId="0" borderId="0" xfId="0" applyNumberFormat="1" applyFont="1"/>
    <xf numFmtId="164" fontId="2" fillId="0" borderId="0" xfId="1" applyNumberFormat="1" applyFont="1" applyFill="1"/>
    <xf numFmtId="10" fontId="2" fillId="0" borderId="1" xfId="0" applyNumberFormat="1" applyFont="1" applyFill="1" applyBorder="1" applyAlignment="1">
      <alignment vertical="center" wrapText="1"/>
    </xf>
    <xf numFmtId="0" fontId="16" fillId="0" borderId="43" xfId="0" applyFont="1" applyBorder="1" applyAlignment="1">
      <alignment horizontal="center" vertical="center"/>
    </xf>
    <xf numFmtId="10" fontId="16" fillId="0" borderId="44" xfId="0" applyNumberFormat="1" applyFont="1" applyBorder="1" applyAlignment="1">
      <alignment horizontal="center" vertical="center"/>
    </xf>
    <xf numFmtId="4" fontId="16" fillId="0" borderId="44" xfId="0" applyNumberFormat="1" applyFont="1" applyBorder="1" applyAlignment="1">
      <alignment horizontal="right" vertical="center"/>
    </xf>
    <xf numFmtId="0" fontId="16" fillId="8" borderId="44" xfId="0" applyFont="1" applyFill="1" applyBorder="1" applyAlignment="1">
      <alignment horizontal="center" vertical="center"/>
    </xf>
    <xf numFmtId="0" fontId="16" fillId="8" borderId="44" xfId="0" applyFont="1" applyFill="1" applyBorder="1" applyAlignment="1">
      <alignment horizontal="right" vertical="center"/>
    </xf>
    <xf numFmtId="0" fontId="16" fillId="8" borderId="44" xfId="0" applyFont="1" applyFill="1" applyBorder="1" applyAlignment="1">
      <alignment horizontal="right" vertical="center" wrapText="1"/>
    </xf>
    <xf numFmtId="9" fontId="16" fillId="0" borderId="44" xfId="0" applyNumberFormat="1" applyFont="1" applyBorder="1" applyAlignment="1">
      <alignment horizontal="center" vertical="center"/>
    </xf>
    <xf numFmtId="0" fontId="16" fillId="9" borderId="44" xfId="0" applyFont="1" applyFill="1" applyBorder="1" applyAlignment="1">
      <alignment horizontal="center" vertical="center" wrapText="1"/>
    </xf>
    <xf numFmtId="3" fontId="16" fillId="0" borderId="44" xfId="0" applyNumberFormat="1" applyFont="1" applyBorder="1" applyAlignment="1">
      <alignment horizontal="right" vertical="center"/>
    </xf>
    <xf numFmtId="10" fontId="16" fillId="0" borderId="44" xfId="0" applyNumberFormat="1" applyFont="1" applyBorder="1" applyAlignment="1">
      <alignment horizontal="right" vertical="center" wrapText="1"/>
    </xf>
    <xf numFmtId="4" fontId="16" fillId="0" borderId="44" xfId="0" applyNumberFormat="1" applyFont="1" applyBorder="1" applyAlignment="1">
      <alignment horizontal="right" vertical="center" wrapText="1"/>
    </xf>
    <xf numFmtId="0" fontId="21" fillId="10" borderId="44" xfId="0" applyFont="1" applyFill="1" applyBorder="1" applyAlignment="1">
      <alignment horizontal="center" vertical="center"/>
    </xf>
    <xf numFmtId="0" fontId="21" fillId="10" borderId="44" xfId="0" applyFont="1" applyFill="1" applyBorder="1" applyAlignment="1">
      <alignment horizontal="center" vertical="center" wrapText="1"/>
    </xf>
    <xf numFmtId="0" fontId="21" fillId="0" borderId="43" xfId="0" applyFont="1" applyBorder="1" applyAlignment="1">
      <alignment horizontal="center" vertical="center"/>
    </xf>
    <xf numFmtId="0" fontId="22" fillId="3" borderId="1" xfId="0" applyFont="1" applyFill="1" applyBorder="1"/>
    <xf numFmtId="0" fontId="0" fillId="3" borderId="1" xfId="0" applyFill="1" applyBorder="1"/>
    <xf numFmtId="0" fontId="23" fillId="11" borderId="1" xfId="0" applyFont="1" applyFill="1" applyBorder="1" applyAlignment="1" applyProtection="1">
      <alignment horizontal="center" vertical="top" wrapText="1" readingOrder="1"/>
      <protection locked="0"/>
    </xf>
    <xf numFmtId="0" fontId="24" fillId="11" borderId="1" xfId="0" applyFont="1" applyFill="1" applyBorder="1" applyAlignment="1" applyProtection="1">
      <alignment vertical="center" wrapText="1" readingOrder="1"/>
      <protection locked="0"/>
    </xf>
    <xf numFmtId="10" fontId="24" fillId="11" borderId="1" xfId="0" applyNumberFormat="1" applyFont="1" applyFill="1" applyBorder="1" applyAlignment="1" applyProtection="1">
      <alignment horizontal="right" vertical="center" wrapText="1" readingOrder="1"/>
      <protection locked="0"/>
    </xf>
    <xf numFmtId="0" fontId="25" fillId="11" borderId="1" xfId="0" applyFont="1" applyFill="1" applyBorder="1" applyAlignment="1" applyProtection="1">
      <alignment vertical="center" wrapText="1" readingOrder="1"/>
      <protection locked="0"/>
    </xf>
    <xf numFmtId="10" fontId="25" fillId="11" borderId="1" xfId="0" applyNumberFormat="1" applyFont="1" applyFill="1" applyBorder="1" applyAlignment="1" applyProtection="1">
      <alignment horizontal="right" vertical="center" wrapText="1" readingOrder="1"/>
      <protection locked="0"/>
    </xf>
    <xf numFmtId="10" fontId="2" fillId="0" borderId="0" xfId="1" applyNumberFormat="1" applyFont="1" applyFill="1"/>
    <xf numFmtId="0" fontId="16" fillId="0" borderId="44" xfId="0" applyFont="1" applyBorder="1" applyAlignment="1">
      <alignment horizontal="center" vertical="center"/>
    </xf>
    <xf numFmtId="0" fontId="16" fillId="9" borderId="44" xfId="0" applyFont="1" applyFill="1" applyBorder="1" applyAlignment="1">
      <alignment horizontal="right" vertical="center" wrapText="1"/>
    </xf>
    <xf numFmtId="10" fontId="0" fillId="0" borderId="0" xfId="0" applyNumberFormat="1"/>
    <xf numFmtId="4" fontId="15" fillId="0" borderId="0" xfId="0" applyNumberFormat="1" applyFont="1"/>
    <xf numFmtId="9" fontId="0" fillId="0" borderId="0" xfId="1" applyFont="1"/>
    <xf numFmtId="10" fontId="0" fillId="0" borderId="0" xfId="1" applyNumberFormat="1" applyFont="1"/>
    <xf numFmtId="0" fontId="26" fillId="3" borderId="0" xfId="0" applyFont="1" applyFill="1"/>
    <xf numFmtId="0" fontId="0" fillId="3" borderId="0" xfId="0" applyFont="1" applyFill="1"/>
    <xf numFmtId="0" fontId="27" fillId="11" borderId="45" xfId="0" applyFont="1" applyFill="1" applyBorder="1" applyAlignment="1" applyProtection="1">
      <alignment horizontal="center" vertical="top" wrapText="1" readingOrder="1"/>
      <protection locked="0"/>
    </xf>
    <xf numFmtId="0" fontId="28" fillId="11" borderId="45" xfId="0" applyFont="1" applyFill="1" applyBorder="1" applyAlignment="1" applyProtection="1">
      <alignment vertical="center" wrapText="1" readingOrder="1"/>
      <protection locked="0"/>
    </xf>
    <xf numFmtId="0" fontId="28" fillId="11" borderId="45" xfId="0" applyFont="1" applyFill="1" applyBorder="1" applyAlignment="1" applyProtection="1">
      <alignment horizontal="right" vertical="center" wrapText="1" readingOrder="1"/>
      <protection locked="0"/>
    </xf>
    <xf numFmtId="166" fontId="28" fillId="11" borderId="45" xfId="0" applyNumberFormat="1" applyFont="1" applyFill="1" applyBorder="1" applyAlignment="1" applyProtection="1">
      <alignment horizontal="right" vertical="center" wrapText="1" readingOrder="1"/>
      <protection locked="0"/>
    </xf>
    <xf numFmtId="10" fontId="28" fillId="11" borderId="45" xfId="0" applyNumberFormat="1" applyFont="1" applyFill="1" applyBorder="1" applyAlignment="1" applyProtection="1">
      <alignment horizontal="right" vertical="center" wrapText="1" readingOrder="1"/>
      <protection locked="0"/>
    </xf>
    <xf numFmtId="10" fontId="29" fillId="11" borderId="45" xfId="0" applyNumberFormat="1" applyFont="1" applyFill="1" applyBorder="1" applyAlignment="1" applyProtection="1">
      <alignment horizontal="right" vertical="center" wrapText="1" readingOrder="1"/>
      <protection locked="0"/>
    </xf>
    <xf numFmtId="0" fontId="28" fillId="11" borderId="46" xfId="0" applyFont="1" applyFill="1" applyBorder="1" applyAlignment="1" applyProtection="1">
      <alignment horizontal="right" vertical="center" wrapText="1" readingOrder="1"/>
      <protection locked="0"/>
    </xf>
    <xf numFmtId="10" fontId="29" fillId="11" borderId="47" xfId="0" applyNumberFormat="1" applyFont="1" applyFill="1" applyBorder="1" applyAlignment="1" applyProtection="1">
      <alignment horizontal="right" vertical="center" wrapText="1" readingOrder="1"/>
      <protection locked="0"/>
    </xf>
    <xf numFmtId="0" fontId="0" fillId="3" borderId="1" xfId="0" applyFont="1" applyFill="1" applyBorder="1"/>
    <xf numFmtId="9" fontId="2" fillId="3" borderId="1" xfId="0" applyNumberFormat="1" applyFont="1" applyFill="1" applyBorder="1" applyAlignment="1">
      <alignment horizontal="right" vertical="center" wrapText="1"/>
    </xf>
    <xf numFmtId="9" fontId="2" fillId="0" borderId="1" xfId="1" applyFont="1" applyFill="1" applyBorder="1" applyAlignment="1">
      <alignment vertical="center" wrapText="1"/>
    </xf>
    <xf numFmtId="0" fontId="7" fillId="3" borderId="1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2" fillId="0" borderId="0" xfId="0" applyFont="1" applyFill="1" applyAlignment="1">
      <alignment horizontal="center"/>
    </xf>
    <xf numFmtId="43" fontId="7" fillId="0" borderId="3" xfId="3" applyFont="1" applyFill="1" applyBorder="1" applyAlignment="1">
      <alignment horizontal="right" vertical="center"/>
    </xf>
    <xf numFmtId="43" fontId="7" fillId="0" borderId="2" xfId="3" applyFont="1" applyFill="1" applyBorder="1" applyAlignment="1">
      <alignment horizontal="right" vertical="center"/>
    </xf>
    <xf numFmtId="165" fontId="7" fillId="0" borderId="1" xfId="3" applyNumberFormat="1" applyFont="1" applyFill="1" applyBorder="1" applyAlignment="1">
      <alignment horizontal="right" vertical="center"/>
    </xf>
    <xf numFmtId="165" fontId="7" fillId="0" borderId="2" xfId="3" applyNumberFormat="1" applyFont="1" applyFill="1" applyBorder="1" applyAlignment="1">
      <alignment horizontal="right" vertical="center"/>
    </xf>
    <xf numFmtId="9" fontId="7" fillId="0" borderId="1" xfId="1" applyNumberFormat="1" applyFont="1" applyFill="1" applyBorder="1" applyAlignment="1">
      <alignment horizontal="right" vertical="center"/>
    </xf>
    <xf numFmtId="0" fontId="7" fillId="0" borderId="1" xfId="0" applyFont="1" applyFill="1" applyBorder="1" applyAlignment="1">
      <alignment horizontal="right" vertical="center"/>
    </xf>
    <xf numFmtId="9" fontId="7" fillId="0" borderId="1" xfId="0" applyNumberFormat="1" applyFont="1" applyFill="1" applyBorder="1" applyAlignment="1">
      <alignment horizontal="right" vertical="center"/>
    </xf>
    <xf numFmtId="164" fontId="7" fillId="0" borderId="9" xfId="1" applyNumberFormat="1" applyFont="1" applyFill="1" applyBorder="1" applyAlignment="1">
      <alignment horizontal="right" vertical="center"/>
    </xf>
    <xf numFmtId="164" fontId="7" fillId="0" borderId="1" xfId="1" applyNumberFormat="1" applyFont="1" applyFill="1" applyBorder="1" applyAlignment="1">
      <alignment horizontal="right" vertical="center"/>
    </xf>
    <xf numFmtId="43" fontId="7" fillId="0" borderId="1" xfId="3" applyFont="1" applyFill="1" applyBorder="1" applyAlignment="1">
      <alignment horizontal="right" vertical="center"/>
    </xf>
    <xf numFmtId="1" fontId="7" fillId="0" borderId="1" xfId="0" applyNumberFormat="1" applyFont="1" applyFill="1" applyBorder="1" applyAlignment="1">
      <alignment horizontal="right" vertical="center"/>
    </xf>
    <xf numFmtId="1" fontId="7" fillId="0" borderId="2" xfId="0" applyNumberFormat="1" applyFont="1" applyFill="1" applyBorder="1" applyAlignment="1">
      <alignment horizontal="right" vertical="center"/>
    </xf>
    <xf numFmtId="0" fontId="7" fillId="0" borderId="2" xfId="0" applyFont="1" applyFill="1" applyBorder="1" applyAlignment="1">
      <alignment horizontal="right" vertical="center"/>
    </xf>
    <xf numFmtId="165" fontId="7" fillId="0" borderId="9" xfId="3" applyNumberFormat="1" applyFont="1" applyFill="1" applyBorder="1" applyAlignment="1">
      <alignment horizontal="right" vertical="center"/>
    </xf>
    <xf numFmtId="0" fontId="2" fillId="3" borderId="1" xfId="0" applyFont="1" applyFill="1" applyBorder="1" applyAlignment="1">
      <alignment horizontal="right" vertical="center" wrapText="1"/>
    </xf>
    <xf numFmtId="9" fontId="10" fillId="0" borderId="1" xfId="0" applyNumberFormat="1" applyFont="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7" fillId="3" borderId="9" xfId="0" applyNumberFormat="1" applyFont="1" applyFill="1" applyBorder="1" applyAlignment="1">
      <alignment horizontal="center" vertical="center"/>
    </xf>
    <xf numFmtId="9" fontId="7" fillId="3" borderId="1" xfId="1" applyFont="1" applyFill="1" applyBorder="1" applyAlignment="1">
      <alignment horizontal="center" vertical="center"/>
    </xf>
    <xf numFmtId="9" fontId="7" fillId="3" borderId="1" xfId="0" applyNumberFormat="1" applyFont="1" applyFill="1" applyBorder="1" applyAlignment="1">
      <alignment horizontal="center" vertical="center"/>
    </xf>
    <xf numFmtId="9" fontId="7" fillId="3" borderId="2" xfId="0" applyNumberFormat="1" applyFont="1" applyFill="1" applyBorder="1" applyAlignment="1">
      <alignment horizontal="center" vertical="center"/>
    </xf>
    <xf numFmtId="10" fontId="7" fillId="3" borderId="1" xfId="0" applyNumberFormat="1" applyFont="1" applyFill="1" applyBorder="1" applyAlignment="1">
      <alignment horizontal="center" vertical="center"/>
    </xf>
    <xf numFmtId="10" fontId="7" fillId="3" borderId="9"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9" fontId="7" fillId="3" borderId="11"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9" fontId="7" fillId="3" borderId="17"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0" fontId="7" fillId="3" borderId="17" xfId="0" applyFont="1" applyFill="1" applyBorder="1" applyAlignment="1">
      <alignment horizontal="right" vertical="center" wrapText="1"/>
    </xf>
    <xf numFmtId="9" fontId="7" fillId="3" borderId="1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9" fontId="7"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9" fontId="30" fillId="0" borderId="1" xfId="0" applyNumberFormat="1" applyFont="1" applyBorder="1" applyAlignment="1">
      <alignment horizontal="right" vertical="center" wrapText="1"/>
    </xf>
    <xf numFmtId="10" fontId="7" fillId="3" borderId="1" xfId="0" applyNumberFormat="1" applyFont="1" applyFill="1" applyBorder="1" applyAlignment="1">
      <alignment horizontal="right" vertical="center" wrapText="1"/>
    </xf>
    <xf numFmtId="4" fontId="31" fillId="0" borderId="33" xfId="0" applyNumberFormat="1" applyFont="1" applyBorder="1" applyAlignment="1">
      <alignment horizontal="right" vertical="center"/>
    </xf>
    <xf numFmtId="4" fontId="13" fillId="0" borderId="33" xfId="0" applyNumberFormat="1" applyFont="1" applyBorder="1" applyAlignment="1">
      <alignment horizontal="right" vertical="center"/>
    </xf>
    <xf numFmtId="10" fontId="7" fillId="3" borderId="14" xfId="0" applyNumberFormat="1" applyFont="1" applyFill="1" applyBorder="1" applyAlignment="1">
      <alignment horizontal="center" vertical="center"/>
    </xf>
    <xf numFmtId="4" fontId="31" fillId="0" borderId="1" xfId="0" applyNumberFormat="1" applyFont="1" applyBorder="1" applyAlignment="1">
      <alignment horizontal="right" vertical="center"/>
    </xf>
    <xf numFmtId="164" fontId="7" fillId="3" borderId="1" xfId="0" applyNumberFormat="1" applyFont="1" applyFill="1" applyBorder="1" applyAlignment="1">
      <alignment horizontal="center" vertical="center"/>
    </xf>
    <xf numFmtId="3" fontId="31" fillId="0" borderId="1" xfId="0" applyNumberFormat="1" applyFont="1" applyBorder="1" applyAlignment="1">
      <alignment horizontal="center" vertical="center" wrapText="1"/>
    </xf>
    <xf numFmtId="9"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9" fontId="32" fillId="3" borderId="11" xfId="0" applyNumberFormat="1" applyFont="1" applyFill="1" applyBorder="1" applyAlignment="1">
      <alignment horizontal="center" vertical="center"/>
    </xf>
    <xf numFmtId="0" fontId="2" fillId="0" borderId="1" xfId="0" applyFont="1" applyFill="1" applyBorder="1" applyAlignment="1">
      <alignment vertical="center"/>
    </xf>
    <xf numFmtId="0" fontId="34" fillId="2" borderId="3"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4" borderId="20" xfId="0" applyFont="1" applyFill="1" applyBorder="1" applyAlignment="1">
      <alignment horizontal="center" vertical="center" wrapText="1"/>
    </xf>
    <xf numFmtId="0" fontId="5" fillId="7" borderId="20"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0" xfId="0" applyFont="1" applyBorder="1" applyAlignment="1"/>
    <xf numFmtId="0" fontId="33" fillId="3" borderId="0" xfId="0" applyFont="1" applyFill="1" applyBorder="1" applyAlignment="1">
      <alignment horizontal="center" vertical="center" wrapText="1"/>
    </xf>
    <xf numFmtId="0" fontId="35" fillId="6" borderId="5" xfId="0" applyFont="1" applyFill="1" applyBorder="1" applyAlignment="1">
      <alignment vertical="center"/>
    </xf>
    <xf numFmtId="0" fontId="35" fillId="6" borderId="6" xfId="0" applyFont="1" applyFill="1" applyBorder="1" applyAlignment="1">
      <alignment vertical="center"/>
    </xf>
    <xf numFmtId="0" fontId="5" fillId="3" borderId="32"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 fontId="31" fillId="0" borderId="48" xfId="0" applyNumberFormat="1" applyFont="1" applyBorder="1" applyAlignment="1">
      <alignment horizontal="right" vertical="center"/>
    </xf>
    <xf numFmtId="0" fontId="2" fillId="0" borderId="49" xfId="0" applyFont="1" applyFill="1" applyBorder="1" applyAlignment="1">
      <alignment horizontal="right" vertical="center" wrapText="1"/>
    </xf>
    <xf numFmtId="4" fontId="31" fillId="0" borderId="49" xfId="0" applyNumberFormat="1" applyFont="1" applyBorder="1" applyAlignment="1">
      <alignment horizontal="right" vertical="center"/>
    </xf>
    <xf numFmtId="0" fontId="7" fillId="0" borderId="49" xfId="0" applyFont="1" applyFill="1" applyBorder="1" applyAlignment="1">
      <alignment horizontal="right" vertical="center" wrapText="1"/>
    </xf>
    <xf numFmtId="9" fontId="7" fillId="0" borderId="49" xfId="0" applyNumberFormat="1" applyFont="1" applyBorder="1" applyAlignment="1">
      <alignment horizontal="right" vertical="center" wrapText="1"/>
    </xf>
    <xf numFmtId="0" fontId="31" fillId="0" borderId="49" xfId="0" applyFont="1" applyBorder="1" applyAlignment="1">
      <alignment horizontal="right" vertical="center" wrapText="1"/>
    </xf>
    <xf numFmtId="0" fontId="7" fillId="3" borderId="49" xfId="0" applyFont="1" applyFill="1" applyBorder="1" applyAlignment="1">
      <alignment horizontal="right" vertical="center" wrapText="1"/>
    </xf>
    <xf numFmtId="9" fontId="7" fillId="3" borderId="49" xfId="0" applyNumberFormat="1" applyFont="1" applyFill="1" applyBorder="1" applyAlignment="1">
      <alignment horizontal="right" vertical="center"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 fillId="12" borderId="1" xfId="0" applyFont="1" applyFill="1" applyBorder="1" applyAlignment="1">
      <alignment horizontal="justify" vertical="center" wrapText="1"/>
    </xf>
    <xf numFmtId="0" fontId="2" fillId="12" borderId="1" xfId="0" applyFont="1" applyFill="1" applyBorder="1" applyAlignment="1">
      <alignment horizontal="center" vertical="center" wrapText="1"/>
    </xf>
    <xf numFmtId="0" fontId="7" fillId="3" borderId="9" xfId="0" applyFont="1" applyFill="1" applyBorder="1" applyAlignment="1">
      <alignment horizontal="left" vertical="center" wrapText="1" readingOrder="1"/>
    </xf>
    <xf numFmtId="0" fontId="34" fillId="2" borderId="30"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1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5" fillId="3" borderId="5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20" xfId="0" applyFont="1" applyFill="1" applyBorder="1" applyAlignment="1">
      <alignment horizontal="center" vertical="center" wrapText="1"/>
    </xf>
    <xf numFmtId="9" fontId="2" fillId="0" borderId="0" xfId="0" applyNumberFormat="1" applyFont="1" applyBorder="1"/>
    <xf numFmtId="9" fontId="7" fillId="14" borderId="1" xfId="0" applyNumberFormat="1" applyFont="1" applyFill="1" applyBorder="1" applyAlignment="1">
      <alignment horizontal="center" vertical="center"/>
    </xf>
    <xf numFmtId="10" fontId="7" fillId="0" borderId="1" xfId="1" applyNumberFormat="1" applyFont="1" applyFill="1" applyBorder="1" applyAlignment="1">
      <alignment horizontal="center" vertical="center"/>
    </xf>
    <xf numFmtId="43" fontId="7" fillId="15" borderId="2" xfId="3" applyFont="1" applyFill="1" applyBorder="1" applyAlignment="1">
      <alignment horizontal="right" vertical="center"/>
    </xf>
    <xf numFmtId="164" fontId="7" fillId="0" borderId="3" xfId="1" applyNumberFormat="1" applyFont="1" applyFill="1" applyBorder="1" applyAlignment="1">
      <alignment horizontal="right" vertical="center"/>
    </xf>
    <xf numFmtId="164" fontId="7" fillId="0" borderId="2" xfId="1" applyNumberFormat="1" applyFont="1" applyFill="1" applyBorder="1" applyAlignment="1">
      <alignment horizontal="right" vertical="center"/>
    </xf>
    <xf numFmtId="43" fontId="7" fillId="0" borderId="1" xfId="3" applyFont="1" applyFill="1" applyBorder="1" applyAlignment="1">
      <alignment horizontal="center" vertical="center"/>
    </xf>
    <xf numFmtId="165" fontId="7" fillId="0" borderId="1" xfId="3" applyNumberFormat="1" applyFont="1" applyFill="1" applyBorder="1" applyAlignment="1">
      <alignment horizontal="center" vertical="center"/>
    </xf>
    <xf numFmtId="43" fontId="2" fillId="0" borderId="0" xfId="0" applyNumberFormat="1" applyFont="1" applyFill="1"/>
    <xf numFmtId="0" fontId="2" fillId="0" borderId="0" xfId="0" applyFont="1" applyFill="1" applyBorder="1" applyAlignment="1">
      <alignment horizontal="justify" vertical="top" wrapText="1"/>
    </xf>
    <xf numFmtId="164" fontId="7" fillId="0" borderId="2" xfId="1" applyNumberFormat="1" applyFont="1" applyFill="1" applyBorder="1" applyAlignment="1">
      <alignment horizontal="center" vertical="center"/>
    </xf>
    <xf numFmtId="164" fontId="39" fillId="3" borderId="1" xfId="0" applyNumberFormat="1" applyFont="1" applyFill="1" applyBorder="1" applyAlignment="1">
      <alignment horizontal="center" vertical="center" wrapText="1"/>
    </xf>
    <xf numFmtId="0" fontId="31" fillId="0" borderId="14" xfId="0" applyFont="1" applyBorder="1" applyAlignment="1">
      <alignment horizontal="right" vertical="center" wrapText="1"/>
    </xf>
    <xf numFmtId="0" fontId="7" fillId="3" borderId="11" xfId="0" applyFont="1" applyFill="1" applyBorder="1" applyAlignment="1">
      <alignment horizontal="right" vertical="center" wrapText="1"/>
    </xf>
    <xf numFmtId="165" fontId="7" fillId="3" borderId="2" xfId="3" applyNumberFormat="1" applyFont="1" applyFill="1" applyBorder="1" applyAlignment="1">
      <alignment horizontal="center" vertical="center" wrapText="1"/>
    </xf>
    <xf numFmtId="164" fontId="39" fillId="0" borderId="1" xfId="0" applyNumberFormat="1" applyFont="1" applyBorder="1" applyAlignment="1">
      <alignment horizontal="center" vertical="center" wrapText="1"/>
    </xf>
    <xf numFmtId="165" fontId="7" fillId="0" borderId="1" xfId="3" applyNumberFormat="1" applyFont="1" applyFill="1" applyBorder="1" applyAlignment="1">
      <alignment horizontal="right" vertical="center" wrapText="1"/>
    </xf>
    <xf numFmtId="0" fontId="2" fillId="12" borderId="0" xfId="0" applyFont="1" applyFill="1"/>
    <xf numFmtId="0" fontId="2" fillId="3" borderId="0" xfId="0" applyFont="1" applyFill="1"/>
    <xf numFmtId="9" fontId="39" fillId="3" borderId="1" xfId="1" applyFont="1" applyFill="1" applyBorder="1" applyAlignment="1">
      <alignment horizontal="center" vertical="center" wrapText="1"/>
    </xf>
    <xf numFmtId="9" fontId="40" fillId="0" borderId="1" xfId="1" applyFont="1" applyBorder="1" applyAlignment="1">
      <alignment horizontal="center" vertical="center" wrapText="1"/>
    </xf>
    <xf numFmtId="10" fontId="7" fillId="0" borderId="1" xfId="1" applyNumberFormat="1" applyFont="1" applyFill="1" applyBorder="1" applyAlignment="1">
      <alignment horizontal="right" vertical="center"/>
    </xf>
    <xf numFmtId="10" fontId="39" fillId="3" borderId="1" xfId="0" applyNumberFormat="1" applyFont="1" applyFill="1" applyBorder="1" applyAlignment="1">
      <alignment horizontal="center" vertical="center" wrapText="1"/>
    </xf>
    <xf numFmtId="43" fontId="7" fillId="3" borderId="14" xfId="3" applyFont="1" applyFill="1" applyBorder="1" applyAlignment="1">
      <alignment horizontal="center" vertical="center" wrapText="1"/>
    </xf>
    <xf numFmtId="9" fontId="39" fillId="3" borderId="9" xfId="0" applyNumberFormat="1" applyFont="1" applyFill="1" applyBorder="1" applyAlignment="1">
      <alignment horizontal="center" vertical="center" wrapText="1"/>
    </xf>
    <xf numFmtId="0" fontId="2" fillId="0" borderId="11" xfId="0" applyFont="1" applyFill="1" applyBorder="1" applyAlignment="1">
      <alignment horizontal="justify" vertical="top" wrapText="1"/>
    </xf>
    <xf numFmtId="9" fontId="2" fillId="0" borderId="0" xfId="1" applyFont="1" applyFill="1" applyBorder="1" applyAlignment="1">
      <alignment horizontal="justify" vertical="top" wrapText="1"/>
    </xf>
    <xf numFmtId="164" fontId="40" fillId="0" borderId="54" xfId="1" applyNumberFormat="1" applyFont="1" applyBorder="1" applyAlignment="1">
      <alignment horizontal="center" vertical="center"/>
    </xf>
    <xf numFmtId="9" fontId="31" fillId="0" borderId="1" xfId="1" applyFont="1" applyBorder="1" applyAlignment="1">
      <alignment horizontal="center" vertical="center"/>
    </xf>
    <xf numFmtId="10" fontId="24" fillId="17" borderId="1" xfId="0" applyNumberFormat="1" applyFont="1" applyFill="1" applyBorder="1" applyAlignment="1" applyProtection="1">
      <alignment horizontal="right" vertical="center" wrapText="1" readingOrder="1"/>
      <protection locked="0"/>
    </xf>
    <xf numFmtId="1" fontId="0" fillId="0" borderId="0" xfId="0" applyNumberFormat="1"/>
    <xf numFmtId="0" fontId="2" fillId="3" borderId="2" xfId="0" applyFont="1" applyFill="1" applyBorder="1" applyAlignment="1">
      <alignment horizontal="justify" vertical="top" wrapText="1"/>
    </xf>
    <xf numFmtId="164" fontId="39" fillId="3" borderId="2" xfId="0" applyNumberFormat="1" applyFont="1" applyFill="1" applyBorder="1" applyAlignment="1">
      <alignment horizontal="center" vertical="center" wrapText="1"/>
    </xf>
    <xf numFmtId="43" fontId="7" fillId="3" borderId="1" xfId="3" applyFont="1" applyFill="1" applyBorder="1" applyAlignment="1">
      <alignment horizontal="center" vertical="center" wrapText="1"/>
    </xf>
    <xf numFmtId="164" fontId="40" fillId="0" borderId="1" xfId="1" applyNumberFormat="1" applyFont="1" applyBorder="1" applyAlignment="1">
      <alignment horizontal="center" vertical="center"/>
    </xf>
    <xf numFmtId="9" fontId="41" fillId="3" borderId="2" xfId="1" applyFont="1" applyFill="1" applyBorder="1" applyAlignment="1">
      <alignment horizontal="center" vertical="center" wrapText="1"/>
    </xf>
    <xf numFmtId="0" fontId="7" fillId="3" borderId="11" xfId="0" applyFont="1" applyFill="1" applyBorder="1" applyAlignment="1">
      <alignment horizontal="center" vertical="center" wrapText="1"/>
    </xf>
    <xf numFmtId="9" fontId="39" fillId="3" borderId="1" xfId="0" applyNumberFormat="1"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9" fontId="39" fillId="0" borderId="1" xfId="0" applyNumberFormat="1" applyFont="1" applyBorder="1" applyAlignment="1">
      <alignment horizontal="center" vertical="center" wrapText="1"/>
    </xf>
    <xf numFmtId="0" fontId="14" fillId="0" borderId="1" xfId="0" applyFont="1" applyBorder="1" applyAlignment="1">
      <alignment horizontal="justify" vertical="top" wrapText="1"/>
    </xf>
    <xf numFmtId="43" fontId="32" fillId="0" borderId="1" xfId="3" applyFont="1" applyBorder="1" applyAlignment="1">
      <alignment horizontal="left" vertical="center" wrapText="1"/>
    </xf>
    <xf numFmtId="164" fontId="7" fillId="0" borderId="11" xfId="1" applyNumberFormat="1" applyFont="1" applyFill="1" applyBorder="1" applyAlignment="1">
      <alignment horizontal="right" vertical="center"/>
    </xf>
    <xf numFmtId="0" fontId="2" fillId="0" borderId="1" xfId="0" applyFont="1" applyFill="1" applyBorder="1"/>
    <xf numFmtId="0" fontId="2" fillId="0" borderId="0" xfId="0" applyFont="1" applyBorder="1" applyAlignment="1"/>
    <xf numFmtId="164" fontId="39" fillId="0" borderId="1" xfId="0" applyNumberFormat="1" applyFont="1" applyFill="1" applyBorder="1" applyAlignment="1">
      <alignment horizontal="center" vertical="center" wrapText="1"/>
    </xf>
    <xf numFmtId="0" fontId="5" fillId="18" borderId="8" xfId="0" applyFont="1" applyFill="1" applyBorder="1" applyAlignment="1">
      <alignment horizontal="center" vertical="center" wrapText="1"/>
    </xf>
    <xf numFmtId="9" fontId="6" fillId="3" borderId="2" xfId="1" applyFont="1" applyFill="1" applyBorder="1" applyAlignment="1">
      <alignment horizontal="center" vertical="center"/>
    </xf>
    <xf numFmtId="164" fontId="6" fillId="3" borderId="1" xfId="1" applyNumberFormat="1" applyFont="1" applyFill="1" applyBorder="1" applyAlignment="1">
      <alignment horizontal="center" vertical="center"/>
    </xf>
    <xf numFmtId="9" fontId="6" fillId="3" borderId="1" xfId="0" applyNumberFormat="1" applyFont="1" applyFill="1" applyBorder="1" applyAlignment="1">
      <alignment horizontal="center" vertical="center"/>
    </xf>
    <xf numFmtId="10" fontId="39" fillId="0" borderId="1" xfId="0" applyNumberFormat="1" applyFont="1" applyFill="1" applyBorder="1" applyAlignment="1">
      <alignment horizontal="center" vertical="center" wrapText="1"/>
    </xf>
    <xf numFmtId="9" fontId="7" fillId="0" borderId="1" xfId="0" applyNumberFormat="1" applyFont="1" applyBorder="1" applyAlignment="1">
      <alignment horizontal="right" vertical="center" wrapText="1"/>
    </xf>
    <xf numFmtId="0" fontId="31" fillId="0" borderId="14" xfId="0" applyFont="1" applyBorder="1" applyAlignment="1">
      <alignment horizontal="center" vertical="center" wrapText="1"/>
    </xf>
    <xf numFmtId="164" fontId="39" fillId="0" borderId="1" xfId="1" applyNumberFormat="1" applyFont="1" applyBorder="1" applyAlignment="1">
      <alignment horizontal="center" vertical="center" wrapText="1"/>
    </xf>
    <xf numFmtId="0" fontId="7" fillId="0" borderId="1" xfId="0" applyFont="1" applyBorder="1" applyAlignment="1">
      <alignment horizontal="left" vertical="center"/>
    </xf>
    <xf numFmtId="9" fontId="6" fillId="3" borderId="2" xfId="0" applyNumberFormat="1" applyFont="1" applyFill="1" applyBorder="1" applyAlignment="1">
      <alignment horizontal="center" vertical="center"/>
    </xf>
    <xf numFmtId="9" fontId="31" fillId="0" borderId="14" xfId="1" applyFont="1" applyBorder="1" applyAlignment="1">
      <alignment horizontal="center" vertical="center" wrapText="1"/>
    </xf>
    <xf numFmtId="0" fontId="5" fillId="18" borderId="8" xfId="0" applyFont="1" applyFill="1" applyBorder="1" applyAlignment="1">
      <alignment horizontal="center" vertical="center"/>
    </xf>
    <xf numFmtId="0" fontId="5" fillId="18" borderId="32" xfId="0" applyFont="1" applyFill="1" applyBorder="1" applyAlignment="1">
      <alignment horizontal="center" vertical="center" wrapText="1"/>
    </xf>
    <xf numFmtId="0" fontId="5" fillId="19" borderId="8" xfId="0" applyFont="1" applyFill="1" applyBorder="1" applyAlignment="1">
      <alignment horizontal="center" vertical="center" wrapText="1"/>
    </xf>
    <xf numFmtId="9" fontId="2" fillId="0" borderId="1" xfId="0" applyNumberFormat="1" applyFont="1" applyBorder="1" applyAlignment="1">
      <alignment horizontal="justify" vertical="center" wrapText="1"/>
    </xf>
    <xf numFmtId="9" fontId="31" fillId="0" borderId="1" xfId="1" applyNumberFormat="1" applyFont="1" applyBorder="1" applyAlignment="1">
      <alignment horizontal="center" vertical="center"/>
    </xf>
    <xf numFmtId="0" fontId="5" fillId="10" borderId="8" xfId="0" applyFont="1" applyFill="1" applyBorder="1" applyAlignment="1">
      <alignment horizontal="center" vertical="center" wrapText="1"/>
    </xf>
    <xf numFmtId="0" fontId="7" fillId="3" borderId="1" xfId="0" applyFont="1" applyFill="1" applyBorder="1" applyAlignment="1">
      <alignment horizontal="justify" vertical="center" wrapText="1" readingOrder="1"/>
    </xf>
    <xf numFmtId="165" fontId="7" fillId="3" borderId="14" xfId="3" applyNumberFormat="1" applyFont="1" applyFill="1" applyBorder="1" applyAlignment="1">
      <alignment horizontal="center" vertical="center" wrapText="1"/>
    </xf>
    <xf numFmtId="0" fontId="5" fillId="10" borderId="3" xfId="0" applyFont="1" applyFill="1" applyBorder="1" applyAlignment="1">
      <alignment horizontal="center" vertical="center" wrapText="1"/>
    </xf>
    <xf numFmtId="10" fontId="40" fillId="0" borderId="1" xfId="0" applyNumberFormat="1" applyFont="1" applyBorder="1" applyAlignment="1">
      <alignment horizontal="center" vertical="center" wrapText="1"/>
    </xf>
    <xf numFmtId="43" fontId="7" fillId="0" borderId="9" xfId="3" applyFont="1" applyBorder="1" applyAlignment="1">
      <alignment vertical="center"/>
    </xf>
    <xf numFmtId="0" fontId="5" fillId="7" borderId="1" xfId="0" applyFont="1" applyFill="1" applyBorder="1" applyAlignment="1">
      <alignment horizontal="center" vertical="center" wrapText="1"/>
    </xf>
    <xf numFmtId="4" fontId="30" fillId="0" borderId="1" xfId="0" applyNumberFormat="1" applyFont="1" applyBorder="1" applyAlignment="1">
      <alignment horizontal="right" vertical="center"/>
    </xf>
    <xf numFmtId="0" fontId="10" fillId="0" borderId="1" xfId="0" applyFont="1" applyFill="1" applyBorder="1" applyAlignment="1">
      <alignment horizontal="justify" vertical="top" wrapText="1"/>
    </xf>
    <xf numFmtId="165" fontId="30" fillId="3" borderId="2" xfId="3" applyNumberFormat="1" applyFont="1" applyFill="1" applyBorder="1" applyAlignment="1">
      <alignment horizontal="center" vertical="center" wrapText="1"/>
    </xf>
    <xf numFmtId="0" fontId="30" fillId="3" borderId="1" xfId="0" applyFont="1" applyFill="1" applyBorder="1" applyAlignment="1">
      <alignment horizontal="justify" vertical="center" wrapText="1" readingOrder="1"/>
    </xf>
    <xf numFmtId="164" fontId="30" fillId="0" borderId="2" xfId="1" applyNumberFormat="1" applyFont="1" applyFill="1" applyBorder="1" applyAlignment="1">
      <alignment horizontal="right" vertical="center"/>
    </xf>
    <xf numFmtId="165" fontId="30" fillId="0" borderId="1" xfId="3" applyNumberFormat="1" applyFont="1" applyFill="1" applyBorder="1" applyAlignment="1">
      <alignment horizontal="right" vertical="center" wrapText="1"/>
    </xf>
    <xf numFmtId="165" fontId="30" fillId="3" borderId="1" xfId="3" applyNumberFormat="1" applyFont="1" applyFill="1" applyBorder="1" applyAlignment="1">
      <alignment horizontal="center" vertical="center" wrapText="1"/>
    </xf>
    <xf numFmtId="165" fontId="30" fillId="0" borderId="2" xfId="3" applyNumberFormat="1" applyFont="1" applyFill="1" applyBorder="1" applyAlignment="1">
      <alignment horizontal="right" vertical="center"/>
    </xf>
    <xf numFmtId="43" fontId="30" fillId="3" borderId="2" xfId="3" applyNumberFormat="1" applyFont="1" applyFill="1" applyBorder="1" applyAlignment="1">
      <alignment horizontal="center" vertical="center" wrapText="1"/>
    </xf>
    <xf numFmtId="9" fontId="39" fillId="0" borderId="1" xfId="1" applyNumberFormat="1" applyFont="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9" fontId="31" fillId="0" borderId="1" xfId="1" applyFont="1" applyBorder="1" applyAlignment="1">
      <alignment horizontal="center" vertical="center" wrapText="1"/>
    </xf>
    <xf numFmtId="164" fontId="7" fillId="0" borderId="1" xfId="1" applyNumberFormat="1" applyFont="1" applyBorder="1" applyAlignment="1">
      <alignment horizontal="center" vertical="center" wrapText="1"/>
    </xf>
    <xf numFmtId="9" fontId="39" fillId="0" borderId="1" xfId="0" applyNumberFormat="1" applyFont="1" applyFill="1" applyBorder="1" applyAlignment="1">
      <alignment horizontal="center" vertical="center" wrapText="1"/>
    </xf>
    <xf numFmtId="10" fontId="42" fillId="3" borderId="1" xfId="0" applyNumberFormat="1" applyFont="1" applyFill="1" applyBorder="1" applyAlignment="1">
      <alignment horizontal="center" vertical="center"/>
    </xf>
    <xf numFmtId="0" fontId="43" fillId="20" borderId="8" xfId="0" applyFont="1" applyFill="1" applyBorder="1" applyAlignment="1">
      <alignment horizontal="center" vertical="center" wrapText="1"/>
    </xf>
    <xf numFmtId="43" fontId="7" fillId="0" borderId="1" xfId="3" applyFont="1" applyFill="1" applyBorder="1" applyAlignment="1">
      <alignment horizontal="center" vertical="center" wrapText="1"/>
    </xf>
    <xf numFmtId="164" fontId="7" fillId="0" borderId="1" xfId="0" applyNumberFormat="1" applyFont="1" applyFill="1" applyBorder="1" applyAlignment="1">
      <alignment horizontal="right" vertical="center" wrapText="1" indent="2"/>
    </xf>
    <xf numFmtId="10" fontId="7" fillId="0"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0" fontId="44" fillId="3" borderId="1" xfId="0" applyNumberFormat="1" applyFont="1" applyFill="1" applyBorder="1" applyAlignment="1">
      <alignment horizontal="center" vertical="center"/>
    </xf>
    <xf numFmtId="164" fontId="44" fillId="3" borderId="14" xfId="0" applyNumberFormat="1" applyFont="1" applyFill="1" applyBorder="1" applyAlignment="1">
      <alignment horizontal="center" vertical="center"/>
    </xf>
    <xf numFmtId="0" fontId="2" fillId="0" borderId="1" xfId="0" applyFont="1" applyBorder="1" applyAlignment="1">
      <alignment horizontal="center" vertical="center"/>
    </xf>
    <xf numFmtId="0" fontId="47" fillId="0" borderId="1" xfId="0" applyFont="1" applyBorder="1" applyAlignment="1">
      <alignment horizontal="center" vertical="center"/>
    </xf>
    <xf numFmtId="0" fontId="47" fillId="0" borderId="1" xfId="0" applyFont="1" applyFill="1" applyBorder="1" applyAlignment="1">
      <alignment vertical="center" wrapText="1"/>
    </xf>
    <xf numFmtId="0" fontId="47" fillId="3" borderId="1" xfId="0" applyFont="1" applyFill="1" applyBorder="1" applyAlignment="1">
      <alignment horizontal="left" vertical="center" wrapText="1" readingOrder="1"/>
    </xf>
    <xf numFmtId="0" fontId="47" fillId="3" borderId="1" xfId="0" applyFont="1" applyFill="1" applyBorder="1" applyAlignment="1">
      <alignment horizontal="justify" vertical="center" wrapText="1" readingOrder="1"/>
    </xf>
    <xf numFmtId="0" fontId="47" fillId="0" borderId="1" xfId="0" applyFont="1" applyFill="1" applyBorder="1" applyAlignment="1">
      <alignment horizontal="justify" vertical="center" wrapText="1"/>
    </xf>
    <xf numFmtId="0" fontId="47" fillId="0" borderId="1" xfId="0" applyFont="1" applyBorder="1" applyAlignment="1">
      <alignment vertical="center" wrapText="1"/>
    </xf>
    <xf numFmtId="0" fontId="47" fillId="0" borderId="1" xfId="0" applyFont="1" applyBorder="1" applyAlignment="1">
      <alignment wrapText="1"/>
    </xf>
    <xf numFmtId="0" fontId="47" fillId="3" borderId="1" xfId="0" applyFont="1" applyFill="1" applyBorder="1" applyAlignment="1">
      <alignment horizontal="left" vertical="center" wrapText="1"/>
    </xf>
    <xf numFmtId="0" fontId="47" fillId="3" borderId="1" xfId="0" applyFont="1" applyFill="1" applyBorder="1" applyAlignment="1">
      <alignment vertical="center" wrapText="1"/>
    </xf>
    <xf numFmtId="0" fontId="43" fillId="4" borderId="8" xfId="0" applyFont="1" applyFill="1" applyBorder="1" applyAlignment="1">
      <alignment horizontal="center" vertical="center" wrapText="1"/>
    </xf>
    <xf numFmtId="0" fontId="2" fillId="0" borderId="1" xfId="0" applyFont="1" applyFill="1" applyBorder="1" applyAlignment="1">
      <alignment horizontal="center" vertical="center"/>
    </xf>
    <xf numFmtId="10" fontId="2" fillId="0" borderId="1" xfId="0" applyNumberFormat="1" applyFont="1" applyFill="1" applyBorder="1" applyAlignment="1">
      <alignment horizontal="center" vertical="center"/>
    </xf>
    <xf numFmtId="0" fontId="30" fillId="3" borderId="9" xfId="0" applyFont="1" applyFill="1" applyBorder="1" applyAlignment="1">
      <alignment horizontal="justify" vertical="center" wrapText="1" readingOrder="1"/>
    </xf>
    <xf numFmtId="10" fontId="39" fillId="0" borderId="9" xfId="0" applyNumberFormat="1" applyFont="1" applyFill="1" applyBorder="1" applyAlignment="1">
      <alignment horizontal="center" vertical="center" wrapText="1"/>
    </xf>
    <xf numFmtId="43" fontId="7" fillId="0" borderId="9" xfId="0" applyNumberFormat="1" applyFont="1" applyFill="1" applyBorder="1" applyAlignment="1">
      <alignment horizontal="center" vertical="center" wrapText="1"/>
    </xf>
    <xf numFmtId="0" fontId="10" fillId="3" borderId="1" xfId="0" applyFont="1" applyFill="1" applyBorder="1" applyAlignment="1">
      <alignment horizontal="justify" vertical="center" wrapText="1" readingOrder="1"/>
    </xf>
    <xf numFmtId="0" fontId="43" fillId="13" borderId="8" xfId="0" applyFont="1" applyFill="1" applyBorder="1" applyAlignment="1">
      <alignment horizontal="center" vertical="center" wrapText="1"/>
    </xf>
    <xf numFmtId="10" fontId="39" fillId="0" borderId="1" xfId="0" applyNumberFormat="1" applyFont="1" applyBorder="1" applyAlignment="1">
      <alignment horizontal="center" vertical="center" wrapText="1"/>
    </xf>
    <xf numFmtId="10" fontId="42" fillId="3" borderId="2" xfId="0" applyNumberFormat="1" applyFont="1" applyFill="1" applyBorder="1" applyAlignment="1">
      <alignment horizontal="center" vertical="center"/>
    </xf>
    <xf numFmtId="0" fontId="2" fillId="0" borderId="2" xfId="0" applyFont="1" applyFill="1" applyBorder="1" applyAlignment="1">
      <alignment wrapText="1"/>
    </xf>
    <xf numFmtId="10" fontId="39" fillId="0" borderId="2" xfId="0" applyNumberFormat="1" applyFont="1" applyFill="1" applyBorder="1" applyAlignment="1">
      <alignment horizontal="center" vertical="center" wrapText="1"/>
    </xf>
    <xf numFmtId="0" fontId="30" fillId="3" borderId="1" xfId="0" applyFont="1" applyFill="1" applyBorder="1" applyAlignment="1">
      <alignment horizontal="justify" vertical="center" wrapText="1"/>
    </xf>
    <xf numFmtId="0" fontId="43" fillId="16" borderId="8" xfId="0" applyFont="1" applyFill="1" applyBorder="1" applyAlignment="1">
      <alignment horizontal="center" vertical="center" wrapText="1"/>
    </xf>
    <xf numFmtId="9" fontId="7" fillId="0" borderId="1" xfId="0" applyNumberFormat="1" applyFont="1" applyFill="1" applyBorder="1" applyAlignment="1">
      <alignment horizontal="right" vertical="center" wrapText="1" indent="2"/>
    </xf>
    <xf numFmtId="9" fontId="42" fillId="3"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5" fontId="7" fillId="0" borderId="1" xfId="3"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20" fillId="0" borderId="50" xfId="0" applyFont="1" applyBorder="1" applyAlignment="1">
      <alignment horizontal="center" vertical="center"/>
    </xf>
    <xf numFmtId="0" fontId="2" fillId="0" borderId="0" xfId="0" applyFont="1" applyBorder="1" applyAlignment="1"/>
    <xf numFmtId="0" fontId="34" fillId="2" borderId="9" xfId="0" applyFont="1" applyFill="1" applyBorder="1" applyAlignment="1">
      <alignment horizontal="center" vertical="center" wrapText="1"/>
    </xf>
    <xf numFmtId="0" fontId="34" fillId="14" borderId="3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14" borderId="36" xfId="0" applyFont="1" applyFill="1" applyBorder="1" applyAlignment="1">
      <alignment horizontal="center" vertical="center" wrapText="1"/>
    </xf>
    <xf numFmtId="0" fontId="34" fillId="14" borderId="15" xfId="0" applyFont="1" applyFill="1" applyBorder="1" applyAlignment="1">
      <alignment horizontal="center" vertical="center" wrapText="1"/>
    </xf>
    <xf numFmtId="0" fontId="34" fillId="2" borderId="53" xfId="0" applyFont="1" applyFill="1" applyBorder="1" applyAlignment="1">
      <alignment horizontal="center" vertical="center" wrapText="1"/>
    </xf>
    <xf numFmtId="0" fontId="39" fillId="7"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55" xfId="0" applyFont="1" applyFill="1" applyBorder="1" applyAlignment="1">
      <alignment horizontal="center" vertical="center"/>
    </xf>
    <xf numFmtId="0" fontId="39" fillId="7" borderId="55" xfId="0" applyFont="1" applyFill="1" applyBorder="1" applyAlignment="1">
      <alignment horizontal="center" vertical="center"/>
    </xf>
    <xf numFmtId="0" fontId="39" fillId="4" borderId="10" xfId="0" applyFont="1" applyFill="1" applyBorder="1" applyAlignment="1">
      <alignment horizontal="center" vertical="center"/>
    </xf>
    <xf numFmtId="0" fontId="39" fillId="4" borderId="6" xfId="0" applyFont="1" applyFill="1" applyBorder="1" applyAlignment="1">
      <alignment horizontal="center" vertical="center"/>
    </xf>
    <xf numFmtId="0" fontId="34" fillId="14" borderId="8" xfId="0" applyFont="1" applyFill="1" applyBorder="1" applyAlignment="1">
      <alignment horizontal="center" vertical="center" wrapText="1"/>
    </xf>
    <xf numFmtId="0" fontId="34" fillId="14" borderId="9" xfId="0" applyFont="1" applyFill="1" applyBorder="1" applyAlignment="1">
      <alignment horizontal="center" vertical="center"/>
    </xf>
    <xf numFmtId="0" fontId="34" fillId="14" borderId="35" xfId="0" applyFont="1" applyFill="1" applyBorder="1" applyAlignment="1">
      <alignment horizontal="center" vertical="center" wrapText="1"/>
    </xf>
    <xf numFmtId="0" fontId="34" fillId="14" borderId="13" xfId="0" applyFont="1" applyFill="1" applyBorder="1" applyAlignment="1">
      <alignment horizontal="center" vertical="center" wrapText="1"/>
    </xf>
    <xf numFmtId="0" fontId="34" fillId="14" borderId="3"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45" fillId="0" borderId="1" xfId="0" applyFont="1" applyBorder="1" applyAlignment="1">
      <alignment horizontal="center" vertical="center"/>
    </xf>
    <xf numFmtId="0" fontId="45" fillId="2" borderId="1" xfId="0" applyFont="1" applyFill="1" applyBorder="1" applyAlignment="1">
      <alignment horizontal="center" vertical="center" wrapText="1"/>
    </xf>
    <xf numFmtId="0" fontId="46" fillId="14" borderId="1"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6" fillId="4" borderId="37" xfId="0" applyFont="1" applyFill="1" applyBorder="1" applyAlignment="1">
      <alignment horizontal="center" vertical="center"/>
    </xf>
    <xf numFmtId="0" fontId="36" fillId="4" borderId="38" xfId="0" applyFont="1" applyFill="1" applyBorder="1" applyAlignment="1">
      <alignment horizontal="center" vertical="center"/>
    </xf>
    <xf numFmtId="0" fontId="38" fillId="13" borderId="11" xfId="0" applyFont="1" applyFill="1" applyBorder="1" applyAlignment="1">
      <alignment horizontal="center" vertical="center"/>
    </xf>
    <xf numFmtId="0" fontId="38" fillId="13" borderId="51" xfId="0" applyFont="1" applyFill="1" applyBorder="1" applyAlignment="1">
      <alignment horizontal="center" vertical="center"/>
    </xf>
    <xf numFmtId="0" fontId="38" fillId="13" borderId="49"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5" fillId="6" borderId="5" xfId="0" applyFont="1" applyFill="1" applyBorder="1" applyAlignment="1">
      <alignment horizontal="center" vertical="center"/>
    </xf>
    <xf numFmtId="0" fontId="35" fillId="6" borderId="6" xfId="0" applyFont="1" applyFill="1" applyBorder="1" applyAlignment="1">
      <alignment horizontal="center" vertical="center"/>
    </xf>
    <xf numFmtId="0" fontId="35" fillId="6"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1" fillId="10" borderId="40" xfId="0" applyFont="1" applyFill="1" applyBorder="1" applyAlignment="1">
      <alignment horizontal="center" vertical="center"/>
    </xf>
    <xf numFmtId="0" fontId="21" fillId="10" borderId="43" xfId="0" applyFont="1" applyFill="1" applyBorder="1" applyAlignment="1">
      <alignment horizontal="center" vertical="center"/>
    </xf>
    <xf numFmtId="0" fontId="21" fillId="10" borderId="41" xfId="0" applyFont="1" applyFill="1" applyBorder="1" applyAlignment="1">
      <alignment horizontal="center" vertical="center"/>
    </xf>
    <xf numFmtId="0" fontId="21" fillId="10" borderId="42" xfId="0" applyFont="1" applyFill="1" applyBorder="1" applyAlignment="1">
      <alignment horizontal="center" vertical="center"/>
    </xf>
    <xf numFmtId="0" fontId="21" fillId="10" borderId="41" xfId="0" applyFont="1" applyFill="1" applyBorder="1" applyAlignment="1">
      <alignment horizontal="center" vertical="center" wrapText="1"/>
    </xf>
    <xf numFmtId="0" fontId="21" fillId="10" borderId="42"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4"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33" fillId="3" borderId="55" xfId="0" applyFont="1" applyFill="1" applyBorder="1" applyAlignment="1">
      <alignment horizontal="center" vertical="center" wrapText="1"/>
    </xf>
    <xf numFmtId="165" fontId="7" fillId="0" borderId="2" xfId="3" applyNumberFormat="1" applyFont="1" applyFill="1" applyBorder="1" applyAlignment="1">
      <alignment horizontal="right" vertical="center" wrapText="1"/>
    </xf>
    <xf numFmtId="0" fontId="50" fillId="18" borderId="5" xfId="0" applyFont="1" applyFill="1" applyBorder="1" applyAlignment="1">
      <alignment horizontal="center" vertical="center"/>
    </xf>
    <xf numFmtId="0" fontId="50" fillId="18" borderId="6" xfId="0" applyFont="1" applyFill="1" applyBorder="1" applyAlignment="1">
      <alignment horizontal="center" vertical="center"/>
    </xf>
    <xf numFmtId="0" fontId="50" fillId="18" borderId="7" xfId="0" applyFont="1" applyFill="1" applyBorder="1" applyAlignment="1">
      <alignment horizontal="center" vertical="center"/>
    </xf>
  </cellXfs>
  <cellStyles count="5">
    <cellStyle name="Millares" xfId="3" builtinId="3"/>
    <cellStyle name="Moneda [0]" xfId="4" builtinId="7"/>
    <cellStyle name="Normal" xfId="0" builtinId="0"/>
    <cellStyle name="Normal 7" xfId="2" xr:uid="{00000000-0005-0000-0000-000003000000}"/>
    <cellStyle name="Porcentaje" xfId="1" builtinId="5"/>
  </cellStyles>
  <dxfs count="420">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71</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188756018" y="206375"/>
          <a:ext cx="1714500" cy="1943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50</xdr:col>
      <xdr:colOff>0</xdr:colOff>
      <xdr:row>0</xdr:row>
      <xdr:rowOff>0</xdr:rowOff>
    </xdr:from>
    <xdr:ext cx="775607" cy="503464"/>
    <xdr:pic>
      <xdr:nvPicPr>
        <xdr:cNvPr id="2" name="image1.png" title="Imagen">
          <a:extLst>
            <a:ext uri="{FF2B5EF4-FFF2-40B4-BE49-F238E27FC236}">
              <a16:creationId xmlns:a16="http://schemas.microsoft.com/office/drawing/2014/main" id="{89270852-DA8A-4824-B536-E0842F89E781}"/>
            </a:ext>
          </a:extLst>
        </xdr:cNvPr>
        <xdr:cNvPicPr preferRelativeResize="0"/>
      </xdr:nvPicPr>
      <xdr:blipFill>
        <a:blip xmlns:r="http://schemas.openxmlformats.org/officeDocument/2006/relationships" r:embed="rId1" cstate="print"/>
        <a:stretch>
          <a:fillRect/>
        </a:stretch>
      </xdr:blipFill>
      <xdr:spPr>
        <a:xfrm>
          <a:off x="146766643" y="0"/>
          <a:ext cx="775607" cy="50346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G24"/>
  <sheetViews>
    <sheetView showGridLines="0" tabSelected="1" topLeftCell="A2" zoomScale="50" zoomScaleNormal="50" workbookViewId="0">
      <pane xSplit="3" ySplit="2" topLeftCell="DB4" activePane="bottomRight" state="frozen"/>
      <selection activeCell="A2" sqref="A2"/>
      <selection pane="topRight" activeCell="C2" sqref="C2"/>
      <selection pane="bottomLeft" activeCell="A4" sqref="A4"/>
      <selection pane="bottomRight" activeCell="DI4" sqref="DI4"/>
    </sheetView>
  </sheetViews>
  <sheetFormatPr baseColWidth="10" defaultColWidth="11.42578125" defaultRowHeight="15" x14ac:dyDescent="0.2"/>
  <cols>
    <col min="1" max="1" width="11.42578125" style="1"/>
    <col min="2" max="2" width="43.42578125" style="1" customWidth="1"/>
    <col min="3" max="3" width="57.7109375" style="1" customWidth="1"/>
    <col min="4" max="4" width="21.7109375" style="1" customWidth="1"/>
    <col min="5" max="5" width="46.28515625" style="1" customWidth="1"/>
    <col min="6" max="6" width="27.7109375" style="1" customWidth="1"/>
    <col min="7" max="7" width="13.42578125" style="1" customWidth="1"/>
    <col min="8" max="9" width="12.28515625" style="1" customWidth="1"/>
    <col min="10" max="10" width="12.5703125" style="1" customWidth="1"/>
    <col min="11" max="11" width="26.28515625" style="1" customWidth="1"/>
    <col min="12" max="12" width="37.28515625" style="1" customWidth="1"/>
    <col min="13" max="13" width="26.42578125" style="1" customWidth="1"/>
    <col min="14" max="15" width="29.7109375" style="1" customWidth="1"/>
    <col min="16" max="16" width="21" style="3" hidden="1" customWidth="1"/>
    <col min="17" max="19" width="25.5703125" style="3" hidden="1" customWidth="1"/>
    <col min="20" max="20" width="31.7109375" style="3" hidden="1" customWidth="1"/>
    <col min="21" max="21" width="72.7109375" style="3" hidden="1" customWidth="1"/>
    <col min="22" max="22" width="35.7109375" style="3" hidden="1" customWidth="1"/>
    <col min="23" max="25" width="20.5703125" style="144" hidden="1" customWidth="1"/>
    <col min="26" max="26" width="28.140625" style="144" hidden="1" customWidth="1"/>
    <col min="27" max="27" width="28" style="144" hidden="1" customWidth="1"/>
    <col min="28" max="28" width="32.7109375" style="144" hidden="1" customWidth="1"/>
    <col min="29" max="29" width="71" style="3" hidden="1" customWidth="1"/>
    <col min="30" max="31" width="32.7109375" style="3" hidden="1" customWidth="1"/>
    <col min="32" max="32" width="72.7109375" style="3" hidden="1" customWidth="1"/>
    <col min="33" max="33" width="34" style="3" hidden="1" customWidth="1"/>
    <col min="34" max="34" width="30.7109375" style="3" hidden="1" customWidth="1"/>
    <col min="35" max="35" width="102.42578125" style="3" hidden="1" customWidth="1"/>
    <col min="36" max="36" width="25.7109375" style="3" hidden="1" customWidth="1"/>
    <col min="37" max="37" width="27.42578125" style="3" hidden="1" customWidth="1"/>
    <col min="38" max="38" width="112" style="3" hidden="1" customWidth="1"/>
    <col min="39" max="39" width="34.85546875" style="3" hidden="1" customWidth="1"/>
    <col min="40" max="40" width="36.5703125" style="3" hidden="1" customWidth="1"/>
    <col min="41" max="41" width="87.5703125" style="3" hidden="1" customWidth="1"/>
    <col min="42" max="43" width="31.42578125" style="3" hidden="1" customWidth="1"/>
    <col min="44" max="44" width="134.28515625" style="3" hidden="1" customWidth="1"/>
    <col min="45" max="45" width="36.42578125" style="3" hidden="1" customWidth="1"/>
    <col min="46" max="46" width="28.28515625" style="3" hidden="1" customWidth="1"/>
    <col min="47" max="47" width="98.7109375" style="3" hidden="1" customWidth="1"/>
    <col min="48" max="48" width="40" style="3" hidden="1" customWidth="1"/>
    <col min="49" max="49" width="45.42578125" style="3" hidden="1" customWidth="1"/>
    <col min="50" max="50" width="98.7109375" style="3" hidden="1" customWidth="1"/>
    <col min="51" max="51" width="50" style="3" hidden="1" customWidth="1"/>
    <col min="52" max="52" width="38.140625" style="3" hidden="1" customWidth="1"/>
    <col min="53" max="53" width="98.7109375" style="3" hidden="1" customWidth="1"/>
    <col min="54" max="54" width="25" style="3" hidden="1" customWidth="1"/>
    <col min="55" max="55" width="34.7109375" style="3" hidden="1" customWidth="1"/>
    <col min="56" max="56" width="26.28515625" style="3" hidden="1" customWidth="1"/>
    <col min="57" max="57" width="26.140625" style="3" hidden="1" customWidth="1"/>
    <col min="58" max="58" width="24.7109375" style="3" hidden="1" customWidth="1"/>
    <col min="59" max="60" width="36.42578125" style="3" hidden="1" customWidth="1"/>
    <col min="61" max="61" width="81.42578125" style="3" hidden="1" customWidth="1"/>
    <col min="62" max="62" width="32.5703125" style="3" hidden="1" customWidth="1"/>
    <col min="63" max="63" width="23.140625" style="3" customWidth="1"/>
    <col min="64" max="64" width="28.85546875" style="3" hidden="1" customWidth="1"/>
    <col min="65" max="65" width="27.7109375" style="3" customWidth="1"/>
    <col min="66" max="66" width="28.28515625" style="3" hidden="1" customWidth="1"/>
    <col min="67" max="70" width="31.140625" style="3" hidden="1" customWidth="1"/>
    <col min="71" max="71" width="68.5703125" style="3" hidden="1" customWidth="1"/>
    <col min="72" max="77" width="36.5703125" style="3" hidden="1" customWidth="1"/>
    <col min="78" max="78" width="55.140625" style="3" hidden="1" customWidth="1"/>
    <col min="79" max="84" width="43.28515625" style="3" hidden="1" customWidth="1"/>
    <col min="85" max="85" width="90.85546875" style="3" hidden="1" customWidth="1"/>
    <col min="86" max="89" width="43.28515625" style="3" hidden="1" customWidth="1"/>
    <col min="90" max="91" width="27.85546875" style="3" customWidth="1"/>
    <col min="92" max="92" width="90.5703125" style="3" customWidth="1"/>
    <col min="93" max="95" width="27.85546875" style="3" customWidth="1"/>
    <col min="96" max="96" width="29.85546875" style="3" customWidth="1"/>
    <col min="97" max="98" width="25.85546875" style="3" customWidth="1"/>
    <col min="99" max="99" width="111.85546875" style="3" customWidth="1"/>
    <col min="100" max="100" width="30.42578125" style="3" customWidth="1"/>
    <col min="101" max="101" width="28.85546875" style="3" customWidth="1"/>
    <col min="102" max="102" width="26.7109375" style="3" customWidth="1"/>
    <col min="103" max="103" width="29.140625" style="3" customWidth="1"/>
    <col min="104" max="104" width="25.140625" style="3" customWidth="1"/>
    <col min="105" max="105" width="27.28515625" style="3" customWidth="1"/>
    <col min="106" max="106" width="91.140625" style="3" customWidth="1"/>
    <col min="107" max="107" width="42.42578125" style="3" customWidth="1"/>
    <col min="108" max="108" width="23.5703125" style="3" customWidth="1"/>
    <col min="109" max="109" width="21.7109375" style="3" customWidth="1"/>
    <col min="110" max="110" width="27.7109375" style="3" customWidth="1"/>
    <col min="111" max="111" width="11.42578125" style="3"/>
    <col min="112" max="16384" width="11.42578125" style="1"/>
  </cols>
  <sheetData>
    <row r="1" spans="1:110" ht="178.5" customHeight="1" thickBot="1" x14ac:dyDescent="0.25">
      <c r="B1" s="364" t="s">
        <v>44</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244" t="s">
        <v>216</v>
      </c>
      <c r="CM1" s="244"/>
      <c r="CN1" s="244"/>
      <c r="CO1" s="244"/>
      <c r="CP1" s="244"/>
      <c r="CQ1" s="244"/>
      <c r="CR1" s="3" t="s">
        <v>217</v>
      </c>
      <c r="CU1" s="3" t="s">
        <v>218</v>
      </c>
      <c r="CV1" s="3" t="s">
        <v>219</v>
      </c>
      <c r="CX1" s="86">
        <v>39084775.049999997</v>
      </c>
      <c r="CY1" s="253">
        <f>CX1*40.5/100</f>
        <v>15829333.895249998</v>
      </c>
      <c r="CZ1" s="253" t="s">
        <v>220</v>
      </c>
      <c r="DA1" s="86">
        <f>CY1-DA2</f>
        <v>15829333.895249998</v>
      </c>
      <c r="DB1" s="3">
        <f>CX1*20.1/100</f>
        <v>7856039.7850500001</v>
      </c>
      <c r="DC1" s="430"/>
    </row>
    <row r="2" spans="1:110" ht="44.25" customHeight="1" thickBot="1" x14ac:dyDescent="0.25">
      <c r="A2" s="358" t="s">
        <v>302</v>
      </c>
      <c r="B2" s="362" t="s">
        <v>0</v>
      </c>
      <c r="C2" s="361" t="s">
        <v>13</v>
      </c>
      <c r="D2" s="381" t="s">
        <v>2</v>
      </c>
      <c r="E2" s="382" t="s">
        <v>86</v>
      </c>
      <c r="F2" s="377" t="s">
        <v>249</v>
      </c>
      <c r="G2" s="360" t="s">
        <v>3</v>
      </c>
      <c r="H2" s="360"/>
      <c r="I2" s="360"/>
      <c r="J2" s="360"/>
      <c r="K2" s="379" t="s">
        <v>36</v>
      </c>
      <c r="L2" s="366" t="s">
        <v>62</v>
      </c>
      <c r="M2" s="368" t="s">
        <v>102</v>
      </c>
      <c r="N2" s="370" t="s">
        <v>266</v>
      </c>
      <c r="O2" s="370" t="s">
        <v>267</v>
      </c>
      <c r="P2" s="375" t="s">
        <v>215</v>
      </c>
      <c r="Q2" s="375"/>
      <c r="R2" s="376"/>
      <c r="S2" s="376"/>
      <c r="T2" s="375"/>
      <c r="U2" s="376"/>
      <c r="V2" s="375"/>
      <c r="W2" s="371" t="s">
        <v>134</v>
      </c>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1"/>
      <c r="BC2" s="372"/>
      <c r="BD2" s="373"/>
      <c r="BE2" s="373"/>
      <c r="BF2" s="374"/>
      <c r="BG2" s="371"/>
      <c r="BH2" s="371"/>
      <c r="BI2" s="374"/>
      <c r="BJ2" s="371"/>
      <c r="BK2" s="431" t="s">
        <v>344</v>
      </c>
      <c r="BL2" s="432"/>
      <c r="BM2" s="432"/>
      <c r="BN2" s="432"/>
      <c r="BO2" s="432"/>
      <c r="BP2" s="432"/>
      <c r="BQ2" s="432"/>
      <c r="BR2" s="432"/>
      <c r="BS2" s="432"/>
      <c r="BT2" s="432"/>
      <c r="BU2" s="432"/>
      <c r="BV2" s="432"/>
      <c r="BW2" s="432"/>
      <c r="BX2" s="432"/>
      <c r="BY2" s="432"/>
      <c r="BZ2" s="432"/>
      <c r="CA2" s="432"/>
      <c r="CB2" s="432"/>
      <c r="CC2" s="432"/>
      <c r="CD2" s="432"/>
      <c r="CE2" s="432"/>
      <c r="CF2" s="432"/>
      <c r="CG2" s="432"/>
      <c r="CH2" s="432"/>
      <c r="CI2" s="432"/>
      <c r="CJ2" s="432"/>
      <c r="CK2" s="432"/>
      <c r="CL2" s="432"/>
      <c r="CM2" s="432"/>
      <c r="CN2" s="432"/>
      <c r="CO2" s="432"/>
      <c r="CP2" s="432"/>
      <c r="CQ2" s="432"/>
      <c r="CR2" s="432"/>
      <c r="CS2" s="432"/>
      <c r="CT2" s="432"/>
      <c r="CU2" s="432"/>
      <c r="CV2" s="432"/>
      <c r="CW2" s="432"/>
      <c r="CX2" s="432"/>
      <c r="CY2" s="432"/>
      <c r="CZ2" s="432"/>
      <c r="DA2" s="432"/>
      <c r="DB2" s="432"/>
      <c r="DC2" s="432"/>
      <c r="DD2" s="432"/>
      <c r="DE2" s="432"/>
      <c r="DF2" s="433"/>
    </row>
    <row r="3" spans="1:110" ht="79.5" customHeight="1" thickBot="1" x14ac:dyDescent="0.25">
      <c r="A3" s="358"/>
      <c r="B3" s="363"/>
      <c r="C3" s="361"/>
      <c r="D3" s="381"/>
      <c r="E3" s="382"/>
      <c r="F3" s="378"/>
      <c r="G3" s="192">
        <v>2019</v>
      </c>
      <c r="H3" s="192">
        <v>2020</v>
      </c>
      <c r="I3" s="192">
        <v>2021</v>
      </c>
      <c r="J3" s="193">
        <v>2022</v>
      </c>
      <c r="K3" s="380"/>
      <c r="L3" s="367"/>
      <c r="M3" s="369"/>
      <c r="N3" s="367"/>
      <c r="O3" s="367"/>
      <c r="P3" s="194" t="s">
        <v>223</v>
      </c>
      <c r="Q3" s="195" t="s">
        <v>222</v>
      </c>
      <c r="R3" s="195" t="s">
        <v>211</v>
      </c>
      <c r="S3" s="195" t="s">
        <v>229</v>
      </c>
      <c r="T3" s="195" t="s">
        <v>247</v>
      </c>
      <c r="U3" s="195" t="s">
        <v>25</v>
      </c>
      <c r="V3" s="195" t="s">
        <v>248</v>
      </c>
      <c r="W3" s="197" t="s">
        <v>224</v>
      </c>
      <c r="X3" s="196" t="s">
        <v>212</v>
      </c>
      <c r="Y3" s="196" t="s">
        <v>213</v>
      </c>
      <c r="Z3" s="197" t="s">
        <v>88</v>
      </c>
      <c r="AA3" s="197" t="s">
        <v>49</v>
      </c>
      <c r="AB3" s="197" t="s">
        <v>21</v>
      </c>
      <c r="AC3" s="198" t="s">
        <v>50</v>
      </c>
      <c r="AD3" s="197" t="s">
        <v>51</v>
      </c>
      <c r="AE3" s="197" t="s">
        <v>52</v>
      </c>
      <c r="AF3" s="198" t="s">
        <v>53</v>
      </c>
      <c r="AG3" s="197" t="s">
        <v>71</v>
      </c>
      <c r="AH3" s="197" t="s">
        <v>72</v>
      </c>
      <c r="AI3" s="199" t="s">
        <v>73</v>
      </c>
      <c r="AJ3" s="200" t="s">
        <v>89</v>
      </c>
      <c r="AK3" s="197" t="s">
        <v>90</v>
      </c>
      <c r="AL3" s="197" t="s">
        <v>91</v>
      </c>
      <c r="AM3" s="200" t="s">
        <v>103</v>
      </c>
      <c r="AN3" s="197" t="s">
        <v>104</v>
      </c>
      <c r="AO3" s="201" t="s">
        <v>112</v>
      </c>
      <c r="AP3" s="201" t="s">
        <v>115</v>
      </c>
      <c r="AQ3" s="201" t="s">
        <v>114</v>
      </c>
      <c r="AR3" s="202" t="s">
        <v>113</v>
      </c>
      <c r="AS3" s="201" t="s">
        <v>123</v>
      </c>
      <c r="AT3" s="201" t="s">
        <v>124</v>
      </c>
      <c r="AU3" s="202" t="s">
        <v>125</v>
      </c>
      <c r="AV3" s="201" t="s">
        <v>135</v>
      </c>
      <c r="AW3" s="201" t="s">
        <v>136</v>
      </c>
      <c r="AX3" s="202" t="s">
        <v>137</v>
      </c>
      <c r="AY3" s="201" t="s">
        <v>148</v>
      </c>
      <c r="AZ3" s="201" t="s">
        <v>146</v>
      </c>
      <c r="BA3" s="202" t="s">
        <v>147</v>
      </c>
      <c r="BB3" s="202" t="s">
        <v>269</v>
      </c>
      <c r="BC3" s="202" t="s">
        <v>214</v>
      </c>
      <c r="BD3" s="305" t="s">
        <v>211</v>
      </c>
      <c r="BE3" s="305" t="s">
        <v>229</v>
      </c>
      <c r="BF3" s="305" t="s">
        <v>227</v>
      </c>
      <c r="BG3" s="201" t="s">
        <v>228</v>
      </c>
      <c r="BH3" s="201" t="s">
        <v>226</v>
      </c>
      <c r="BI3" s="305" t="s">
        <v>221</v>
      </c>
      <c r="BJ3" s="201" t="s">
        <v>225</v>
      </c>
      <c r="BK3" s="294" t="s">
        <v>237</v>
      </c>
      <c r="BL3" s="295" t="s">
        <v>238</v>
      </c>
      <c r="BM3" s="295" t="s">
        <v>243</v>
      </c>
      <c r="BN3" s="295" t="s">
        <v>244</v>
      </c>
      <c r="BO3" s="283" t="s">
        <v>239</v>
      </c>
      <c r="BP3" s="283" t="s">
        <v>241</v>
      </c>
      <c r="BQ3" s="296" t="s">
        <v>240</v>
      </c>
      <c r="BR3" s="296" t="s">
        <v>253</v>
      </c>
      <c r="BS3" s="296" t="s">
        <v>242</v>
      </c>
      <c r="BT3" s="296" t="s">
        <v>277</v>
      </c>
      <c r="BU3" s="296" t="s">
        <v>270</v>
      </c>
      <c r="BV3" s="296" t="s">
        <v>271</v>
      </c>
      <c r="BW3" s="296" t="s">
        <v>278</v>
      </c>
      <c r="BX3" s="299" t="s">
        <v>263</v>
      </c>
      <c r="BY3" s="299" t="s">
        <v>253</v>
      </c>
      <c r="BZ3" s="299" t="s">
        <v>264</v>
      </c>
      <c r="CA3" s="302" t="s">
        <v>289</v>
      </c>
      <c r="CB3" s="302" t="s">
        <v>272</v>
      </c>
      <c r="CC3" s="302" t="s">
        <v>273</v>
      </c>
      <c r="CD3" s="302" t="s">
        <v>278</v>
      </c>
      <c r="CE3" s="322" t="s">
        <v>290</v>
      </c>
      <c r="CF3" s="322" t="s">
        <v>253</v>
      </c>
      <c r="CG3" s="322" t="s">
        <v>291</v>
      </c>
      <c r="CH3" s="322" t="s">
        <v>277</v>
      </c>
      <c r="CI3" s="322" t="s">
        <v>270</v>
      </c>
      <c r="CJ3" s="322" t="s">
        <v>271</v>
      </c>
      <c r="CK3" s="322" t="s">
        <v>278</v>
      </c>
      <c r="CL3" s="339" t="s">
        <v>312</v>
      </c>
      <c r="CM3" s="339" t="s">
        <v>253</v>
      </c>
      <c r="CN3" s="339" t="s">
        <v>313</v>
      </c>
      <c r="CO3" s="339" t="s">
        <v>277</v>
      </c>
      <c r="CP3" s="339" t="s">
        <v>270</v>
      </c>
      <c r="CQ3" s="339" t="s">
        <v>271</v>
      </c>
      <c r="CR3" s="339" t="s">
        <v>278</v>
      </c>
      <c r="CS3" s="346" t="s">
        <v>322</v>
      </c>
      <c r="CT3" s="346" t="s">
        <v>253</v>
      </c>
      <c r="CU3" s="346" t="s">
        <v>321</v>
      </c>
      <c r="CV3" s="346" t="s">
        <v>277</v>
      </c>
      <c r="CW3" s="346" t="s">
        <v>270</v>
      </c>
      <c r="CX3" s="346" t="s">
        <v>271</v>
      </c>
      <c r="CY3" s="346" t="s">
        <v>278</v>
      </c>
      <c r="CZ3" s="352" t="s">
        <v>332</v>
      </c>
      <c r="DA3" s="352" t="s">
        <v>253</v>
      </c>
      <c r="DB3" s="352" t="s">
        <v>333</v>
      </c>
      <c r="DC3" s="352" t="s">
        <v>277</v>
      </c>
      <c r="DD3" s="352" t="s">
        <v>270</v>
      </c>
      <c r="DE3" s="352" t="s">
        <v>271</v>
      </c>
      <c r="DF3" s="352" t="s">
        <v>278</v>
      </c>
    </row>
    <row r="4" spans="1:110" ht="194.25" customHeight="1" x14ac:dyDescent="0.2">
      <c r="A4" s="329">
        <v>1</v>
      </c>
      <c r="B4" s="21" t="s">
        <v>35</v>
      </c>
      <c r="C4" s="10" t="s">
        <v>275</v>
      </c>
      <c r="D4" s="4" t="s">
        <v>4</v>
      </c>
      <c r="E4" s="33" t="s">
        <v>83</v>
      </c>
      <c r="F4" s="33" t="s">
        <v>245</v>
      </c>
      <c r="G4" s="15">
        <v>0.03</v>
      </c>
      <c r="H4" s="5">
        <v>0.23</v>
      </c>
      <c r="I4" s="5">
        <v>0.5</v>
      </c>
      <c r="J4" s="46">
        <v>0.6</v>
      </c>
      <c r="K4" s="47" t="s">
        <v>23</v>
      </c>
      <c r="L4" s="71" t="s">
        <v>63</v>
      </c>
      <c r="M4" s="30">
        <v>0.6</v>
      </c>
      <c r="N4" s="301">
        <v>68457962</v>
      </c>
      <c r="O4" s="301">
        <v>114174800</v>
      </c>
      <c r="P4" s="48">
        <v>0.03</v>
      </c>
      <c r="Q4" s="49">
        <v>0.03</v>
      </c>
      <c r="R4" s="259">
        <v>3820715.53</v>
      </c>
      <c r="S4" s="259">
        <v>3820715.53</v>
      </c>
      <c r="T4" s="163">
        <f t="shared" ref="T4:T9" si="0">Q4/P4</f>
        <v>1</v>
      </c>
      <c r="U4" s="161" t="s">
        <v>26</v>
      </c>
      <c r="V4" s="260">
        <f>Q4/M4</f>
        <v>0.05</v>
      </c>
      <c r="W4" s="152">
        <v>0.23</v>
      </c>
      <c r="X4" s="240"/>
      <c r="Y4" s="240"/>
      <c r="Z4" s="145">
        <v>20253667.789999999</v>
      </c>
      <c r="AA4" s="145">
        <v>0</v>
      </c>
      <c r="AB4" s="163">
        <f>AA4/20%</f>
        <v>0</v>
      </c>
      <c r="AC4" s="72" t="s">
        <v>37</v>
      </c>
      <c r="AD4" s="145">
        <v>34421</v>
      </c>
      <c r="AE4" s="168">
        <f>AD4/Z4</f>
        <v>1.6994946474334367E-3</v>
      </c>
      <c r="AF4" s="72" t="s">
        <v>58</v>
      </c>
      <c r="AG4" s="158">
        <v>101437</v>
      </c>
      <c r="AH4" s="169">
        <f>AG4/Z4</f>
        <v>5.0083274324309434E-3</v>
      </c>
      <c r="AI4" s="68" t="s">
        <v>75</v>
      </c>
      <c r="AJ4" s="158">
        <v>102037</v>
      </c>
      <c r="AK4" s="169">
        <f>AJ4/Z4</f>
        <v>5.0379516963529698E-3</v>
      </c>
      <c r="AL4" s="78" t="s">
        <v>94</v>
      </c>
      <c r="AM4" s="158">
        <v>1805376</v>
      </c>
      <c r="AN4" s="169">
        <f>AM4/Z4</f>
        <v>8.913822517081979E-2</v>
      </c>
      <c r="AO4" s="78" t="s">
        <v>107</v>
      </c>
      <c r="AP4" s="147">
        <v>4784680</v>
      </c>
      <c r="AQ4" s="169">
        <f>AP4/Z4</f>
        <v>0.23623770517073345</v>
      </c>
      <c r="AR4" s="79" t="s">
        <v>117</v>
      </c>
      <c r="AS4" s="181">
        <v>6037259.96</v>
      </c>
      <c r="AT4" s="169">
        <f>+AS4/Z4</f>
        <v>0.29808230403486835</v>
      </c>
      <c r="AU4" s="79" t="s">
        <v>128</v>
      </c>
      <c r="AV4" s="181">
        <v>7415231.2000000002</v>
      </c>
      <c r="AW4" s="169">
        <f>+AV4/Z4</f>
        <v>0.36611794351940441</v>
      </c>
      <c r="AX4" s="143" t="s">
        <v>142</v>
      </c>
      <c r="AY4" s="182">
        <v>7918051.8399999999</v>
      </c>
      <c r="AZ4" s="83">
        <f>+AY4/Z4</f>
        <v>0.39094409576074124</v>
      </c>
      <c r="BA4" s="261" t="s">
        <v>154</v>
      </c>
      <c r="BB4" s="257">
        <v>0.1176</v>
      </c>
      <c r="BC4" s="245"/>
      <c r="BD4" s="304">
        <v>26242218.77</v>
      </c>
      <c r="BE4" s="304">
        <v>13418129</v>
      </c>
      <c r="BF4" s="163">
        <f t="shared" ref="BF4:BF9" si="1">BB4/W4</f>
        <v>0.51130434782608691</v>
      </c>
      <c r="BG4" s="262"/>
      <c r="BH4" s="245"/>
      <c r="BI4" s="275" t="s">
        <v>251</v>
      </c>
      <c r="BJ4" s="263">
        <f t="shared" ref="BJ4:BJ9" si="2">BB4/M4</f>
        <v>0.19600000000000001</v>
      </c>
      <c r="BK4" s="298">
        <f>I4</f>
        <v>0.5</v>
      </c>
      <c r="BL4" s="184"/>
      <c r="BM4" s="306">
        <f>O4*50/100</f>
        <v>57087400</v>
      </c>
      <c r="BN4" s="306"/>
      <c r="BO4" s="306"/>
      <c r="BP4" s="307"/>
      <c r="BQ4" s="306">
        <v>77801</v>
      </c>
      <c r="BR4" s="327">
        <f>BQ4/BM4</f>
        <v>1.36284013635233E-3</v>
      </c>
      <c r="BS4" s="309" t="s">
        <v>254</v>
      </c>
      <c r="BT4" s="287">
        <f>BB4/M4</f>
        <v>0.19600000000000001</v>
      </c>
      <c r="BU4" s="306">
        <v>13495930.109999999</v>
      </c>
      <c r="BV4" s="287">
        <f>BU4/O4</f>
        <v>0.11820410554693329</v>
      </c>
      <c r="BW4" s="287">
        <f>+BU4/N4</f>
        <v>0.19714186218397795</v>
      </c>
      <c r="BX4" s="306">
        <v>31966</v>
      </c>
      <c r="BY4" s="321">
        <f>BX4/BM4</f>
        <v>5.5994842995126773E-4</v>
      </c>
      <c r="BZ4" s="309" t="s">
        <v>268</v>
      </c>
      <c r="CA4" s="287">
        <f>BB4/M4</f>
        <v>0.19600000000000001</v>
      </c>
      <c r="CB4" s="306">
        <f>+BU4+BX4</f>
        <v>13527896.109999999</v>
      </c>
      <c r="CC4" s="287">
        <f>CB4/O4</f>
        <v>0.11848407976190893</v>
      </c>
      <c r="CD4" s="287">
        <f>CB4/N4</f>
        <v>0.19760880567843955</v>
      </c>
      <c r="CE4" s="308">
        <v>57741.22</v>
      </c>
      <c r="CF4" s="321">
        <f t="shared" ref="CF4:CF9" si="3">CE4/BM4</f>
        <v>1.0114529651026321E-3</v>
      </c>
      <c r="CG4" s="309" t="s">
        <v>292</v>
      </c>
      <c r="CH4" s="282">
        <f>BB4/M4</f>
        <v>0.19600000000000001</v>
      </c>
      <c r="CI4" s="323">
        <f>+CE4+CB4</f>
        <v>13585637.33</v>
      </c>
      <c r="CJ4" s="287">
        <f>CI4/O4</f>
        <v>0.11898980624446025</v>
      </c>
      <c r="CK4" s="287">
        <f>CI4/N4</f>
        <v>0.19845226081956691</v>
      </c>
      <c r="CL4" s="323">
        <v>17786.68</v>
      </c>
      <c r="CM4" s="321">
        <f>CL4/BM4</f>
        <v>3.1156927798428374E-4</v>
      </c>
      <c r="CN4" s="309" t="s">
        <v>320</v>
      </c>
      <c r="CO4" s="287">
        <f>BB4/M4</f>
        <v>0.19600000000000001</v>
      </c>
      <c r="CP4" s="323">
        <v>13603454.779999999</v>
      </c>
      <c r="CQ4" s="287">
        <f>CP4/O4</f>
        <v>0.11914586038250122</v>
      </c>
      <c r="CR4" s="287">
        <f>CP4/N4</f>
        <v>0.19871252930374994</v>
      </c>
      <c r="CS4" s="323">
        <v>6502727.6399999997</v>
      </c>
      <c r="CT4" s="321">
        <f>CS4/BM4</f>
        <v>0.1139082816873776</v>
      </c>
      <c r="CU4" s="309" t="s">
        <v>327</v>
      </c>
      <c r="CV4" s="282">
        <f>BB4/M4</f>
        <v>0.19600000000000001</v>
      </c>
      <c r="CW4" s="323">
        <f>CP4+CS4</f>
        <v>20106182.419999998</v>
      </c>
      <c r="CX4" s="287">
        <f>CW4/O4</f>
        <v>0.17610000122618999</v>
      </c>
      <c r="CY4" s="287">
        <f>CW4/N4</f>
        <v>0.29370115370948374</v>
      </c>
      <c r="CZ4" s="356">
        <v>3462196.84</v>
      </c>
      <c r="DA4" s="321">
        <f>CZ4/BM4</f>
        <v>6.0647302907471702E-2</v>
      </c>
      <c r="DB4" s="309" t="s">
        <v>340</v>
      </c>
      <c r="DC4" s="282">
        <f>BB4/M4</f>
        <v>0.19600000000000001</v>
      </c>
      <c r="DD4" s="356">
        <f>CZ4+CW4</f>
        <v>23568379.259999998</v>
      </c>
      <c r="DE4" s="282">
        <f>DD4/O4</f>
        <v>0.20642365267992585</v>
      </c>
      <c r="DF4" s="282">
        <f>DD4/N4</f>
        <v>0.34427521023778063</v>
      </c>
    </row>
    <row r="5" spans="1:110" ht="409.6" customHeight="1" x14ac:dyDescent="0.2">
      <c r="A5" s="329">
        <v>2</v>
      </c>
      <c r="B5" s="21" t="s">
        <v>35</v>
      </c>
      <c r="C5" s="10" t="s">
        <v>230</v>
      </c>
      <c r="D5" s="4" t="s">
        <v>4</v>
      </c>
      <c r="E5" s="33" t="s">
        <v>83</v>
      </c>
      <c r="F5" s="33" t="s">
        <v>245</v>
      </c>
      <c r="G5" s="8">
        <v>8.5000000000000006E-2</v>
      </c>
      <c r="H5" s="8">
        <v>0.20100000000000001</v>
      </c>
      <c r="I5" s="8">
        <v>0.35099999999999998</v>
      </c>
      <c r="J5" s="5">
        <v>0.6</v>
      </c>
      <c r="K5" s="142" t="s">
        <v>5</v>
      </c>
      <c r="L5" s="70" t="s">
        <v>64</v>
      </c>
      <c r="M5" s="30">
        <v>0.6</v>
      </c>
      <c r="N5" s="243">
        <v>68457962</v>
      </c>
      <c r="O5" s="301">
        <v>114174800</v>
      </c>
      <c r="P5" s="8">
        <f t="shared" ref="P5:P10" si="4">+G5</f>
        <v>8.5000000000000006E-2</v>
      </c>
      <c r="Q5" s="8">
        <v>2.3E-2</v>
      </c>
      <c r="R5" s="242">
        <v>5818927</v>
      </c>
      <c r="S5" s="242">
        <v>2564383.61</v>
      </c>
      <c r="T5" s="164">
        <f t="shared" si="0"/>
        <v>0.27058823529411763</v>
      </c>
      <c r="U5" s="162" t="s">
        <v>235</v>
      </c>
      <c r="V5" s="247">
        <f>Q5/M5</f>
        <v>3.8333333333333337E-2</v>
      </c>
      <c r="W5" s="153">
        <v>0.20100000000000001</v>
      </c>
      <c r="X5" s="241">
        <v>6.2E-2</v>
      </c>
      <c r="Y5" s="148">
        <v>3256070</v>
      </c>
      <c r="Z5" s="148">
        <v>13763388</v>
      </c>
      <c r="AA5" s="146">
        <v>0</v>
      </c>
      <c r="AB5" s="165">
        <f t="shared" ref="AB5:AB11" si="5">AA5/Z5</f>
        <v>0</v>
      </c>
      <c r="AC5" s="17" t="s">
        <v>38</v>
      </c>
      <c r="AD5" s="146">
        <v>0</v>
      </c>
      <c r="AE5" s="165">
        <f>AD5/Z5</f>
        <v>0</v>
      </c>
      <c r="AF5" s="17" t="s">
        <v>59</v>
      </c>
      <c r="AG5" s="148">
        <v>0</v>
      </c>
      <c r="AH5" s="170">
        <f t="shared" ref="AH5:AH11" si="6">AG5/Z5</f>
        <v>0</v>
      </c>
      <c r="AI5" s="68" t="s">
        <v>82</v>
      </c>
      <c r="AJ5" s="147">
        <v>0</v>
      </c>
      <c r="AK5" s="173">
        <f t="shared" ref="AK5:AK11" si="7">AJ5/Z5</f>
        <v>0</v>
      </c>
      <c r="AL5" s="78" t="s">
        <v>95</v>
      </c>
      <c r="AM5" s="147">
        <v>0</v>
      </c>
      <c r="AN5" s="173">
        <f>AM5/Z5</f>
        <v>0</v>
      </c>
      <c r="AO5" s="78" t="s">
        <v>106</v>
      </c>
      <c r="AP5" s="158">
        <v>0</v>
      </c>
      <c r="AQ5" s="169">
        <f>AP5/Z5</f>
        <v>0</v>
      </c>
      <c r="AR5" s="78" t="s">
        <v>119</v>
      </c>
      <c r="AS5" s="158">
        <v>0</v>
      </c>
      <c r="AT5" s="169">
        <v>0</v>
      </c>
      <c r="AU5" s="78" t="s">
        <v>130</v>
      </c>
      <c r="AV5" s="158">
        <v>0</v>
      </c>
      <c r="AW5" s="169">
        <v>0</v>
      </c>
      <c r="AX5" s="143" t="s">
        <v>144</v>
      </c>
      <c r="AY5" s="158">
        <v>0</v>
      </c>
      <c r="AZ5" s="83">
        <v>0</v>
      </c>
      <c r="BA5" s="143" t="s">
        <v>152</v>
      </c>
      <c r="BB5" s="246">
        <v>0.154</v>
      </c>
      <c r="BC5" s="308">
        <v>17560383</v>
      </c>
      <c r="BD5" s="313">
        <f>114000000*20.1/100</f>
        <v>22914000</v>
      </c>
      <c r="BE5" s="314">
        <v>17560382.690000001</v>
      </c>
      <c r="BF5" s="284">
        <f t="shared" si="1"/>
        <v>0.76616915422885568</v>
      </c>
      <c r="BG5" s="246">
        <f>W5-BB5</f>
        <v>4.7000000000000014E-2</v>
      </c>
      <c r="BH5" s="164">
        <f>M5-BB5</f>
        <v>0.44599999999999995</v>
      </c>
      <c r="BI5" s="267" t="s">
        <v>282</v>
      </c>
      <c r="BJ5" s="268">
        <f t="shared" si="2"/>
        <v>0.25666666666666665</v>
      </c>
      <c r="BK5" s="279">
        <v>0.35099999999999998</v>
      </c>
      <c r="BL5" s="280"/>
      <c r="BM5" s="308">
        <f>O5*BK5</f>
        <v>40075354.799999997</v>
      </c>
      <c r="BN5" s="250"/>
      <c r="BO5" s="241"/>
      <c r="BP5" s="241"/>
      <c r="BQ5" s="241">
        <v>0</v>
      </c>
      <c r="BR5" s="327">
        <v>0</v>
      </c>
      <c r="BS5" s="78" t="s">
        <v>261</v>
      </c>
      <c r="BT5" s="287">
        <f>BB5/M5</f>
        <v>0.25666666666666665</v>
      </c>
      <c r="BU5" s="308">
        <v>17560383</v>
      </c>
      <c r="BV5" s="282">
        <f>BU5/O5</f>
        <v>0.15380261668949716</v>
      </c>
      <c r="BW5" s="287">
        <f>BU5/N5</f>
        <v>0.25651337677858421</v>
      </c>
      <c r="BX5" s="306">
        <v>0</v>
      </c>
      <c r="BY5" s="321">
        <f>BX5/BM5</f>
        <v>0</v>
      </c>
      <c r="BZ5" s="300" t="s">
        <v>283</v>
      </c>
      <c r="CA5" s="282">
        <f>BB5/M6</f>
        <v>0.25666666666666665</v>
      </c>
      <c r="CB5" s="308">
        <v>17560383</v>
      </c>
      <c r="CC5" s="282">
        <f>BU5/O5</f>
        <v>0.15380261668949716</v>
      </c>
      <c r="CD5" s="287">
        <f>CB5/N5</f>
        <v>0.25651337677858421</v>
      </c>
      <c r="CE5" s="308">
        <v>0</v>
      </c>
      <c r="CF5" s="321">
        <f t="shared" si="3"/>
        <v>0</v>
      </c>
      <c r="CG5" s="309" t="s">
        <v>294</v>
      </c>
      <c r="CH5" s="287">
        <f>BB5/M5</f>
        <v>0.25666666666666665</v>
      </c>
      <c r="CI5" s="312">
        <v>17560383</v>
      </c>
      <c r="CJ5" s="282">
        <f>CI5/O5</f>
        <v>0.15380261668949716</v>
      </c>
      <c r="CK5" s="287">
        <f>CB5/N5</f>
        <v>0.25651337677858421</v>
      </c>
      <c r="CL5" s="312">
        <v>0</v>
      </c>
      <c r="CM5" s="321">
        <f>CL5/BK5</f>
        <v>0</v>
      </c>
      <c r="CN5" s="309" t="s">
        <v>317</v>
      </c>
      <c r="CO5" s="287">
        <f>BB5/M5</f>
        <v>0.25666666666666665</v>
      </c>
      <c r="CP5" s="312">
        <v>17560383</v>
      </c>
      <c r="CQ5" s="287">
        <f>CI5/O5</f>
        <v>0.15380261668949716</v>
      </c>
      <c r="CR5" s="287">
        <f>CB5/N5</f>
        <v>0.25651337677858421</v>
      </c>
      <c r="CS5" s="308">
        <v>0</v>
      </c>
      <c r="CT5" s="348">
        <v>0</v>
      </c>
      <c r="CU5" s="349" t="s">
        <v>323</v>
      </c>
      <c r="CV5" s="350">
        <f>BB5/M5</f>
        <v>0.25666666666666665</v>
      </c>
      <c r="CW5" s="308">
        <v>17560383</v>
      </c>
      <c r="CX5" s="350">
        <f>CI5/O5</f>
        <v>0.15380261668949716</v>
      </c>
      <c r="CY5" s="350">
        <f>CB5/N5</f>
        <v>0.25651337677858421</v>
      </c>
      <c r="CZ5" s="308">
        <v>0</v>
      </c>
      <c r="DA5" s="348">
        <f>CZ5/BK5</f>
        <v>0</v>
      </c>
      <c r="DB5" s="43" t="s">
        <v>336</v>
      </c>
      <c r="DC5" s="350">
        <f>BB5/M5</f>
        <v>0.25666666666666665</v>
      </c>
      <c r="DD5" s="308">
        <v>17560383</v>
      </c>
      <c r="DE5" s="350">
        <f>CI5/O5</f>
        <v>0.15380261668949716</v>
      </c>
      <c r="DF5" s="287">
        <f>CB5/N5</f>
        <v>0.25651337677858421</v>
      </c>
    </row>
    <row r="6" spans="1:110" ht="231" customHeight="1" x14ac:dyDescent="0.2">
      <c r="A6" s="329">
        <v>3</v>
      </c>
      <c r="B6" s="21" t="s">
        <v>35</v>
      </c>
      <c r="C6" s="10" t="s">
        <v>276</v>
      </c>
      <c r="D6" s="16" t="s">
        <v>4</v>
      </c>
      <c r="E6" s="33" t="s">
        <v>83</v>
      </c>
      <c r="F6" s="33" t="s">
        <v>245</v>
      </c>
      <c r="G6" s="5">
        <v>0.23</v>
      </c>
      <c r="H6" s="5">
        <v>0.37</v>
      </c>
      <c r="I6" s="5">
        <v>0.49</v>
      </c>
      <c r="J6" s="5">
        <v>0.6</v>
      </c>
      <c r="K6" s="32" t="s">
        <v>23</v>
      </c>
      <c r="L6" s="33" t="s">
        <v>65</v>
      </c>
      <c r="M6" s="7">
        <v>0.6</v>
      </c>
      <c r="N6" s="301">
        <v>68457962</v>
      </c>
      <c r="O6" s="301">
        <v>114174800</v>
      </c>
      <c r="P6" s="8">
        <f t="shared" si="4"/>
        <v>0.23</v>
      </c>
      <c r="Q6" s="8">
        <v>0.23</v>
      </c>
      <c r="R6" s="242">
        <v>26242218.77</v>
      </c>
      <c r="S6" s="242">
        <v>11980143.35</v>
      </c>
      <c r="T6" s="165">
        <f t="shared" si="0"/>
        <v>1</v>
      </c>
      <c r="U6" s="17" t="s">
        <v>31</v>
      </c>
      <c r="V6" s="247">
        <f>Q6/M6</f>
        <v>0.38333333333333336</v>
      </c>
      <c r="W6" s="153">
        <v>0.37</v>
      </c>
      <c r="X6" s="153"/>
      <c r="Y6" s="153"/>
      <c r="Z6" s="154">
        <v>15973524.470000001</v>
      </c>
      <c r="AA6" s="154">
        <v>12368</v>
      </c>
      <c r="AB6" s="167">
        <f>AA6/Z6</f>
        <v>7.7428121910279952E-4</v>
      </c>
      <c r="AC6" s="17" t="s">
        <v>39</v>
      </c>
      <c r="AD6" s="148">
        <v>75374</v>
      </c>
      <c r="AE6" s="167">
        <f>AD6/Z6</f>
        <v>4.7186831022521351E-3</v>
      </c>
      <c r="AF6" s="17" t="s">
        <v>57</v>
      </c>
      <c r="AG6" s="147">
        <v>43006</v>
      </c>
      <c r="AH6" s="171">
        <f t="shared" si="6"/>
        <v>2.6923300540697766E-3</v>
      </c>
      <c r="AI6" s="39" t="s">
        <v>78</v>
      </c>
      <c r="AJ6" s="147">
        <v>168576</v>
      </c>
      <c r="AK6" s="173">
        <f t="shared" si="7"/>
        <v>1.0553463032945789E-2</v>
      </c>
      <c r="AL6" s="39" t="s">
        <v>96</v>
      </c>
      <c r="AM6" s="174">
        <v>7114924.2199999997</v>
      </c>
      <c r="AN6" s="173">
        <f>AM6/Z6</f>
        <v>0.44541980909489287</v>
      </c>
      <c r="AO6" s="78" t="s">
        <v>108</v>
      </c>
      <c r="AP6" s="158">
        <v>7362927</v>
      </c>
      <c r="AQ6" s="169">
        <f>AP6/Z6</f>
        <v>0.46094567381346363</v>
      </c>
      <c r="AR6" s="78" t="s">
        <v>118</v>
      </c>
      <c r="AS6" s="181">
        <v>7362927.5</v>
      </c>
      <c r="AT6" s="169">
        <f>+AS6/Z6</f>
        <v>0.46094570511525934</v>
      </c>
      <c r="AU6" s="78" t="s">
        <v>129</v>
      </c>
      <c r="AV6" s="181">
        <v>7906008.1799999997</v>
      </c>
      <c r="AW6" s="169">
        <f>+AV6/Z6</f>
        <v>0.49494450613252788</v>
      </c>
      <c r="AX6" s="90" t="s">
        <v>143</v>
      </c>
      <c r="AY6" s="182">
        <v>8784660.1699999999</v>
      </c>
      <c r="AZ6" s="83">
        <f>+AY6/Z6</f>
        <v>0.54995127634471264</v>
      </c>
      <c r="BA6" s="90" t="s">
        <v>155</v>
      </c>
      <c r="BB6" s="153">
        <v>0.14230000000000001</v>
      </c>
      <c r="BC6" s="90"/>
      <c r="BD6" s="269">
        <v>42215743.240000002</v>
      </c>
      <c r="BE6" s="269">
        <v>16231703.439999999</v>
      </c>
      <c r="BF6" s="165">
        <f t="shared" si="1"/>
        <v>0.38459459459459461</v>
      </c>
      <c r="BG6" s="90"/>
      <c r="BH6" s="90"/>
      <c r="BI6" s="78" t="s">
        <v>252</v>
      </c>
      <c r="BJ6" s="270">
        <f t="shared" si="2"/>
        <v>0.23716666666666669</v>
      </c>
      <c r="BK6" s="264">
        <v>0.49</v>
      </c>
      <c r="BL6" s="280"/>
      <c r="BM6" s="306">
        <f>O6*49/100</f>
        <v>55945652</v>
      </c>
      <c r="BN6" s="306"/>
      <c r="BO6" s="310"/>
      <c r="BP6" s="307"/>
      <c r="BQ6" s="306">
        <v>128375.7452</v>
      </c>
      <c r="BR6" s="321">
        <f>BQ6/BM6</f>
        <v>2.2946509802048605E-3</v>
      </c>
      <c r="BS6" s="309" t="s">
        <v>255</v>
      </c>
      <c r="BT6" s="303">
        <f>BB6/M6</f>
        <v>0.23716666666666669</v>
      </c>
      <c r="BU6" s="306">
        <v>16360079.189999999</v>
      </c>
      <c r="BV6" s="287">
        <f>BU6/O6</f>
        <v>0.14328975562032953</v>
      </c>
      <c r="BW6" s="287">
        <f>+BU6/N6</f>
        <v>0.23897993326181693</v>
      </c>
      <c r="BX6" s="306">
        <v>48037</v>
      </c>
      <c r="BY6" s="321">
        <f>BX6/BM6</f>
        <v>8.5863687851917426E-4</v>
      </c>
      <c r="BZ6" s="300" t="s">
        <v>265</v>
      </c>
      <c r="CA6" s="287">
        <f>BB6/M6</f>
        <v>0.23716666666666669</v>
      </c>
      <c r="CB6" s="312">
        <f>BU6+BX6</f>
        <v>16408116.189999999</v>
      </c>
      <c r="CC6" s="287">
        <f>CB6/O6</f>
        <v>0.14371048769080391</v>
      </c>
      <c r="CD6" s="287">
        <f>CB6/N6</f>
        <v>0.23968163396392081</v>
      </c>
      <c r="CE6" s="312">
        <v>287686.40000000002</v>
      </c>
      <c r="CF6" s="321">
        <f t="shared" si="3"/>
        <v>5.1422476942444076E-3</v>
      </c>
      <c r="CG6" s="342" t="s">
        <v>293</v>
      </c>
      <c r="CH6" s="343">
        <f>BB6/M6</f>
        <v>0.23716666666666669</v>
      </c>
      <c r="CI6" s="344">
        <f>+CE6+CB6</f>
        <v>16695802.59</v>
      </c>
      <c r="CJ6" s="343">
        <f>CI6/O6</f>
        <v>0.14623018906098367</v>
      </c>
      <c r="CK6" s="343">
        <f>CI6/N6</f>
        <v>0.24388401439703974</v>
      </c>
      <c r="CL6" s="323">
        <v>461333.23</v>
      </c>
      <c r="CM6" s="321">
        <f>CL6/BM6</f>
        <v>8.2460962292476275E-3</v>
      </c>
      <c r="CN6" s="309" t="s">
        <v>326</v>
      </c>
      <c r="CO6" s="347">
        <f>BB6/M6</f>
        <v>0.23716666666666669</v>
      </c>
      <c r="CP6" s="323">
        <v>17157136.219999999</v>
      </c>
      <c r="CQ6" s="287">
        <f>CP6/O6</f>
        <v>0.15027077971671507</v>
      </c>
      <c r="CR6" s="287">
        <f>CP6/N6</f>
        <v>0.25062294755429615</v>
      </c>
      <c r="CS6" s="323">
        <v>769113.59999999998</v>
      </c>
      <c r="CT6" s="321">
        <f>CS6/BM6</f>
        <v>1.374751339031673E-2</v>
      </c>
      <c r="CU6" s="309" t="s">
        <v>328</v>
      </c>
      <c r="CV6" s="287">
        <f>BB6/M6</f>
        <v>0.23716666666666669</v>
      </c>
      <c r="CW6" s="323">
        <f>CP6+CS6</f>
        <v>17926249.82</v>
      </c>
      <c r="CX6" s="287">
        <f>CW6/O6</f>
        <v>0.15700706127797026</v>
      </c>
      <c r="CY6" s="287">
        <f>CW6/N6</f>
        <v>0.26185777806239691</v>
      </c>
      <c r="CZ6" s="356">
        <v>1578984</v>
      </c>
      <c r="DA6" s="321">
        <f>CZ6/BM6</f>
        <v>2.8223533796692547E-2</v>
      </c>
      <c r="DB6" s="309" t="s">
        <v>341</v>
      </c>
      <c r="DC6" s="282">
        <f>BB6/M6</f>
        <v>0.23716666666666669</v>
      </c>
      <c r="DD6" s="356">
        <v>19505233.82</v>
      </c>
      <c r="DE6" s="282">
        <f>DD6/O6</f>
        <v>0.17083659283834962</v>
      </c>
      <c r="DF6" s="282">
        <f>DD6/N6</f>
        <v>0.28492279422516259</v>
      </c>
    </row>
    <row r="7" spans="1:110" ht="243" customHeight="1" x14ac:dyDescent="0.2">
      <c r="A7" s="329">
        <v>4</v>
      </c>
      <c r="B7" s="9" t="s">
        <v>34</v>
      </c>
      <c r="C7" s="10" t="s">
        <v>274</v>
      </c>
      <c r="D7" s="4" t="s">
        <v>4</v>
      </c>
      <c r="E7" s="33" t="s">
        <v>279</v>
      </c>
      <c r="F7" s="33" t="s">
        <v>245</v>
      </c>
      <c r="G7" s="238">
        <v>3.0999999999999999E-3</v>
      </c>
      <c r="H7" s="8">
        <v>0.19900000000000001</v>
      </c>
      <c r="I7" s="8">
        <v>0.20300000000000001</v>
      </c>
      <c r="J7" s="8">
        <v>0.59399999999999997</v>
      </c>
      <c r="K7" s="32" t="s">
        <v>22</v>
      </c>
      <c r="L7" s="33" t="s">
        <v>64</v>
      </c>
      <c r="M7" s="7">
        <v>1</v>
      </c>
      <c r="N7" s="243">
        <v>39084775.049999997</v>
      </c>
      <c r="O7" s="243">
        <v>39084775.049999997</v>
      </c>
      <c r="P7" s="8">
        <f t="shared" si="4"/>
        <v>3.0999999999999999E-3</v>
      </c>
      <c r="Q7" s="14">
        <v>3.0999999999999999E-3</v>
      </c>
      <c r="R7" s="242">
        <v>121595.52</v>
      </c>
      <c r="S7" s="242">
        <v>121595.52</v>
      </c>
      <c r="T7" s="165">
        <f t="shared" si="0"/>
        <v>1</v>
      </c>
      <c r="U7" s="18" t="s">
        <v>236</v>
      </c>
      <c r="V7" s="251">
        <f>Q7/M7</f>
        <v>3.0999999999999999E-3</v>
      </c>
      <c r="W7" s="257">
        <v>0.19969999999999999</v>
      </c>
      <c r="X7" s="241"/>
      <c r="Y7" s="241"/>
      <c r="Z7" s="239">
        <v>999718</v>
      </c>
      <c r="AA7" s="148">
        <v>0</v>
      </c>
      <c r="AB7" s="165">
        <f t="shared" si="5"/>
        <v>0</v>
      </c>
      <c r="AC7" s="17" t="s">
        <v>40</v>
      </c>
      <c r="AD7" s="148">
        <v>0</v>
      </c>
      <c r="AE7" s="165">
        <f>AD7/Z7</f>
        <v>0</v>
      </c>
      <c r="AF7" s="17" t="s">
        <v>60</v>
      </c>
      <c r="AG7" s="148">
        <v>0</v>
      </c>
      <c r="AH7" s="170">
        <f t="shared" si="6"/>
        <v>0</v>
      </c>
      <c r="AI7" s="39" t="s">
        <v>81</v>
      </c>
      <c r="AJ7" s="147">
        <v>0</v>
      </c>
      <c r="AK7" s="173">
        <f>AJ7/Z7</f>
        <v>0</v>
      </c>
      <c r="AL7" s="39" t="s">
        <v>81</v>
      </c>
      <c r="AM7" s="147">
        <v>0</v>
      </c>
      <c r="AN7" s="173">
        <f>+AM7/Z7</f>
        <v>0</v>
      </c>
      <c r="AO7" s="17" t="s">
        <v>81</v>
      </c>
      <c r="AP7" s="147">
        <v>0</v>
      </c>
      <c r="AQ7" s="169">
        <f>AP7/Z7</f>
        <v>0</v>
      </c>
      <c r="AR7" s="17" t="s">
        <v>81</v>
      </c>
      <c r="AS7" s="147">
        <v>0</v>
      </c>
      <c r="AT7" s="169">
        <v>0</v>
      </c>
      <c r="AU7" s="82" t="s">
        <v>131</v>
      </c>
      <c r="AV7" s="158">
        <v>0</v>
      </c>
      <c r="AW7" s="169">
        <f>+AV7/Z7</f>
        <v>0</v>
      </c>
      <c r="AX7" s="89" t="s">
        <v>140</v>
      </c>
      <c r="AY7" s="158">
        <v>0</v>
      </c>
      <c r="AZ7" s="83">
        <f>+AY7/Z7</f>
        <v>0</v>
      </c>
      <c r="BA7" s="94" t="s">
        <v>140</v>
      </c>
      <c r="BB7" s="257">
        <v>0.10440000000000001</v>
      </c>
      <c r="BC7" s="94"/>
      <c r="BD7" s="278">
        <f>39084775*19.9/100</f>
        <v>7777870.2249999996</v>
      </c>
      <c r="BE7" s="312">
        <v>4083550.05</v>
      </c>
      <c r="BF7" s="285">
        <f t="shared" si="1"/>
        <v>0.52278417626439666</v>
      </c>
      <c r="BG7" s="14">
        <f>20.3-10.3</f>
        <v>10</v>
      </c>
      <c r="BH7" s="14"/>
      <c r="BI7" s="162" t="s">
        <v>281</v>
      </c>
      <c r="BJ7" s="258">
        <f t="shared" si="2"/>
        <v>0.10440000000000001</v>
      </c>
      <c r="BK7" s="279">
        <v>0.20300000000000001</v>
      </c>
      <c r="BL7" s="280"/>
      <c r="BM7" s="311">
        <f>DD7*BK7</f>
        <v>844449.23129000014</v>
      </c>
      <c r="BN7" s="252"/>
      <c r="BO7" s="75"/>
      <c r="BP7" s="75"/>
      <c r="BQ7" s="153" t="s">
        <v>200</v>
      </c>
      <c r="BR7" s="327">
        <v>0</v>
      </c>
      <c r="BS7" s="78" t="s">
        <v>261</v>
      </c>
      <c r="BT7" s="282">
        <f>BB7/M7</f>
        <v>0.10440000000000001</v>
      </c>
      <c r="BU7" s="308">
        <f>4038252.91+121595.52</f>
        <v>4159848.43</v>
      </c>
      <c r="BV7" s="287">
        <f>BU7/N7</f>
        <v>0.10643142821414295</v>
      </c>
      <c r="BW7" s="282">
        <f>+BU7/N7</f>
        <v>0.10643142821414295</v>
      </c>
      <c r="BX7" s="306">
        <v>0</v>
      </c>
      <c r="BY7" s="321">
        <v>0</v>
      </c>
      <c r="BZ7" s="300" t="s">
        <v>284</v>
      </c>
      <c r="CA7" s="287">
        <f>10.44%+0.31%</f>
        <v>0.1075</v>
      </c>
      <c r="CB7" s="308">
        <f>4038252.91+121595.52</f>
        <v>4159848.43</v>
      </c>
      <c r="CC7" s="287">
        <f>10.44%+0.31%</f>
        <v>0.1075</v>
      </c>
      <c r="CD7" s="287">
        <f>10.44%+0.31%</f>
        <v>0.1075</v>
      </c>
      <c r="CE7" s="312">
        <v>0</v>
      </c>
      <c r="CF7" s="321">
        <v>0</v>
      </c>
      <c r="CG7" s="309" t="s">
        <v>295</v>
      </c>
      <c r="CH7" s="287">
        <f>10.44%+0.31%</f>
        <v>0.1075</v>
      </c>
      <c r="CI7" s="308">
        <f>4038252.91+121595.52</f>
        <v>4159848.43</v>
      </c>
      <c r="CJ7" s="287">
        <f>10.44%+0.31%</f>
        <v>0.1075</v>
      </c>
      <c r="CK7" s="287">
        <f>10.44%+0.31%</f>
        <v>0.1075</v>
      </c>
      <c r="CL7" s="312">
        <v>0</v>
      </c>
      <c r="CM7" s="321">
        <f>CL7/BK7</f>
        <v>0</v>
      </c>
      <c r="CN7" s="345" t="s">
        <v>318</v>
      </c>
      <c r="CO7" s="287">
        <f>10.44%+0.31%</f>
        <v>0.1075</v>
      </c>
      <c r="CP7" s="312">
        <f>4038252.91+121595.52</f>
        <v>4159848.43</v>
      </c>
      <c r="CQ7" s="287">
        <f>10.44%+0.31%</f>
        <v>0.1075</v>
      </c>
      <c r="CR7" s="287">
        <f>10.44%+0.31%</f>
        <v>0.1075</v>
      </c>
      <c r="CS7" s="312">
        <v>0</v>
      </c>
      <c r="CT7" s="321">
        <v>0</v>
      </c>
      <c r="CU7" s="43" t="s">
        <v>324</v>
      </c>
      <c r="CV7" s="287">
        <f>10.44%+0.31%</f>
        <v>0.1075</v>
      </c>
      <c r="CW7" s="312">
        <f>4038252.91+121595.52</f>
        <v>4159848.43</v>
      </c>
      <c r="CX7" s="287">
        <f>10.44%+0.31%</f>
        <v>0.1075</v>
      </c>
      <c r="CY7" s="287">
        <f>10.44%+0.31%</f>
        <v>0.1075</v>
      </c>
      <c r="CZ7" s="16">
        <v>0</v>
      </c>
      <c r="DA7" s="321">
        <v>0</v>
      </c>
      <c r="DB7" s="309" t="s">
        <v>337</v>
      </c>
      <c r="DC7" s="287">
        <f>10.44%+0.31%</f>
        <v>0.1075</v>
      </c>
      <c r="DD7" s="312">
        <f>4038252.91+121595.52</f>
        <v>4159848.43</v>
      </c>
      <c r="DE7" s="287">
        <f>10.44%+0.31%</f>
        <v>0.1075</v>
      </c>
      <c r="DF7" s="287">
        <f>10.44%+0.31%</f>
        <v>0.1075</v>
      </c>
    </row>
    <row r="8" spans="1:110" ht="381.75" customHeight="1" x14ac:dyDescent="0.2">
      <c r="A8" s="329">
        <v>5</v>
      </c>
      <c r="B8" s="21" t="s">
        <v>35</v>
      </c>
      <c r="C8" s="10" t="s">
        <v>15</v>
      </c>
      <c r="D8" s="16" t="s">
        <v>4</v>
      </c>
      <c r="E8" s="33" t="s">
        <v>84</v>
      </c>
      <c r="F8" s="33" t="s">
        <v>257</v>
      </c>
      <c r="G8" s="5">
        <v>0.05</v>
      </c>
      <c r="H8" s="5">
        <v>0.3</v>
      </c>
      <c r="I8" s="5">
        <v>0.6</v>
      </c>
      <c r="J8" s="5">
        <v>1</v>
      </c>
      <c r="K8" s="31" t="s">
        <v>45</v>
      </c>
      <c r="L8" s="33" t="s">
        <v>66</v>
      </c>
      <c r="M8" s="34">
        <v>1</v>
      </c>
      <c r="N8" s="34" t="s">
        <v>70</v>
      </c>
      <c r="O8" s="34" t="s">
        <v>200</v>
      </c>
      <c r="P8" s="5">
        <f t="shared" si="4"/>
        <v>0.05</v>
      </c>
      <c r="Q8" s="5">
        <v>0.05</v>
      </c>
      <c r="R8" s="5">
        <v>0.05</v>
      </c>
      <c r="S8" s="5">
        <v>0.05</v>
      </c>
      <c r="T8" s="165">
        <f t="shared" si="0"/>
        <v>1</v>
      </c>
      <c r="U8" s="18" t="s">
        <v>33</v>
      </c>
      <c r="V8" s="251">
        <f>S8/M8</f>
        <v>0.05</v>
      </c>
      <c r="W8" s="149">
        <v>0.3</v>
      </c>
      <c r="X8" s="149"/>
      <c r="Y8" s="149"/>
      <c r="Z8" s="149">
        <v>0.25</v>
      </c>
      <c r="AA8" s="149">
        <v>0.04</v>
      </c>
      <c r="AB8" s="165">
        <f>AA8/Z8</f>
        <v>0.16</v>
      </c>
      <c r="AC8" s="17" t="s">
        <v>41</v>
      </c>
      <c r="AD8" s="149">
        <v>7.0000000000000007E-2</v>
      </c>
      <c r="AE8" s="165">
        <f>AD8/Z8</f>
        <v>0.28000000000000003</v>
      </c>
      <c r="AF8" s="17" t="s">
        <v>56</v>
      </c>
      <c r="AG8" s="149">
        <v>0.11</v>
      </c>
      <c r="AH8" s="170">
        <f t="shared" si="6"/>
        <v>0.44</v>
      </c>
      <c r="AI8" s="40" t="s">
        <v>77</v>
      </c>
      <c r="AJ8" s="149">
        <v>0.14000000000000001</v>
      </c>
      <c r="AK8" s="170">
        <f t="shared" si="7"/>
        <v>0.56000000000000005</v>
      </c>
      <c r="AL8" s="39" t="s">
        <v>97</v>
      </c>
      <c r="AM8" s="175">
        <v>0.15</v>
      </c>
      <c r="AN8" s="170">
        <f>AM8/Z8</f>
        <v>0.6</v>
      </c>
      <c r="AO8" s="17" t="s">
        <v>109</v>
      </c>
      <c r="AP8" s="151">
        <v>0.15</v>
      </c>
      <c r="AQ8" s="169">
        <f>AP8/Z8</f>
        <v>0.6</v>
      </c>
      <c r="AR8" s="17" t="s">
        <v>121</v>
      </c>
      <c r="AS8" s="151">
        <v>0.15</v>
      </c>
      <c r="AT8" s="169">
        <v>0.5</v>
      </c>
      <c r="AU8" s="80" t="s">
        <v>126</v>
      </c>
      <c r="AV8" s="179">
        <v>0.15</v>
      </c>
      <c r="AW8" s="169">
        <v>0.5</v>
      </c>
      <c r="AX8" s="88" t="s">
        <v>139</v>
      </c>
      <c r="AY8" s="160">
        <v>0.15</v>
      </c>
      <c r="AZ8" s="83">
        <v>0.5</v>
      </c>
      <c r="BA8" s="90" t="s">
        <v>151</v>
      </c>
      <c r="BB8" s="149">
        <v>0.2</v>
      </c>
      <c r="BC8" s="90"/>
      <c r="BD8" s="149">
        <v>0.3</v>
      </c>
      <c r="BE8" s="149">
        <v>0.2</v>
      </c>
      <c r="BF8" s="165">
        <f t="shared" si="1"/>
        <v>0.66666666666666674</v>
      </c>
      <c r="BG8" s="90"/>
      <c r="BH8" s="90"/>
      <c r="BI8" s="277" t="s">
        <v>234</v>
      </c>
      <c r="BJ8" s="276">
        <f t="shared" si="2"/>
        <v>0.2</v>
      </c>
      <c r="BK8" s="288" t="s">
        <v>297</v>
      </c>
      <c r="BL8" s="280"/>
      <c r="BM8" s="288">
        <v>0.6</v>
      </c>
      <c r="BN8" s="288"/>
      <c r="BO8" s="288"/>
      <c r="BP8" s="288"/>
      <c r="BQ8" s="289">
        <v>0</v>
      </c>
      <c r="BR8" s="328">
        <v>0</v>
      </c>
      <c r="BS8" s="297" t="s">
        <v>256</v>
      </c>
      <c r="BT8" s="276">
        <f>BB8/M8</f>
        <v>0.2</v>
      </c>
      <c r="BU8" s="317" t="s">
        <v>200</v>
      </c>
      <c r="BV8" s="317" t="s">
        <v>200</v>
      </c>
      <c r="BW8" s="276">
        <f>BT8/M8</f>
        <v>0.2</v>
      </c>
      <c r="BX8" s="316">
        <v>0</v>
      </c>
      <c r="BY8" s="321">
        <f>BX8/60</f>
        <v>0</v>
      </c>
      <c r="BZ8" s="300" t="s">
        <v>285</v>
      </c>
      <c r="CA8" s="276">
        <f>BW8/M8</f>
        <v>0.2</v>
      </c>
      <c r="CB8" s="317" t="s">
        <v>200</v>
      </c>
      <c r="CC8" s="317" t="s">
        <v>200</v>
      </c>
      <c r="CD8" s="320">
        <f>BT8/M8</f>
        <v>0.2</v>
      </c>
      <c r="CE8" s="324">
        <v>0</v>
      </c>
      <c r="CF8" s="321">
        <f t="shared" si="3"/>
        <v>0</v>
      </c>
      <c r="CG8" s="309" t="s">
        <v>296</v>
      </c>
      <c r="CH8" s="320">
        <f>CA8/M8</f>
        <v>0.2</v>
      </c>
      <c r="CI8" s="325" t="s">
        <v>200</v>
      </c>
      <c r="CJ8" s="325" t="s">
        <v>200</v>
      </c>
      <c r="CK8" s="320">
        <f>CA8/M8</f>
        <v>0.2</v>
      </c>
      <c r="CL8" s="324">
        <v>0</v>
      </c>
      <c r="CM8" s="321">
        <f>CL8/BM8</f>
        <v>0</v>
      </c>
      <c r="CN8" s="309" t="s">
        <v>316</v>
      </c>
      <c r="CO8" s="320">
        <f>CA8/M8</f>
        <v>0.2</v>
      </c>
      <c r="CP8" s="340" t="s">
        <v>200</v>
      </c>
      <c r="CQ8" s="340" t="s">
        <v>200</v>
      </c>
      <c r="CR8" s="320">
        <f>CA8/M8</f>
        <v>0.2</v>
      </c>
      <c r="CS8" s="324">
        <v>0</v>
      </c>
      <c r="CT8" s="321">
        <v>0</v>
      </c>
      <c r="CU8" s="309" t="s">
        <v>331</v>
      </c>
      <c r="CV8" s="320">
        <f>CA8/M8</f>
        <v>0.2</v>
      </c>
      <c r="CW8" s="340" t="s">
        <v>200</v>
      </c>
      <c r="CX8" s="340" t="s">
        <v>200</v>
      </c>
      <c r="CY8" s="320">
        <f>CA8/M8</f>
        <v>0.2</v>
      </c>
      <c r="CZ8" s="353">
        <v>0.21</v>
      </c>
      <c r="DA8" s="354">
        <f>CZ8/BM8</f>
        <v>0.35</v>
      </c>
      <c r="DB8" s="309" t="s">
        <v>334</v>
      </c>
      <c r="DC8" s="320">
        <f>CZ8/M8</f>
        <v>0.21</v>
      </c>
      <c r="DD8" s="340" t="s">
        <v>200</v>
      </c>
      <c r="DE8" s="340" t="s">
        <v>200</v>
      </c>
      <c r="DF8" s="320">
        <f>DC8/M8</f>
        <v>0.21</v>
      </c>
    </row>
    <row r="9" spans="1:110" ht="240" x14ac:dyDescent="0.2">
      <c r="A9" s="329">
        <v>6</v>
      </c>
      <c r="B9" s="21" t="s">
        <v>35</v>
      </c>
      <c r="C9" s="32" t="s">
        <v>9</v>
      </c>
      <c r="D9" s="20" t="s">
        <v>10</v>
      </c>
      <c r="E9" s="33" t="s">
        <v>280</v>
      </c>
      <c r="F9" s="33" t="s">
        <v>246</v>
      </c>
      <c r="G9" s="16">
        <v>6</v>
      </c>
      <c r="H9" s="16">
        <v>10</v>
      </c>
      <c r="I9" s="16">
        <v>17</v>
      </c>
      <c r="J9" s="16">
        <v>20</v>
      </c>
      <c r="K9" s="6" t="s">
        <v>22</v>
      </c>
      <c r="L9" s="33" t="s">
        <v>64</v>
      </c>
      <c r="M9" s="20">
        <v>20</v>
      </c>
      <c r="N9" s="20">
        <v>20</v>
      </c>
      <c r="O9" s="20" t="s">
        <v>200</v>
      </c>
      <c r="P9" s="13">
        <f t="shared" si="4"/>
        <v>6</v>
      </c>
      <c r="Q9" s="13">
        <v>8</v>
      </c>
      <c r="R9" s="13">
        <v>6</v>
      </c>
      <c r="S9" s="13">
        <v>8</v>
      </c>
      <c r="T9" s="165">
        <f t="shared" si="0"/>
        <v>1.3333333333333333</v>
      </c>
      <c r="U9" s="17" t="s">
        <v>29</v>
      </c>
      <c r="V9" s="255">
        <f>Q9/M9</f>
        <v>0.4</v>
      </c>
      <c r="W9" s="155">
        <v>10</v>
      </c>
      <c r="X9" s="155"/>
      <c r="Y9" s="155"/>
      <c r="Z9" s="150">
        <v>4</v>
      </c>
      <c r="AA9" s="150">
        <v>1</v>
      </c>
      <c r="AB9" s="165">
        <f>AA9/4</f>
        <v>0.25</v>
      </c>
      <c r="AC9" s="17" t="s">
        <v>42</v>
      </c>
      <c r="AD9" s="150">
        <v>2</v>
      </c>
      <c r="AE9" s="165">
        <f>AD9/4</f>
        <v>0.5</v>
      </c>
      <c r="AF9" s="17" t="s">
        <v>55</v>
      </c>
      <c r="AG9" s="150">
        <v>2</v>
      </c>
      <c r="AH9" s="170">
        <f>AG9/4</f>
        <v>0.5</v>
      </c>
      <c r="AI9" s="39" t="s">
        <v>80</v>
      </c>
      <c r="AJ9" s="155">
        <v>3</v>
      </c>
      <c r="AK9" s="170">
        <f>AJ9/4</f>
        <v>0.75</v>
      </c>
      <c r="AL9" s="43" t="s">
        <v>98</v>
      </c>
      <c r="AM9" s="176">
        <v>3</v>
      </c>
      <c r="AN9" s="170">
        <f>AM9/4</f>
        <v>0.75</v>
      </c>
      <c r="AO9" s="78" t="s">
        <v>105</v>
      </c>
      <c r="AP9" s="150">
        <v>5</v>
      </c>
      <c r="AQ9" s="169">
        <f>AP9/4</f>
        <v>1.25</v>
      </c>
      <c r="AR9" s="17" t="s">
        <v>120</v>
      </c>
      <c r="AS9" s="178">
        <v>8</v>
      </c>
      <c r="AT9" s="169">
        <f>+AS9/4</f>
        <v>2</v>
      </c>
      <c r="AU9" s="17" t="s">
        <v>132</v>
      </c>
      <c r="AV9" s="178">
        <v>8</v>
      </c>
      <c r="AW9" s="169">
        <f>+AV9/Z9</f>
        <v>2</v>
      </c>
      <c r="AX9" s="88" t="s">
        <v>141</v>
      </c>
      <c r="AY9" s="159">
        <v>9</v>
      </c>
      <c r="AZ9" s="83">
        <f>+AY9/Z9</f>
        <v>2.25</v>
      </c>
      <c r="BA9" s="94" t="s">
        <v>153</v>
      </c>
      <c r="BB9" s="155">
        <v>19</v>
      </c>
      <c r="BC9" s="94"/>
      <c r="BD9" s="155">
        <v>10</v>
      </c>
      <c r="BE9" s="155">
        <v>19</v>
      </c>
      <c r="BF9" s="286">
        <f t="shared" si="1"/>
        <v>1.9</v>
      </c>
      <c r="BG9" s="165"/>
      <c r="BH9" s="165"/>
      <c r="BI9" s="162" t="s">
        <v>262</v>
      </c>
      <c r="BJ9" s="256">
        <f t="shared" si="2"/>
        <v>0.95</v>
      </c>
      <c r="BK9" s="289">
        <v>17</v>
      </c>
      <c r="BL9" s="280"/>
      <c r="BM9" s="289">
        <v>17</v>
      </c>
      <c r="BN9" s="248"/>
      <c r="BO9" s="248"/>
      <c r="BP9" s="248"/>
      <c r="BQ9" s="289">
        <v>19</v>
      </c>
      <c r="BR9" s="321">
        <f>BQ9/BM9</f>
        <v>1.1176470588235294</v>
      </c>
      <c r="BS9" s="162" t="s">
        <v>258</v>
      </c>
      <c r="BT9" s="290">
        <f>BE9/N9</f>
        <v>0.95</v>
      </c>
      <c r="BU9" s="319" t="s">
        <v>200</v>
      </c>
      <c r="BV9" s="319" t="s">
        <v>200</v>
      </c>
      <c r="BW9" s="290">
        <f>BE9/N9</f>
        <v>0.95</v>
      </c>
      <c r="BX9" s="289">
        <v>21</v>
      </c>
      <c r="BY9" s="321">
        <f>BX9/BM9</f>
        <v>1.2352941176470589</v>
      </c>
      <c r="BZ9" s="300" t="s">
        <v>286</v>
      </c>
      <c r="CA9" s="315">
        <f>19/20</f>
        <v>0.95</v>
      </c>
      <c r="CB9" s="317" t="s">
        <v>200</v>
      </c>
      <c r="CC9" s="317" t="s">
        <v>200</v>
      </c>
      <c r="CD9" s="320">
        <f>21/20</f>
        <v>1.05</v>
      </c>
      <c r="CE9" s="248">
        <v>23</v>
      </c>
      <c r="CF9" s="321">
        <f t="shared" si="3"/>
        <v>1.3529411764705883</v>
      </c>
      <c r="CG9" s="309" t="s">
        <v>298</v>
      </c>
      <c r="CH9" s="320">
        <f>CE9/M9</f>
        <v>1.1499999999999999</v>
      </c>
      <c r="CI9" s="317" t="s">
        <v>200</v>
      </c>
      <c r="CJ9" s="317" t="s">
        <v>200</v>
      </c>
      <c r="CK9" s="320">
        <f>CE9/M9</f>
        <v>1.1499999999999999</v>
      </c>
      <c r="CL9" s="312">
        <v>24</v>
      </c>
      <c r="CM9" s="321">
        <f>CL9/BK9</f>
        <v>1.411764705882353</v>
      </c>
      <c r="CN9" s="345" t="s">
        <v>319</v>
      </c>
      <c r="CO9" s="320">
        <f>CE9/M9</f>
        <v>1.1499999999999999</v>
      </c>
      <c r="CP9" s="340" t="s">
        <v>200</v>
      </c>
      <c r="CQ9" s="340" t="s">
        <v>200</v>
      </c>
      <c r="CR9" s="320">
        <f>CL9/M9</f>
        <v>1.2</v>
      </c>
      <c r="CS9" s="312">
        <v>25</v>
      </c>
      <c r="CT9" s="321">
        <f>CS9/BK9</f>
        <v>1.4705882352941178</v>
      </c>
      <c r="CU9" s="43" t="s">
        <v>325</v>
      </c>
      <c r="CV9" s="320">
        <f>CE9/M9</f>
        <v>1.1499999999999999</v>
      </c>
      <c r="CW9" s="340" t="s">
        <v>200</v>
      </c>
      <c r="CX9" s="340" t="s">
        <v>200</v>
      </c>
      <c r="CY9" s="320">
        <f>CS9/M9</f>
        <v>1.25</v>
      </c>
      <c r="CZ9" s="16">
        <v>25</v>
      </c>
      <c r="DA9" s="321">
        <f>CZ9/BK9</f>
        <v>1.4705882352941178</v>
      </c>
      <c r="DB9" s="43" t="s">
        <v>335</v>
      </c>
      <c r="DC9" s="320">
        <f>CZ9/M9</f>
        <v>1.25</v>
      </c>
      <c r="DD9" s="340" t="s">
        <v>200</v>
      </c>
      <c r="DE9" s="340" t="s">
        <v>200</v>
      </c>
      <c r="DF9" s="320">
        <f>CZ9/M9</f>
        <v>1.25</v>
      </c>
    </row>
    <row r="10" spans="1:110" ht="347.25" customHeight="1" x14ac:dyDescent="0.2">
      <c r="A10" s="329">
        <v>7</v>
      </c>
      <c r="B10" s="22" t="s">
        <v>35</v>
      </c>
      <c r="C10" s="76" t="s">
        <v>11</v>
      </c>
      <c r="D10" s="16" t="s">
        <v>8</v>
      </c>
      <c r="E10" s="351" t="s">
        <v>84</v>
      </c>
      <c r="F10" s="33" t="s">
        <v>246</v>
      </c>
      <c r="G10" s="77">
        <v>175</v>
      </c>
      <c r="H10" s="77">
        <v>200</v>
      </c>
      <c r="I10" s="77">
        <v>225</v>
      </c>
      <c r="J10" s="35">
        <v>250</v>
      </c>
      <c r="K10" s="36" t="s">
        <v>12</v>
      </c>
      <c r="L10" s="38" t="s">
        <v>67</v>
      </c>
      <c r="M10" s="428" t="s">
        <v>342</v>
      </c>
      <c r="N10" s="428" t="s">
        <v>343</v>
      </c>
      <c r="O10" s="37" t="s">
        <v>200</v>
      </c>
      <c r="P10" s="23">
        <f t="shared" si="4"/>
        <v>175</v>
      </c>
      <c r="Q10" s="23">
        <v>185</v>
      </c>
      <c r="R10" s="23">
        <v>175</v>
      </c>
      <c r="S10" s="23">
        <v>185</v>
      </c>
      <c r="T10" s="166">
        <f>(Q10-150)/(P10-150)</f>
        <v>1.4</v>
      </c>
      <c r="U10" s="24" t="s">
        <v>30</v>
      </c>
      <c r="V10" s="271" t="e">
        <f>Q10/N10</f>
        <v>#VALUE!</v>
      </c>
      <c r="W10" s="156">
        <v>200</v>
      </c>
      <c r="X10" s="156"/>
      <c r="Y10" s="156"/>
      <c r="Z10" s="157">
        <v>25</v>
      </c>
      <c r="AA10" s="147">
        <v>0</v>
      </c>
      <c r="AB10" s="166">
        <f>AA10/25</f>
        <v>0</v>
      </c>
      <c r="AC10" s="24" t="s">
        <v>43</v>
      </c>
      <c r="AD10" s="147">
        <v>0</v>
      </c>
      <c r="AE10" s="166">
        <f>AD10/25</f>
        <v>0</v>
      </c>
      <c r="AF10" s="24" t="s">
        <v>54</v>
      </c>
      <c r="AG10" s="147">
        <v>0</v>
      </c>
      <c r="AH10" s="172">
        <f>AG10/25</f>
        <v>0</v>
      </c>
      <c r="AI10" s="41" t="s">
        <v>79</v>
      </c>
      <c r="AJ10" s="150">
        <v>15</v>
      </c>
      <c r="AK10" s="170">
        <f>AJ10/25</f>
        <v>0.6</v>
      </c>
      <c r="AL10" s="41" t="s">
        <v>99</v>
      </c>
      <c r="AM10" s="174">
        <v>33</v>
      </c>
      <c r="AN10" s="170">
        <f>AM10/25</f>
        <v>1.32</v>
      </c>
      <c r="AO10" s="17" t="s">
        <v>111</v>
      </c>
      <c r="AP10" s="150">
        <v>55</v>
      </c>
      <c r="AQ10" s="170">
        <f>AP10/25</f>
        <v>2.2000000000000002</v>
      </c>
      <c r="AR10" s="17" t="s">
        <v>116</v>
      </c>
      <c r="AS10" s="178">
        <v>77</v>
      </c>
      <c r="AT10" s="170">
        <f>+AS10/25</f>
        <v>3.08</v>
      </c>
      <c r="AU10" s="17" t="s">
        <v>127</v>
      </c>
      <c r="AV10" s="178">
        <v>117</v>
      </c>
      <c r="AW10" s="170">
        <f>+AV10/25</f>
        <v>4.68</v>
      </c>
      <c r="AX10" s="91" t="s">
        <v>145</v>
      </c>
      <c r="AY10" s="159">
        <v>150</v>
      </c>
      <c r="AZ10" s="84">
        <f>+AY10/25</f>
        <v>6</v>
      </c>
      <c r="BA10" s="90" t="s">
        <v>149</v>
      </c>
      <c r="BB10" s="156">
        <v>372</v>
      </c>
      <c r="BC10" s="90"/>
      <c r="BD10" s="156">
        <v>200</v>
      </c>
      <c r="BE10" s="156">
        <v>372</v>
      </c>
      <c r="BF10" s="292">
        <f>(BB10-150)/(W10-150)</f>
        <v>4.4400000000000004</v>
      </c>
      <c r="BG10" s="90"/>
      <c r="BH10" s="90"/>
      <c r="BI10" s="162" t="s">
        <v>232</v>
      </c>
      <c r="BJ10" s="255">
        <f>(BE10-150)/(250-150)</f>
        <v>2.2200000000000002</v>
      </c>
      <c r="BK10" s="272">
        <v>472</v>
      </c>
      <c r="BL10" s="178"/>
      <c r="BM10" s="272">
        <v>472</v>
      </c>
      <c r="BN10" s="249"/>
      <c r="BO10" s="249"/>
      <c r="BP10" s="162"/>
      <c r="BQ10" s="289">
        <v>372</v>
      </c>
      <c r="BR10" s="321">
        <f>BQ10/BK10</f>
        <v>0.78813559322033899</v>
      </c>
      <c r="BS10" s="162" t="s">
        <v>259</v>
      </c>
      <c r="BT10" s="256">
        <f>(BE10-150)/(250-150)</f>
        <v>2.2200000000000002</v>
      </c>
      <c r="BU10" s="318" t="s">
        <v>200</v>
      </c>
      <c r="BV10" s="318" t="s">
        <v>200</v>
      </c>
      <c r="BW10" s="256">
        <f>(BE10-150)/(250-150)</f>
        <v>2.2200000000000002</v>
      </c>
      <c r="BX10" s="289">
        <v>372</v>
      </c>
      <c r="BY10" s="321">
        <f>BX10/472</f>
        <v>0.78813559322033899</v>
      </c>
      <c r="BZ10" s="300" t="s">
        <v>287</v>
      </c>
      <c r="CA10" s="256">
        <f>(BE10-150)/(250-150)</f>
        <v>2.2200000000000002</v>
      </c>
      <c r="CB10" s="317" t="s">
        <v>200</v>
      </c>
      <c r="CC10" s="317" t="s">
        <v>200</v>
      </c>
      <c r="CD10" s="320">
        <f>(BE10-150)/(250-150)</f>
        <v>2.2200000000000002</v>
      </c>
      <c r="CE10" s="248">
        <v>372</v>
      </c>
      <c r="CF10" s="321">
        <f>CE10/BK10</f>
        <v>0.78813559322033899</v>
      </c>
      <c r="CG10" s="309" t="s">
        <v>299</v>
      </c>
      <c r="CH10" s="320">
        <f>(BE10-150)/(250-150)</f>
        <v>2.2200000000000002</v>
      </c>
      <c r="CI10" s="317" t="s">
        <v>200</v>
      </c>
      <c r="CJ10" s="317" t="s">
        <v>200</v>
      </c>
      <c r="CK10" s="320">
        <f>(BE10-150)/(250-150)</f>
        <v>2.2200000000000002</v>
      </c>
      <c r="CL10" s="340">
        <v>446</v>
      </c>
      <c r="CM10" s="321">
        <f>CL10/BK10</f>
        <v>0.94491525423728817</v>
      </c>
      <c r="CN10" s="309" t="s">
        <v>314</v>
      </c>
      <c r="CO10" s="320">
        <f>(CL10-150)/(250-150)</f>
        <v>2.96</v>
      </c>
      <c r="CP10" s="76" t="s">
        <v>200</v>
      </c>
      <c r="CQ10" s="76" t="s">
        <v>200</v>
      </c>
      <c r="CR10" s="320">
        <f>(CL10-150)/(250-150)</f>
        <v>2.96</v>
      </c>
      <c r="CS10" s="340">
        <v>452</v>
      </c>
      <c r="CT10" s="321">
        <f>CS10/BM10</f>
        <v>0.9576271186440678</v>
      </c>
      <c r="CU10" s="309" t="s">
        <v>329</v>
      </c>
      <c r="CV10" s="320">
        <f>(BE10-150)/(250-150)</f>
        <v>2.2200000000000002</v>
      </c>
      <c r="CW10" s="340" t="s">
        <v>200</v>
      </c>
      <c r="CX10" s="340" t="s">
        <v>200</v>
      </c>
      <c r="CY10" s="320">
        <f>(CS10-150)/(250-150)</f>
        <v>3.02</v>
      </c>
      <c r="CZ10" s="16">
        <v>465</v>
      </c>
      <c r="DA10" s="321">
        <f>CZ10/BK10</f>
        <v>0.98516949152542377</v>
      </c>
      <c r="DB10" s="43" t="s">
        <v>338</v>
      </c>
      <c r="DC10" s="320">
        <f>(CZ10-150)/(500-150)</f>
        <v>0.9</v>
      </c>
      <c r="DD10" s="340" t="s">
        <v>200</v>
      </c>
      <c r="DE10" s="340" t="s">
        <v>200</v>
      </c>
      <c r="DF10" s="320">
        <f>(CZ10-150)/(500-150)</f>
        <v>0.9</v>
      </c>
    </row>
    <row r="11" spans="1:110" ht="402.75" customHeight="1" x14ac:dyDescent="0.2">
      <c r="A11" s="329">
        <v>8</v>
      </c>
      <c r="B11" s="25" t="s">
        <v>301</v>
      </c>
      <c r="C11" s="25" t="s">
        <v>46</v>
      </c>
      <c r="D11" s="26" t="s">
        <v>4</v>
      </c>
      <c r="E11" s="351" t="s">
        <v>85</v>
      </c>
      <c r="F11" s="291" t="s">
        <v>245</v>
      </c>
      <c r="G11" s="27">
        <v>0.1</v>
      </c>
      <c r="H11" s="27">
        <v>0.3</v>
      </c>
      <c r="I11" s="27">
        <v>0.3</v>
      </c>
      <c r="J11" s="27">
        <v>0.3</v>
      </c>
      <c r="K11" s="11" t="s">
        <v>12</v>
      </c>
      <c r="L11" s="33" t="s">
        <v>67</v>
      </c>
      <c r="M11" s="28">
        <v>1</v>
      </c>
      <c r="N11" s="28">
        <v>1</v>
      </c>
      <c r="O11" s="28" t="s">
        <v>200</v>
      </c>
      <c r="P11" s="28">
        <v>0.1</v>
      </c>
      <c r="Q11" s="28">
        <v>0.1</v>
      </c>
      <c r="R11" s="28">
        <v>0.1</v>
      </c>
      <c r="S11" s="28">
        <v>0.1</v>
      </c>
      <c r="T11" s="165">
        <f>Q11/P11</f>
        <v>1</v>
      </c>
      <c r="U11" s="17" t="s">
        <v>47</v>
      </c>
      <c r="V11" s="273">
        <f>S11/M11</f>
        <v>0.1</v>
      </c>
      <c r="W11" s="151">
        <v>0.3</v>
      </c>
      <c r="X11" s="151"/>
      <c r="Y11" s="151"/>
      <c r="Z11" s="151">
        <v>0.3</v>
      </c>
      <c r="AA11" s="151">
        <v>0.01</v>
      </c>
      <c r="AB11" s="166">
        <f t="shared" si="5"/>
        <v>3.3333333333333333E-2</v>
      </c>
      <c r="AC11" s="17" t="s">
        <v>48</v>
      </c>
      <c r="AD11" s="149">
        <v>0.02</v>
      </c>
      <c r="AE11" s="165">
        <f>AD11/Z11</f>
        <v>6.6666666666666666E-2</v>
      </c>
      <c r="AF11" s="17" t="s">
        <v>61</v>
      </c>
      <c r="AG11" s="149">
        <v>0.05</v>
      </c>
      <c r="AH11" s="165">
        <f t="shared" si="6"/>
        <v>0.16666666666666669</v>
      </c>
      <c r="AI11" s="17" t="s">
        <v>76</v>
      </c>
      <c r="AJ11" s="151">
        <v>0.06</v>
      </c>
      <c r="AK11" s="165">
        <f t="shared" si="7"/>
        <v>0.2</v>
      </c>
      <c r="AL11" s="17" t="s">
        <v>100</v>
      </c>
      <c r="AM11" s="177">
        <v>0.09</v>
      </c>
      <c r="AN11" s="165">
        <f>AM11/Z11</f>
        <v>0.3</v>
      </c>
      <c r="AO11" s="17" t="s">
        <v>110</v>
      </c>
      <c r="AP11" s="177">
        <v>0.16</v>
      </c>
      <c r="AQ11" s="170">
        <f>AP11/Z11</f>
        <v>0.53333333333333333</v>
      </c>
      <c r="AR11" s="17" t="s">
        <v>122</v>
      </c>
      <c r="AS11" s="177">
        <v>0.21</v>
      </c>
      <c r="AT11" s="170">
        <f>+AS11/Z11</f>
        <v>0.7</v>
      </c>
      <c r="AU11" s="17" t="s">
        <v>133</v>
      </c>
      <c r="AV11" s="180">
        <v>0.23499999999999999</v>
      </c>
      <c r="AW11" s="170">
        <f>+AV11/Z11</f>
        <v>0.78333333333333333</v>
      </c>
      <c r="AX11" s="17" t="s">
        <v>138</v>
      </c>
      <c r="AY11" s="140">
        <v>0.27</v>
      </c>
      <c r="AZ11" s="84">
        <f>+AY11/Z11</f>
        <v>0.90000000000000013</v>
      </c>
      <c r="BA11" s="162" t="s">
        <v>150</v>
      </c>
      <c r="BB11" s="151">
        <v>0.3</v>
      </c>
      <c r="BC11" s="162"/>
      <c r="BD11" s="151">
        <v>0.3</v>
      </c>
      <c r="BE11" s="151">
        <v>0.3</v>
      </c>
      <c r="BF11" s="292">
        <f>BE11/BD11</f>
        <v>1</v>
      </c>
      <c r="BG11" s="162"/>
      <c r="BH11" s="162"/>
      <c r="BI11" s="162" t="s">
        <v>233</v>
      </c>
      <c r="BJ11" s="255">
        <f>(BE11+Q11)</f>
        <v>0.4</v>
      </c>
      <c r="BK11" s="274">
        <v>0.3</v>
      </c>
      <c r="BL11" s="175"/>
      <c r="BM11" s="274">
        <v>0.3</v>
      </c>
      <c r="BN11" s="175"/>
      <c r="BO11" s="249"/>
      <c r="BP11" s="162"/>
      <c r="BQ11" s="293">
        <v>0.01</v>
      </c>
      <c r="BR11" s="321">
        <f>BQ11/BK11</f>
        <v>3.3333333333333333E-2</v>
      </c>
      <c r="BS11" s="162" t="s">
        <v>260</v>
      </c>
      <c r="BT11" s="273">
        <f>BE11+Q11</f>
        <v>0.4</v>
      </c>
      <c r="BU11" s="7" t="s">
        <v>200</v>
      </c>
      <c r="BV11" s="7" t="s">
        <v>200</v>
      </c>
      <c r="BW11" s="273">
        <f>BE11+Q11+BQ11</f>
        <v>0.41000000000000003</v>
      </c>
      <c r="BX11" s="316">
        <v>1.4999999999999999E-2</v>
      </c>
      <c r="BY11" s="321">
        <f>BX11/BM11</f>
        <v>0.05</v>
      </c>
      <c r="BZ11" s="300" t="s">
        <v>288</v>
      </c>
      <c r="CA11" s="273">
        <f>BE11+Q11</f>
        <v>0.4</v>
      </c>
      <c r="CB11" s="317" t="s">
        <v>200</v>
      </c>
      <c r="CC11" s="317" t="s">
        <v>200</v>
      </c>
      <c r="CD11" s="287">
        <f>BE11+Q11+BQ11+BX11</f>
        <v>0.42500000000000004</v>
      </c>
      <c r="CE11" s="326">
        <v>2.5000000000000001E-2</v>
      </c>
      <c r="CF11" s="321">
        <f>CE11/BK11</f>
        <v>8.3333333333333343E-2</v>
      </c>
      <c r="CG11" s="309" t="s">
        <v>300</v>
      </c>
      <c r="CH11" s="320">
        <f>CA11</f>
        <v>0.4</v>
      </c>
      <c r="CI11" s="317" t="s">
        <v>200</v>
      </c>
      <c r="CJ11" s="317" t="s">
        <v>200</v>
      </c>
      <c r="CK11" s="320">
        <f>CE11+BX11+BQ11+BJ11</f>
        <v>0.45</v>
      </c>
      <c r="CL11" s="341">
        <v>5.2999999999999999E-2</v>
      </c>
      <c r="CM11" s="321">
        <f>CL11/BK11</f>
        <v>0.17666666666666667</v>
      </c>
      <c r="CN11" s="309" t="s">
        <v>315</v>
      </c>
      <c r="CO11" s="320">
        <f>CA11</f>
        <v>0.4</v>
      </c>
      <c r="CP11" s="340" t="s">
        <v>200</v>
      </c>
      <c r="CQ11" s="340" t="s">
        <v>200</v>
      </c>
      <c r="CR11" s="320">
        <f>+CL11+CE11+BX11+BQ11+BJ11</f>
        <v>0.503</v>
      </c>
      <c r="CS11" s="355">
        <v>4.2999999999999997E-2</v>
      </c>
      <c r="CT11" s="321">
        <f>CS11/BM11</f>
        <v>0.14333333333333334</v>
      </c>
      <c r="CU11" s="309" t="s">
        <v>330</v>
      </c>
      <c r="CV11" s="320">
        <f>CA11</f>
        <v>0.4</v>
      </c>
      <c r="CW11" s="340" t="s">
        <v>200</v>
      </c>
      <c r="CX11" s="340" t="s">
        <v>200</v>
      </c>
      <c r="CY11" s="287">
        <f>CL11+CE11+BX11+BQ11+BJ11+CS11</f>
        <v>0.54600000000000004</v>
      </c>
      <c r="CZ11" s="355">
        <v>2.5999999999999999E-2</v>
      </c>
      <c r="DA11" s="321">
        <f>CZ11/BK11</f>
        <v>8.666666666666667E-2</v>
      </c>
      <c r="DB11" s="309" t="s">
        <v>339</v>
      </c>
      <c r="DC11" s="320">
        <f>CA11</f>
        <v>0.4</v>
      </c>
      <c r="DD11" s="191" t="s">
        <v>200</v>
      </c>
      <c r="DE11" s="191" t="s">
        <v>200</v>
      </c>
      <c r="DF11" s="287">
        <f>CY11+CZ11</f>
        <v>0.57200000000000006</v>
      </c>
    </row>
    <row r="12" spans="1:110" ht="17.25" customHeight="1" x14ac:dyDescent="0.2">
      <c r="B12" s="359"/>
      <c r="C12" s="359"/>
      <c r="D12" s="359"/>
      <c r="E12" s="359"/>
      <c r="F12" s="281"/>
      <c r="G12" s="2"/>
      <c r="H12" s="2"/>
      <c r="I12" s="2"/>
      <c r="J12" s="2"/>
      <c r="K12" s="2"/>
      <c r="L12" s="2"/>
      <c r="M12" s="2"/>
      <c r="N12" s="2"/>
      <c r="O12" s="2"/>
      <c r="AM12" s="85"/>
      <c r="AQ12" s="85"/>
      <c r="AS12" s="86"/>
      <c r="BI12" s="254"/>
      <c r="BT12" s="85"/>
      <c r="BU12" s="85"/>
      <c r="BV12" s="85"/>
      <c r="BW12" s="85"/>
      <c r="BX12" s="85"/>
      <c r="BY12" s="85"/>
      <c r="BZ12" s="85"/>
      <c r="CA12" s="85"/>
      <c r="CB12" s="85"/>
      <c r="CC12" s="85"/>
      <c r="CD12" s="85"/>
      <c r="CE12" s="85"/>
      <c r="CF12" s="85"/>
      <c r="CG12" s="85"/>
      <c r="CH12" s="85"/>
      <c r="CI12" s="85"/>
      <c r="CJ12" s="85"/>
      <c r="CK12" s="85"/>
    </row>
    <row r="13" spans="1:110" ht="23.25" hidden="1" customHeight="1" x14ac:dyDescent="0.2">
      <c r="B13" s="359"/>
      <c r="C13" s="359"/>
      <c r="D13" s="19"/>
      <c r="E13" s="29"/>
      <c r="F13" s="281"/>
      <c r="G13" s="2"/>
      <c r="H13" s="2"/>
      <c r="I13" s="2"/>
      <c r="J13" s="2"/>
      <c r="K13" s="81"/>
      <c r="L13" s="2"/>
      <c r="M13" s="2"/>
      <c r="N13" s="2"/>
      <c r="O13" s="2"/>
      <c r="T13" s="3">
        <v>42180000</v>
      </c>
      <c r="V13" s="85">
        <f>U14/T13</f>
        <v>0.38481990137505928</v>
      </c>
      <c r="AQ13" s="85"/>
      <c r="AS13" s="85"/>
      <c r="AV13" s="87"/>
      <c r="BI13" s="254"/>
      <c r="BJ13" s="122"/>
      <c r="BK13" s="122"/>
      <c r="BL13" s="122"/>
      <c r="BM13" s="122"/>
      <c r="BN13" s="122"/>
    </row>
    <row r="14" spans="1:110" hidden="1" x14ac:dyDescent="0.2">
      <c r="B14" s="2"/>
      <c r="C14" s="2"/>
      <c r="D14" s="2"/>
      <c r="E14" s="2"/>
      <c r="F14" s="2"/>
      <c r="G14" s="2"/>
      <c r="H14" s="2"/>
      <c r="I14" s="2"/>
      <c r="J14" s="2"/>
      <c r="K14" s="2"/>
      <c r="L14" s="2"/>
      <c r="M14" s="2"/>
      <c r="N14" s="2"/>
      <c r="O14" s="2"/>
      <c r="T14" s="86">
        <v>25329445.940000001</v>
      </c>
      <c r="U14" s="86">
        <v>16231703.439999999</v>
      </c>
      <c r="V14" s="85">
        <f>U14/T14</f>
        <v>0.64082346998230466</v>
      </c>
      <c r="AS14" s="85"/>
    </row>
    <row r="15" spans="1:110" x14ac:dyDescent="0.2">
      <c r="C15" s="2"/>
      <c r="D15" s="2"/>
      <c r="E15" s="2"/>
      <c r="F15" s="2"/>
      <c r="G15" s="2"/>
      <c r="H15" s="92"/>
      <c r="I15" s="2"/>
      <c r="J15" s="2"/>
      <c r="K15" s="2"/>
      <c r="L15" s="2"/>
      <c r="M15" s="2"/>
      <c r="N15" s="2"/>
      <c r="O15" s="2"/>
    </row>
    <row r="16" spans="1:110" x14ac:dyDescent="0.2">
      <c r="C16" s="2"/>
      <c r="D16" s="2"/>
      <c r="E16" s="2"/>
      <c r="F16" s="2"/>
      <c r="G16" s="2"/>
      <c r="H16" s="2"/>
      <c r="I16" s="2"/>
      <c r="J16" s="2"/>
      <c r="K16" s="2"/>
      <c r="L16" s="2"/>
      <c r="M16" s="2"/>
      <c r="N16" s="2"/>
      <c r="O16" s="2"/>
    </row>
    <row r="17" spans="3:71" x14ac:dyDescent="0.2">
      <c r="C17" s="2"/>
      <c r="D17" s="2"/>
      <c r="E17" s="2"/>
      <c r="F17" s="2"/>
      <c r="G17" s="2"/>
      <c r="H17" s="2"/>
      <c r="I17" s="2"/>
      <c r="J17" s="2"/>
      <c r="K17" s="2"/>
      <c r="L17" s="2"/>
      <c r="M17" s="2"/>
      <c r="N17" s="2"/>
      <c r="O17" s="2"/>
    </row>
    <row r="18" spans="3:71" x14ac:dyDescent="0.2">
      <c r="C18" s="2"/>
      <c r="D18" s="2"/>
      <c r="E18" s="2"/>
      <c r="F18" s="2"/>
      <c r="G18" s="2"/>
      <c r="H18" s="2"/>
      <c r="I18" s="2"/>
      <c r="J18" s="2"/>
      <c r="K18" s="2"/>
      <c r="L18" s="2"/>
      <c r="M18" s="2"/>
      <c r="N18" s="2"/>
      <c r="O18" s="2"/>
      <c r="BS18" s="85"/>
    </row>
    <row r="22" spans="3:71" x14ac:dyDescent="0.2">
      <c r="BJ22" s="93"/>
      <c r="BK22" s="93"/>
      <c r="BL22" s="93"/>
      <c r="BM22" s="93"/>
      <c r="BN22" s="93"/>
    </row>
    <row r="24" spans="3:71" ht="15.75" x14ac:dyDescent="0.25">
      <c r="BO24" s="98"/>
      <c r="BP24" s="98"/>
      <c r="BQ24" s="98"/>
      <c r="BR24" s="98"/>
    </row>
  </sheetData>
  <autoFilter ref="B3:DG11" xr:uid="{AF054213-AD79-4CB9-A8A5-88FB8D7FD459}"/>
  <mergeCells count="18">
    <mergeCell ref="B1:CK1"/>
    <mergeCell ref="B12:E12"/>
    <mergeCell ref="L2:L3"/>
    <mergeCell ref="M2:M3"/>
    <mergeCell ref="N2:N3"/>
    <mergeCell ref="W2:BJ2"/>
    <mergeCell ref="P2:V2"/>
    <mergeCell ref="F2:F3"/>
    <mergeCell ref="O2:O3"/>
    <mergeCell ref="K2:K3"/>
    <mergeCell ref="D2:D3"/>
    <mergeCell ref="E2:E3"/>
    <mergeCell ref="BK2:DF2"/>
    <mergeCell ref="A2:A3"/>
    <mergeCell ref="B13:C13"/>
    <mergeCell ref="G2:J2"/>
    <mergeCell ref="C2:C3"/>
    <mergeCell ref="B2:B3"/>
  </mergeCells>
  <phoneticPr fontId="9" type="noConversion"/>
  <conditionalFormatting sqref="T4:T11 AB10:AB11">
    <cfRule type="cellIs" dxfId="419" priority="373" operator="lessThan">
      <formula>0.4</formula>
    </cfRule>
    <cfRule type="cellIs" dxfId="418" priority="374" operator="between">
      <formula>0.4</formula>
      <formula>0.799</formula>
    </cfRule>
    <cfRule type="cellIs" dxfId="417" priority="375" operator="greaterThanOrEqual">
      <formula>0.8</formula>
    </cfRule>
  </conditionalFormatting>
  <conditionalFormatting sqref="AB9">
    <cfRule type="cellIs" dxfId="416" priority="367" operator="lessThan">
      <formula>0.4</formula>
    </cfRule>
    <cfRule type="cellIs" dxfId="415" priority="368" operator="between">
      <formula>0.4</formula>
      <formula>0.799</formula>
    </cfRule>
    <cfRule type="cellIs" dxfId="414" priority="369" operator="greaterThanOrEqual">
      <formula>0.8</formula>
    </cfRule>
  </conditionalFormatting>
  <conditionalFormatting sqref="AH4:AH5">
    <cfRule type="cellIs" dxfId="413" priority="319" operator="lessThan">
      <formula>0.4</formula>
    </cfRule>
    <cfRule type="cellIs" dxfId="412" priority="320" operator="between">
      <formula>0.4</formula>
      <formula>0.799</formula>
    </cfRule>
    <cfRule type="cellIs" dxfId="411" priority="321" operator="greaterThanOrEqual">
      <formula>0.8</formula>
    </cfRule>
  </conditionalFormatting>
  <conditionalFormatting sqref="AB6:AB8">
    <cfRule type="cellIs" dxfId="410" priority="316" operator="lessThan">
      <formula>0.4</formula>
    </cfRule>
    <cfRule type="cellIs" dxfId="409" priority="317" operator="between">
      <formula>0.4</formula>
      <formula>0.799</formula>
    </cfRule>
    <cfRule type="cellIs" dxfId="408" priority="318" operator="greaterThanOrEqual">
      <formula>0.8</formula>
    </cfRule>
  </conditionalFormatting>
  <conditionalFormatting sqref="AE6:AE11">
    <cfRule type="cellIs" dxfId="407" priority="313" operator="lessThan">
      <formula>0.4</formula>
    </cfRule>
    <cfRule type="cellIs" dxfId="406" priority="314" operator="between">
      <formula>0.4</formula>
      <formula>0.799</formula>
    </cfRule>
    <cfRule type="cellIs" dxfId="405" priority="315" operator="greaterThanOrEqual">
      <formula>0.8</formula>
    </cfRule>
  </conditionalFormatting>
  <conditionalFormatting sqref="AH6:AH11">
    <cfRule type="cellIs" dxfId="404" priority="310" operator="lessThan">
      <formula>0.4</formula>
    </cfRule>
    <cfRule type="cellIs" dxfId="403" priority="311" operator="between">
      <formula>0.4</formula>
      <formula>0.799</formula>
    </cfRule>
    <cfRule type="cellIs" dxfId="402" priority="312" operator="greaterThanOrEqual">
      <formula>0.8</formula>
    </cfRule>
  </conditionalFormatting>
  <conditionalFormatting sqref="AB4:AB5">
    <cfRule type="cellIs" dxfId="401" priority="307" operator="lessThan">
      <formula>0.4</formula>
    </cfRule>
    <cfRule type="cellIs" dxfId="400" priority="308" operator="between">
      <formula>0.4</formula>
      <formula>0.799</formula>
    </cfRule>
    <cfRule type="cellIs" dxfId="399" priority="309" operator="greaterThanOrEqual">
      <formula>0.8</formula>
    </cfRule>
  </conditionalFormatting>
  <conditionalFormatting sqref="AE4:AE5">
    <cfRule type="cellIs" dxfId="398" priority="304" operator="lessThan">
      <formula>0.4</formula>
    </cfRule>
    <cfRule type="cellIs" dxfId="397" priority="305" operator="between">
      <formula>0.4</formula>
      <formula>0.799</formula>
    </cfRule>
    <cfRule type="cellIs" dxfId="396" priority="306" operator="greaterThanOrEqual">
      <formula>0.8</formula>
    </cfRule>
  </conditionalFormatting>
  <conditionalFormatting sqref="AK4:AK11">
    <cfRule type="cellIs" dxfId="395" priority="295" operator="lessThan">
      <formula>0.4</formula>
    </cfRule>
    <cfRule type="cellIs" dxfId="394" priority="296" operator="between">
      <formula>0.4</formula>
      <formula>0.799</formula>
    </cfRule>
    <cfRule type="cellIs" dxfId="393" priority="297" operator="greaterThanOrEqual">
      <formula>0.8</formula>
    </cfRule>
  </conditionalFormatting>
  <conditionalFormatting sqref="AN9">
    <cfRule type="cellIs" dxfId="392" priority="292" operator="lessThan">
      <formula>0.4</formula>
    </cfRule>
    <cfRule type="cellIs" dxfId="391" priority="293" operator="between">
      <formula>0.4</formula>
      <formula>0.799</formula>
    </cfRule>
    <cfRule type="cellIs" dxfId="390" priority="294" operator="greaterThanOrEqual">
      <formula>0.8</formula>
    </cfRule>
  </conditionalFormatting>
  <conditionalFormatting sqref="AN7">
    <cfRule type="cellIs" dxfId="389" priority="289" operator="lessThan">
      <formula>0.4</formula>
    </cfRule>
    <cfRule type="cellIs" dxfId="388" priority="290" operator="between">
      <formula>0.4</formula>
      <formula>0.799</formula>
    </cfRule>
    <cfRule type="cellIs" dxfId="387" priority="291" operator="greaterThanOrEqual">
      <formula>0.8</formula>
    </cfRule>
  </conditionalFormatting>
  <conditionalFormatting sqref="AN5:AN6">
    <cfRule type="cellIs" dxfId="386" priority="286" operator="lessThan">
      <formula>0.4</formula>
    </cfRule>
    <cfRule type="cellIs" dxfId="385" priority="287" operator="between">
      <formula>0.4</formula>
      <formula>0.799</formula>
    </cfRule>
    <cfRule type="cellIs" dxfId="384" priority="288" operator="greaterThanOrEqual">
      <formula>0.8</formula>
    </cfRule>
  </conditionalFormatting>
  <conditionalFormatting sqref="AN4">
    <cfRule type="cellIs" dxfId="383" priority="283" operator="lessThan">
      <formula>0.4</formula>
    </cfRule>
    <cfRule type="cellIs" dxfId="382" priority="284" operator="between">
      <formula>0.4</formula>
      <formula>0.799</formula>
    </cfRule>
    <cfRule type="cellIs" dxfId="381" priority="285" operator="greaterThanOrEqual">
      <formula>0.8</formula>
    </cfRule>
  </conditionalFormatting>
  <conditionalFormatting sqref="AN8">
    <cfRule type="cellIs" dxfId="380" priority="280" operator="lessThan">
      <formula>0.4</formula>
    </cfRule>
    <cfRule type="cellIs" dxfId="379" priority="281" operator="between">
      <formula>0.4</formula>
      <formula>0.799</formula>
    </cfRule>
    <cfRule type="cellIs" dxfId="378" priority="282" operator="greaterThanOrEqual">
      <formula>0.8</formula>
    </cfRule>
  </conditionalFormatting>
  <conditionalFormatting sqref="AN11">
    <cfRule type="cellIs" dxfId="377" priority="277" operator="lessThan">
      <formula>0.4</formula>
    </cfRule>
    <cfRule type="cellIs" dxfId="376" priority="278" operator="between">
      <formula>0.4</formula>
      <formula>0.799</formula>
    </cfRule>
    <cfRule type="cellIs" dxfId="375" priority="279" operator="greaterThanOrEqual">
      <formula>0.8</formula>
    </cfRule>
  </conditionalFormatting>
  <conditionalFormatting sqref="AN10">
    <cfRule type="cellIs" dxfId="374" priority="274" operator="lessThan">
      <formula>0.4</formula>
    </cfRule>
    <cfRule type="cellIs" dxfId="373" priority="275" operator="between">
      <formula>0.4</formula>
      <formula>0.799</formula>
    </cfRule>
    <cfRule type="cellIs" dxfId="372" priority="276" operator="greaterThanOrEqual">
      <formula>0.8</formula>
    </cfRule>
  </conditionalFormatting>
  <conditionalFormatting sqref="AQ10:AQ11">
    <cfRule type="cellIs" dxfId="371" priority="271" operator="lessThan">
      <formula>0.4</formula>
    </cfRule>
    <cfRule type="cellIs" dxfId="370" priority="272" operator="between">
      <formula>0.4</formula>
      <formula>0.799</formula>
    </cfRule>
    <cfRule type="cellIs" dxfId="369" priority="273" operator="greaterThanOrEqual">
      <formula>0.8</formula>
    </cfRule>
  </conditionalFormatting>
  <conditionalFormatting sqref="AQ4:AQ9">
    <cfRule type="cellIs" dxfId="368" priority="265" operator="lessThan">
      <formula>0.4</formula>
    </cfRule>
    <cfRule type="cellIs" dxfId="367" priority="266" operator="between">
      <formula>0.4</formula>
      <formula>0.799</formula>
    </cfRule>
    <cfRule type="cellIs" dxfId="366" priority="267" operator="greaterThanOrEqual">
      <formula>0.8</formula>
    </cfRule>
  </conditionalFormatting>
  <conditionalFormatting sqref="AT8">
    <cfRule type="cellIs" dxfId="365" priority="256" operator="lessThan">
      <formula>0.4</formula>
    </cfRule>
    <cfRule type="cellIs" dxfId="364" priority="257" operator="between">
      <formula>0.4</formula>
      <formula>0.799</formula>
    </cfRule>
    <cfRule type="cellIs" dxfId="363" priority="258" operator="greaterThanOrEqual">
      <formula>0.8</formula>
    </cfRule>
  </conditionalFormatting>
  <conditionalFormatting sqref="AT10">
    <cfRule type="cellIs" dxfId="362" priority="253" operator="lessThan">
      <formula>0.4</formula>
    </cfRule>
    <cfRule type="cellIs" dxfId="361" priority="254" operator="between">
      <formula>0.4</formula>
      <formula>0.799</formula>
    </cfRule>
    <cfRule type="cellIs" dxfId="360" priority="255" operator="greaterThanOrEqual">
      <formula>0.8</formula>
    </cfRule>
  </conditionalFormatting>
  <conditionalFormatting sqref="AT4">
    <cfRule type="cellIs" dxfId="359" priority="250" operator="lessThan">
      <formula>0.4</formula>
    </cfRule>
    <cfRule type="cellIs" dxfId="358" priority="251" operator="between">
      <formula>0.4</formula>
      <formula>0.799</formula>
    </cfRule>
    <cfRule type="cellIs" dxfId="357" priority="252" operator="greaterThanOrEqual">
      <formula>0.8</formula>
    </cfRule>
  </conditionalFormatting>
  <conditionalFormatting sqref="AT6">
    <cfRule type="cellIs" dxfId="356" priority="247" operator="lessThan">
      <formula>0.4</formula>
    </cfRule>
    <cfRule type="cellIs" dxfId="355" priority="248" operator="between">
      <formula>0.4</formula>
      <formula>0.799</formula>
    </cfRule>
    <cfRule type="cellIs" dxfId="354" priority="249" operator="greaterThanOrEqual">
      <formula>0.8</formula>
    </cfRule>
  </conditionalFormatting>
  <conditionalFormatting sqref="AT5">
    <cfRule type="cellIs" dxfId="353" priority="241" operator="lessThan">
      <formula>0.4</formula>
    </cfRule>
    <cfRule type="cellIs" dxfId="352" priority="242" operator="between">
      <formula>0.4</formula>
      <formula>0.799</formula>
    </cfRule>
    <cfRule type="cellIs" dxfId="351" priority="243" operator="greaterThanOrEqual">
      <formula>0.8</formula>
    </cfRule>
  </conditionalFormatting>
  <conditionalFormatting sqref="AT7">
    <cfRule type="cellIs" dxfId="350" priority="238" operator="lessThan">
      <formula>0.4</formula>
    </cfRule>
    <cfRule type="cellIs" dxfId="349" priority="239" operator="between">
      <formula>0.4</formula>
      <formula>0.799</formula>
    </cfRule>
    <cfRule type="cellIs" dxfId="348" priority="240" operator="greaterThanOrEqual">
      <formula>0.8</formula>
    </cfRule>
  </conditionalFormatting>
  <conditionalFormatting sqref="AT9">
    <cfRule type="cellIs" dxfId="347" priority="235" operator="lessThan">
      <formula>0.4</formula>
    </cfRule>
    <cfRule type="cellIs" dxfId="346" priority="236" operator="between">
      <formula>0.4</formula>
      <formula>0.799</formula>
    </cfRule>
    <cfRule type="cellIs" dxfId="345" priority="237" operator="greaterThanOrEqual">
      <formula>0.8</formula>
    </cfRule>
  </conditionalFormatting>
  <conditionalFormatting sqref="AT11">
    <cfRule type="cellIs" dxfId="344" priority="232" operator="lessThan">
      <formula>0.4</formula>
    </cfRule>
    <cfRule type="cellIs" dxfId="343" priority="233" operator="between">
      <formula>0.4</formula>
      <formula>0.799</formula>
    </cfRule>
    <cfRule type="cellIs" dxfId="342" priority="234" operator="greaterThanOrEqual">
      <formula>0.8</formula>
    </cfRule>
  </conditionalFormatting>
  <conditionalFormatting sqref="AW10">
    <cfRule type="cellIs" dxfId="341" priority="229" operator="lessThan">
      <formula>0.4</formula>
    </cfRule>
    <cfRule type="cellIs" dxfId="340" priority="230" operator="between">
      <formula>0.4</formula>
      <formula>0.799</formula>
    </cfRule>
    <cfRule type="cellIs" dxfId="339" priority="231" operator="greaterThanOrEqual">
      <formula>0.8</formula>
    </cfRule>
  </conditionalFormatting>
  <conditionalFormatting sqref="AW11">
    <cfRule type="cellIs" dxfId="338" priority="226" operator="lessThan">
      <formula>0.4</formula>
    </cfRule>
    <cfRule type="cellIs" dxfId="337" priority="227" operator="between">
      <formula>0.4</formula>
      <formula>0.799</formula>
    </cfRule>
    <cfRule type="cellIs" dxfId="336" priority="228" operator="greaterThanOrEqual">
      <formula>0.8</formula>
    </cfRule>
  </conditionalFormatting>
  <conditionalFormatting sqref="AW8">
    <cfRule type="cellIs" dxfId="335" priority="223" operator="lessThan">
      <formula>0.4</formula>
    </cfRule>
    <cfRule type="cellIs" dxfId="334" priority="224" operator="between">
      <formula>0.4</formula>
      <formula>0.799</formula>
    </cfRule>
    <cfRule type="cellIs" dxfId="333" priority="225" operator="greaterThanOrEqual">
      <formula>0.8</formula>
    </cfRule>
  </conditionalFormatting>
  <conditionalFormatting sqref="AW5">
    <cfRule type="cellIs" dxfId="332" priority="220" operator="lessThan">
      <formula>0.4</formula>
    </cfRule>
    <cfRule type="cellIs" dxfId="331" priority="221" operator="between">
      <formula>0.4</formula>
      <formula>0.799</formula>
    </cfRule>
    <cfRule type="cellIs" dxfId="330" priority="222" operator="greaterThanOrEqual">
      <formula>0.8</formula>
    </cfRule>
  </conditionalFormatting>
  <conditionalFormatting sqref="AW7">
    <cfRule type="cellIs" dxfId="329" priority="217" operator="lessThan">
      <formula>0.4</formula>
    </cfRule>
    <cfRule type="cellIs" dxfId="328" priority="218" operator="between">
      <formula>0.4</formula>
      <formula>0.799</formula>
    </cfRule>
    <cfRule type="cellIs" dxfId="327" priority="219" operator="greaterThanOrEqual">
      <formula>0.8</formula>
    </cfRule>
  </conditionalFormatting>
  <conditionalFormatting sqref="AW9">
    <cfRule type="cellIs" dxfId="326" priority="214" operator="lessThan">
      <formula>0.4</formula>
    </cfRule>
    <cfRule type="cellIs" dxfId="325" priority="215" operator="between">
      <formula>0.4</formula>
      <formula>0.799</formula>
    </cfRule>
    <cfRule type="cellIs" dxfId="324" priority="216" operator="greaterThanOrEqual">
      <formula>0.8</formula>
    </cfRule>
  </conditionalFormatting>
  <conditionalFormatting sqref="AW4">
    <cfRule type="cellIs" dxfId="323" priority="211" operator="lessThan">
      <formula>0.4</formula>
    </cfRule>
    <cfRule type="cellIs" dxfId="322" priority="212" operator="between">
      <formula>0.4</formula>
      <formula>0.799</formula>
    </cfRule>
    <cfRule type="cellIs" dxfId="321" priority="213" operator="greaterThanOrEqual">
      <formula>0.8</formula>
    </cfRule>
  </conditionalFormatting>
  <conditionalFormatting sqref="AW6">
    <cfRule type="cellIs" dxfId="320" priority="208" operator="lessThan">
      <formula>0.4</formula>
    </cfRule>
    <cfRule type="cellIs" dxfId="319" priority="209" operator="between">
      <formula>0.4</formula>
      <formula>0.799</formula>
    </cfRule>
    <cfRule type="cellIs" dxfId="318" priority="210" operator="greaterThanOrEqual">
      <formula>0.8</formula>
    </cfRule>
  </conditionalFormatting>
  <conditionalFormatting sqref="AZ10">
    <cfRule type="cellIs" dxfId="317" priority="205" operator="lessThan">
      <formula>0.4</formula>
    </cfRule>
    <cfRule type="cellIs" dxfId="316" priority="206" operator="between">
      <formula>0.4</formula>
      <formula>0.799</formula>
    </cfRule>
    <cfRule type="cellIs" dxfId="315" priority="207" operator="greaterThanOrEqual">
      <formula>0.8</formula>
    </cfRule>
  </conditionalFormatting>
  <conditionalFormatting sqref="AZ11">
    <cfRule type="cellIs" dxfId="314" priority="202" operator="lessThan">
      <formula>0.4</formula>
    </cfRule>
    <cfRule type="cellIs" dxfId="313" priority="203" operator="between">
      <formula>0.4</formula>
      <formula>0.799</formula>
    </cfRule>
    <cfRule type="cellIs" dxfId="312" priority="204" operator="greaterThanOrEqual">
      <formula>0.8</formula>
    </cfRule>
  </conditionalFormatting>
  <conditionalFormatting sqref="AZ8">
    <cfRule type="cellIs" dxfId="311" priority="199" operator="lessThan">
      <formula>0.4</formula>
    </cfRule>
    <cfRule type="cellIs" dxfId="310" priority="200" operator="between">
      <formula>0.4</formula>
      <formula>0.799</formula>
    </cfRule>
    <cfRule type="cellIs" dxfId="309" priority="201" operator="greaterThanOrEqual">
      <formula>0.8</formula>
    </cfRule>
  </conditionalFormatting>
  <conditionalFormatting sqref="AZ5">
    <cfRule type="cellIs" dxfId="308" priority="196" operator="lessThan">
      <formula>0.4</formula>
    </cfRule>
    <cfRule type="cellIs" dxfId="307" priority="197" operator="between">
      <formula>0.4</formula>
      <formula>0.799</formula>
    </cfRule>
    <cfRule type="cellIs" dxfId="306" priority="198" operator="greaterThanOrEqual">
      <formula>0.8</formula>
    </cfRule>
  </conditionalFormatting>
  <conditionalFormatting sqref="AZ7">
    <cfRule type="cellIs" dxfId="305" priority="193" operator="lessThan">
      <formula>0.4</formula>
    </cfRule>
    <cfRule type="cellIs" dxfId="304" priority="194" operator="between">
      <formula>0.4</formula>
      <formula>0.799</formula>
    </cfRule>
    <cfRule type="cellIs" dxfId="303" priority="195" operator="greaterThanOrEqual">
      <formula>0.8</formula>
    </cfRule>
  </conditionalFormatting>
  <conditionalFormatting sqref="AZ9">
    <cfRule type="cellIs" dxfId="302" priority="190" operator="lessThan">
      <formula>0.4</formula>
    </cfRule>
    <cfRule type="cellIs" dxfId="301" priority="191" operator="between">
      <formula>0.4</formula>
      <formula>0.799</formula>
    </cfRule>
    <cfRule type="cellIs" dxfId="300" priority="192" operator="greaterThanOrEqual">
      <formula>0.8</formula>
    </cfRule>
  </conditionalFormatting>
  <conditionalFormatting sqref="AZ4">
    <cfRule type="cellIs" dxfId="299" priority="187" operator="lessThan">
      <formula>0.4</formula>
    </cfRule>
    <cfRule type="cellIs" dxfId="298" priority="188" operator="between">
      <formula>0.4</formula>
      <formula>0.799</formula>
    </cfRule>
    <cfRule type="cellIs" dxfId="297" priority="189" operator="greaterThanOrEqual">
      <formula>0.8</formula>
    </cfRule>
  </conditionalFormatting>
  <conditionalFormatting sqref="AZ6">
    <cfRule type="cellIs" dxfId="296" priority="184" operator="lessThan">
      <formula>0.4</formula>
    </cfRule>
    <cfRule type="cellIs" dxfId="295" priority="185" operator="between">
      <formula>0.4</formula>
      <formula>0.799</formula>
    </cfRule>
    <cfRule type="cellIs" dxfId="294" priority="186" operator="greaterThanOrEqual">
      <formula>0.8</formula>
    </cfRule>
  </conditionalFormatting>
  <conditionalFormatting sqref="BR8">
    <cfRule type="cellIs" dxfId="293" priority="166" operator="lessThan">
      <formula>0.4</formula>
    </cfRule>
    <cfRule type="cellIs" dxfId="292" priority="167" operator="between">
      <formula>0.4</formula>
      <formula>0.799</formula>
    </cfRule>
    <cfRule type="cellIs" dxfId="291" priority="168" operator="greaterThanOrEqual">
      <formula>0.8</formula>
    </cfRule>
  </conditionalFormatting>
  <conditionalFormatting sqref="BF5 BH5">
    <cfRule type="cellIs" dxfId="290" priority="148" operator="lessThan">
      <formula>0.4</formula>
    </cfRule>
    <cfRule type="cellIs" dxfId="289" priority="149" operator="between">
      <formula>0.4</formula>
      <formula>0.799</formula>
    </cfRule>
    <cfRule type="cellIs" dxfId="288" priority="150" operator="greaterThanOrEqual">
      <formula>0.8</formula>
    </cfRule>
  </conditionalFormatting>
  <conditionalFormatting sqref="BF7:BH7">
    <cfRule type="cellIs" dxfId="287" priority="145" operator="lessThan">
      <formula>0.4</formula>
    </cfRule>
    <cfRule type="cellIs" dxfId="286" priority="146" operator="between">
      <formula>0.4</formula>
      <formula>0.799</formula>
    </cfRule>
    <cfRule type="cellIs" dxfId="285" priority="147" operator="greaterThanOrEqual">
      <formula>0.8</formula>
    </cfRule>
  </conditionalFormatting>
  <conditionalFormatting sqref="BF9:BH9">
    <cfRule type="cellIs" dxfId="284" priority="142" operator="lessThan">
      <formula>0.4</formula>
    </cfRule>
    <cfRule type="cellIs" dxfId="283" priority="143" operator="between">
      <formula>0.4</formula>
      <formula>0.799</formula>
    </cfRule>
    <cfRule type="cellIs" dxfId="282" priority="144" operator="greaterThanOrEqual">
      <formula>0.8</formula>
    </cfRule>
  </conditionalFormatting>
  <conditionalFormatting sqref="BF4 BF6">
    <cfRule type="cellIs" dxfId="281" priority="139" operator="lessThan">
      <formula>0.4</formula>
    </cfRule>
    <cfRule type="cellIs" dxfId="280" priority="140" operator="between">
      <formula>0.4</formula>
      <formula>0.799</formula>
    </cfRule>
    <cfRule type="cellIs" dxfId="279" priority="141" operator="greaterThanOrEqual">
      <formula>0.8</formula>
    </cfRule>
  </conditionalFormatting>
  <conditionalFormatting sqref="BF10">
    <cfRule type="cellIs" dxfId="278" priority="133" operator="lessThan">
      <formula>0.4</formula>
    </cfRule>
    <cfRule type="cellIs" dxfId="277" priority="134" operator="between">
      <formula>0.4</formula>
      <formula>0.799</formula>
    </cfRule>
    <cfRule type="cellIs" dxfId="276" priority="135" operator="greaterThanOrEqual">
      <formula>0.8</formula>
    </cfRule>
  </conditionalFormatting>
  <conditionalFormatting sqref="BF11">
    <cfRule type="cellIs" dxfId="275" priority="130" operator="lessThan">
      <formula>0.4</formula>
    </cfRule>
    <cfRule type="cellIs" dxfId="274" priority="131" operator="between">
      <formula>0.4</formula>
      <formula>0.799</formula>
    </cfRule>
    <cfRule type="cellIs" dxfId="273" priority="132" operator="greaterThanOrEqual">
      <formula>0.8</formula>
    </cfRule>
  </conditionalFormatting>
  <conditionalFormatting sqref="BF8">
    <cfRule type="cellIs" dxfId="272" priority="127" operator="lessThan">
      <formula>0.4</formula>
    </cfRule>
    <cfRule type="cellIs" dxfId="271" priority="128" operator="between">
      <formula>0.4</formula>
      <formula>0.799</formula>
    </cfRule>
    <cfRule type="cellIs" dxfId="270" priority="129" operator="greaterThanOrEqual">
      <formula>0.8</formula>
    </cfRule>
  </conditionalFormatting>
  <conditionalFormatting sqref="BR4 BR6">
    <cfRule type="cellIs" dxfId="269" priority="124" operator="lessThan">
      <formula>0.4</formula>
    </cfRule>
    <cfRule type="cellIs" dxfId="268" priority="125" operator="between">
      <formula>0.4</formula>
      <formula>0.799</formula>
    </cfRule>
    <cfRule type="cellIs" dxfId="267" priority="126" operator="greaterThanOrEqual">
      <formula>0.8</formula>
    </cfRule>
  </conditionalFormatting>
  <conditionalFormatting sqref="BR9">
    <cfRule type="cellIs" dxfId="266" priority="121" operator="lessThan">
      <formula>0.4</formula>
    </cfRule>
    <cfRule type="cellIs" dxfId="265" priority="122" operator="between">
      <formula>0.4</formula>
      <formula>0.799</formula>
    </cfRule>
    <cfRule type="cellIs" dxfId="264" priority="123" operator="greaterThanOrEqual">
      <formula>0.8</formula>
    </cfRule>
  </conditionalFormatting>
  <conditionalFormatting sqref="BY4 BY6">
    <cfRule type="cellIs" dxfId="263" priority="118" operator="lessThan">
      <formula>0.4</formula>
    </cfRule>
    <cfRule type="cellIs" dxfId="262" priority="119" operator="between">
      <formula>0.4</formula>
      <formula>0.799</formula>
    </cfRule>
    <cfRule type="cellIs" dxfId="261" priority="120" operator="greaterThanOrEqual">
      <formula>0.8</formula>
    </cfRule>
  </conditionalFormatting>
  <conditionalFormatting sqref="BY8">
    <cfRule type="cellIs" dxfId="260" priority="112" operator="lessThan">
      <formula>0.4</formula>
    </cfRule>
    <cfRule type="cellIs" dxfId="259" priority="113" operator="between">
      <formula>0.4</formula>
      <formula>0.799</formula>
    </cfRule>
    <cfRule type="cellIs" dxfId="258" priority="114" operator="greaterThanOrEqual">
      <formula>0.8</formula>
    </cfRule>
  </conditionalFormatting>
  <conditionalFormatting sqref="BY5 BY7">
    <cfRule type="cellIs" dxfId="257" priority="109" operator="lessThan">
      <formula>0.4</formula>
    </cfRule>
    <cfRule type="cellIs" dxfId="256" priority="110" operator="between">
      <formula>0.4</formula>
      <formula>0.799</formula>
    </cfRule>
    <cfRule type="cellIs" dxfId="255" priority="111" operator="greaterThanOrEqual">
      <formula>0.8</formula>
    </cfRule>
  </conditionalFormatting>
  <conditionalFormatting sqref="BY9">
    <cfRule type="cellIs" dxfId="254" priority="106" operator="lessThan">
      <formula>0.4</formula>
    </cfRule>
    <cfRule type="cellIs" dxfId="253" priority="107" operator="between">
      <formula>0.4</formula>
      <formula>0.799</formula>
    </cfRule>
    <cfRule type="cellIs" dxfId="252" priority="108" operator="greaterThanOrEqual">
      <formula>0.8</formula>
    </cfRule>
  </conditionalFormatting>
  <conditionalFormatting sqref="BR5">
    <cfRule type="cellIs" dxfId="251" priority="91" operator="lessThan">
      <formula>0.4</formula>
    </cfRule>
    <cfRule type="cellIs" dxfId="250" priority="92" operator="between">
      <formula>0.4</formula>
      <formula>0.799</formula>
    </cfRule>
    <cfRule type="cellIs" dxfId="249" priority="93" operator="greaterThanOrEqual">
      <formula>0.8</formula>
    </cfRule>
  </conditionalFormatting>
  <conditionalFormatting sqref="BR7">
    <cfRule type="cellIs" dxfId="248" priority="88" operator="lessThan">
      <formula>0.4</formula>
    </cfRule>
    <cfRule type="cellIs" dxfId="247" priority="89" operator="between">
      <formula>0.4</formula>
      <formula>0.799</formula>
    </cfRule>
    <cfRule type="cellIs" dxfId="246" priority="90" operator="greaterThanOrEqual">
      <formula>0.8</formula>
    </cfRule>
  </conditionalFormatting>
  <conditionalFormatting sqref="CF4:CF8">
    <cfRule type="cellIs" dxfId="245" priority="85" operator="lessThan">
      <formula>0.4</formula>
    </cfRule>
    <cfRule type="cellIs" dxfId="244" priority="86" operator="between">
      <formula>0.4</formula>
      <formula>0.799</formula>
    </cfRule>
    <cfRule type="cellIs" dxfId="243" priority="87" operator="greaterThanOrEqual">
      <formula>0.8</formula>
    </cfRule>
  </conditionalFormatting>
  <conditionalFormatting sqref="CF9">
    <cfRule type="cellIs" dxfId="242" priority="79" operator="lessThan">
      <formula>0.4</formula>
    </cfRule>
    <cfRule type="cellIs" dxfId="241" priority="80" operator="between">
      <formula>0.4</formula>
      <formula>0.799</formula>
    </cfRule>
    <cfRule type="cellIs" dxfId="240" priority="81" operator="greaterThanOrEqual">
      <formula>0.8</formula>
    </cfRule>
  </conditionalFormatting>
  <conditionalFormatting sqref="BR10">
    <cfRule type="cellIs" dxfId="239" priority="76" operator="lessThan">
      <formula>0.4</formula>
    </cfRule>
    <cfRule type="cellIs" dxfId="238" priority="77" operator="between">
      <formula>0.4</formula>
      <formula>0.799</formula>
    </cfRule>
    <cfRule type="cellIs" dxfId="237" priority="78" operator="greaterThanOrEqual">
      <formula>0.8</formula>
    </cfRule>
  </conditionalFormatting>
  <conditionalFormatting sqref="BY10">
    <cfRule type="cellIs" dxfId="236" priority="73" operator="lessThan">
      <formula>0.4</formula>
    </cfRule>
    <cfRule type="cellIs" dxfId="235" priority="74" operator="between">
      <formula>0.4</formula>
      <formula>0.799</formula>
    </cfRule>
    <cfRule type="cellIs" dxfId="234" priority="75" operator="greaterThanOrEqual">
      <formula>0.8</formula>
    </cfRule>
  </conditionalFormatting>
  <conditionalFormatting sqref="CF10">
    <cfRule type="cellIs" dxfId="233" priority="70" operator="lessThan">
      <formula>0.4</formula>
    </cfRule>
    <cfRule type="cellIs" dxfId="232" priority="71" operator="between">
      <formula>0.4</formula>
      <formula>0.799</formula>
    </cfRule>
    <cfRule type="cellIs" dxfId="231" priority="72" operator="greaterThanOrEqual">
      <formula>0.8</formula>
    </cfRule>
  </conditionalFormatting>
  <conditionalFormatting sqref="CF11">
    <cfRule type="cellIs" dxfId="230" priority="67" operator="lessThan">
      <formula>0.4</formula>
    </cfRule>
    <cfRule type="cellIs" dxfId="229" priority="68" operator="between">
      <formula>0.4</formula>
      <formula>0.799</formula>
    </cfRule>
    <cfRule type="cellIs" dxfId="228" priority="69" operator="greaterThanOrEqual">
      <formula>0.8</formula>
    </cfRule>
  </conditionalFormatting>
  <conditionalFormatting sqref="BR11">
    <cfRule type="cellIs" dxfId="227" priority="64" operator="lessThan">
      <formula>0.4</formula>
    </cfRule>
    <cfRule type="cellIs" dxfId="226" priority="65" operator="between">
      <formula>0.4</formula>
      <formula>0.799</formula>
    </cfRule>
    <cfRule type="cellIs" dxfId="225" priority="66" operator="greaterThanOrEqual">
      <formula>0.8</formula>
    </cfRule>
  </conditionalFormatting>
  <conditionalFormatting sqref="BY11">
    <cfRule type="cellIs" dxfId="224" priority="61" operator="lessThan">
      <formula>0.4</formula>
    </cfRule>
    <cfRule type="cellIs" dxfId="223" priority="62" operator="between">
      <formula>0.4</formula>
      <formula>0.799</formula>
    </cfRule>
    <cfRule type="cellIs" dxfId="222" priority="63" operator="greaterThanOrEqual">
      <formula>0.8</formula>
    </cfRule>
  </conditionalFormatting>
  <conditionalFormatting sqref="CM10">
    <cfRule type="cellIs" dxfId="221" priority="58" operator="lessThan">
      <formula>0.4</formula>
    </cfRule>
    <cfRule type="cellIs" dxfId="220" priority="59" operator="between">
      <formula>0.4</formula>
      <formula>0.799</formula>
    </cfRule>
    <cfRule type="cellIs" dxfId="219" priority="60" operator="greaterThanOrEqual">
      <formula>0.8</formula>
    </cfRule>
  </conditionalFormatting>
  <conditionalFormatting sqref="CM11">
    <cfRule type="cellIs" dxfId="218" priority="55" operator="lessThan">
      <formula>0.4</formula>
    </cfRule>
    <cfRule type="cellIs" dxfId="217" priority="56" operator="between">
      <formula>0.4</formula>
      <formula>0.799</formula>
    </cfRule>
    <cfRule type="cellIs" dxfId="216" priority="57" operator="greaterThanOrEqual">
      <formula>0.8</formula>
    </cfRule>
  </conditionalFormatting>
  <conditionalFormatting sqref="CM8">
    <cfRule type="cellIs" dxfId="215" priority="52" operator="lessThan">
      <formula>0.4</formula>
    </cfRule>
    <cfRule type="cellIs" dxfId="214" priority="53" operator="between">
      <formula>0.4</formula>
      <formula>0.799</formula>
    </cfRule>
    <cfRule type="cellIs" dxfId="213" priority="54" operator="greaterThanOrEqual">
      <formula>0.8</formula>
    </cfRule>
  </conditionalFormatting>
  <conditionalFormatting sqref="CM5">
    <cfRule type="cellIs" dxfId="212" priority="49" operator="lessThan">
      <formula>0.4</formula>
    </cfRule>
    <cfRule type="cellIs" dxfId="211" priority="50" operator="between">
      <formula>0.4</formula>
      <formula>0.799</formula>
    </cfRule>
    <cfRule type="cellIs" dxfId="210" priority="51" operator="greaterThanOrEqual">
      <formula>0.8</formula>
    </cfRule>
  </conditionalFormatting>
  <conditionalFormatting sqref="CM7 CM9">
    <cfRule type="cellIs" dxfId="209" priority="46" operator="lessThan">
      <formula>0.4</formula>
    </cfRule>
    <cfRule type="cellIs" dxfId="208" priority="47" operator="between">
      <formula>0.4</formula>
      <formula>0.799</formula>
    </cfRule>
    <cfRule type="cellIs" dxfId="207" priority="48" operator="greaterThanOrEqual">
      <formula>0.8</formula>
    </cfRule>
  </conditionalFormatting>
  <conditionalFormatting sqref="CM4 CM6">
    <cfRule type="cellIs" dxfId="206" priority="40" operator="lessThan">
      <formula>0.4</formula>
    </cfRule>
    <cfRule type="cellIs" dxfId="205" priority="41" operator="between">
      <formula>0.4</formula>
      <formula>0.799</formula>
    </cfRule>
    <cfRule type="cellIs" dxfId="204" priority="42" operator="greaterThanOrEqual">
      <formula>0.8</formula>
    </cfRule>
  </conditionalFormatting>
  <conditionalFormatting sqref="CT5 CT7">
    <cfRule type="cellIs" dxfId="203" priority="37" operator="lessThan">
      <formula>0.4</formula>
    </cfRule>
    <cfRule type="cellIs" dxfId="202" priority="38" operator="between">
      <formula>0.4</formula>
      <formula>0.799</formula>
    </cfRule>
    <cfRule type="cellIs" dxfId="201" priority="39" operator="greaterThanOrEqual">
      <formula>0.8</formula>
    </cfRule>
  </conditionalFormatting>
  <conditionalFormatting sqref="CT9">
    <cfRule type="cellIs" dxfId="200" priority="34" operator="lessThan">
      <formula>0.4</formula>
    </cfRule>
    <cfRule type="cellIs" dxfId="199" priority="35" operator="between">
      <formula>0.4</formula>
      <formula>0.799</formula>
    </cfRule>
    <cfRule type="cellIs" dxfId="198" priority="36" operator="greaterThanOrEqual">
      <formula>0.8</formula>
    </cfRule>
  </conditionalFormatting>
  <conditionalFormatting sqref="CT4 CT6">
    <cfRule type="cellIs" dxfId="197" priority="31" operator="lessThan">
      <formula>0.4</formula>
    </cfRule>
    <cfRule type="cellIs" dxfId="196" priority="32" operator="between">
      <formula>0.4</formula>
      <formula>0.799</formula>
    </cfRule>
    <cfRule type="cellIs" dxfId="195" priority="33" operator="greaterThanOrEqual">
      <formula>0.8</formula>
    </cfRule>
  </conditionalFormatting>
  <conditionalFormatting sqref="CT10:CT11">
    <cfRule type="cellIs" dxfId="194" priority="28" operator="lessThan">
      <formula>0.4</formula>
    </cfRule>
    <cfRule type="cellIs" dxfId="193" priority="29" operator="between">
      <formula>0.4</formula>
      <formula>0.799</formula>
    </cfRule>
    <cfRule type="cellIs" dxfId="192" priority="30" operator="greaterThanOrEqual">
      <formula>0.8</formula>
    </cfRule>
  </conditionalFormatting>
  <conditionalFormatting sqref="CT8">
    <cfRule type="cellIs" dxfId="191" priority="25" operator="lessThan">
      <formula>0.4</formula>
    </cfRule>
    <cfRule type="cellIs" dxfId="190" priority="26" operator="between">
      <formula>0.4</formula>
      <formula>0.799</formula>
    </cfRule>
    <cfRule type="cellIs" dxfId="189" priority="27" operator="greaterThanOrEqual">
      <formula>0.8</formula>
    </cfRule>
  </conditionalFormatting>
  <conditionalFormatting sqref="DA8">
    <cfRule type="cellIs" dxfId="188" priority="22" operator="lessThan">
      <formula>0.4</formula>
    </cfRule>
    <cfRule type="cellIs" dxfId="187" priority="23" operator="between">
      <formula>0.4</formula>
      <formula>0.799</formula>
    </cfRule>
    <cfRule type="cellIs" dxfId="186" priority="24" operator="greaterThanOrEqual">
      <formula>0.8</formula>
    </cfRule>
  </conditionalFormatting>
  <conditionalFormatting sqref="DA9">
    <cfRule type="cellIs" dxfId="185" priority="19" operator="lessThan">
      <formula>0.4</formula>
    </cfRule>
    <cfRule type="cellIs" dxfId="184" priority="20" operator="between">
      <formula>0.4</formula>
      <formula>0.799</formula>
    </cfRule>
    <cfRule type="cellIs" dxfId="183" priority="21" operator="greaterThanOrEqual">
      <formula>0.8</formula>
    </cfRule>
  </conditionalFormatting>
  <conditionalFormatting sqref="DA5">
    <cfRule type="cellIs" dxfId="182" priority="16" operator="lessThan">
      <formula>0.4</formula>
    </cfRule>
    <cfRule type="cellIs" dxfId="181" priority="17" operator="between">
      <formula>0.4</formula>
      <formula>0.799</formula>
    </cfRule>
    <cfRule type="cellIs" dxfId="180" priority="18" operator="greaterThanOrEqual">
      <formula>0.8</formula>
    </cfRule>
  </conditionalFormatting>
  <conditionalFormatting sqref="DA7">
    <cfRule type="cellIs" dxfId="179" priority="13" operator="lessThan">
      <formula>0.4</formula>
    </cfRule>
    <cfRule type="cellIs" dxfId="178" priority="14" operator="between">
      <formula>0.4</formula>
      <formula>0.799</formula>
    </cfRule>
    <cfRule type="cellIs" dxfId="177" priority="15" operator="greaterThanOrEqual">
      <formula>0.8</formula>
    </cfRule>
  </conditionalFormatting>
  <conditionalFormatting sqref="DA10">
    <cfRule type="cellIs" dxfId="176" priority="10" operator="lessThan">
      <formula>0.4</formula>
    </cfRule>
    <cfRule type="cellIs" dxfId="175" priority="11" operator="between">
      <formula>0.4</formula>
      <formula>0.799</formula>
    </cfRule>
    <cfRule type="cellIs" dxfId="174" priority="12" operator="greaterThanOrEqual">
      <formula>0.8</formula>
    </cfRule>
  </conditionalFormatting>
  <conditionalFormatting sqref="DA11">
    <cfRule type="cellIs" dxfId="173" priority="7" operator="lessThan">
      <formula>0.4</formula>
    </cfRule>
    <cfRule type="cellIs" dxfId="172" priority="8" operator="between">
      <formula>0.4</formula>
      <formula>0.799</formula>
    </cfRule>
    <cfRule type="cellIs" dxfId="171" priority="9" operator="greaterThanOrEqual">
      <formula>0.8</formula>
    </cfRule>
  </conditionalFormatting>
  <conditionalFormatting sqref="DA4">
    <cfRule type="cellIs" dxfId="170" priority="4" operator="lessThan">
      <formula>0.4</formula>
    </cfRule>
    <cfRule type="cellIs" dxfId="169" priority="5" operator="between">
      <formula>0.4</formula>
      <formula>0.799</formula>
    </cfRule>
    <cfRule type="cellIs" dxfId="168" priority="6" operator="greaterThanOrEqual">
      <formula>0.8</formula>
    </cfRule>
  </conditionalFormatting>
  <conditionalFormatting sqref="DA6">
    <cfRule type="cellIs" dxfId="167" priority="1" operator="lessThan">
      <formula>0.4</formula>
    </cfRule>
    <cfRule type="cellIs" dxfId="166" priority="2" operator="between">
      <formula>0.4</formula>
      <formula>0.799</formula>
    </cfRule>
    <cfRule type="cellIs" dxfId="165"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ignoredErrors>
    <ignoredError sqref="CP7 CW7" 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84BC-7649-46B9-BAE8-89CE80D3933F}">
  <dimension ref="A1:L3"/>
  <sheetViews>
    <sheetView workbookViewId="0">
      <selection sqref="A1:L3"/>
    </sheetView>
  </sheetViews>
  <sheetFormatPr baseColWidth="10" defaultRowHeight="15" x14ac:dyDescent="0.25"/>
  <cols>
    <col min="1" max="1" width="14.28515625" customWidth="1"/>
    <col min="2" max="2" width="20.28515625" customWidth="1"/>
    <col min="7" max="7" width="23.140625" customWidth="1"/>
    <col min="8" max="8" width="14.28515625" customWidth="1"/>
    <col min="9" max="9" width="19" customWidth="1"/>
    <col min="10" max="10" width="18" customWidth="1"/>
    <col min="12" max="12" width="21" customWidth="1"/>
  </cols>
  <sheetData>
    <row r="1" spans="1:12" ht="18" x14ac:dyDescent="0.25">
      <c r="A1" s="424" t="s">
        <v>2</v>
      </c>
      <c r="B1" s="417" t="s">
        <v>1</v>
      </c>
      <c r="C1" s="417" t="s">
        <v>3</v>
      </c>
      <c r="D1" s="417"/>
      <c r="E1" s="417"/>
      <c r="F1" s="417"/>
      <c r="G1" s="417" t="s">
        <v>36</v>
      </c>
      <c r="H1" s="427" t="s">
        <v>17</v>
      </c>
      <c r="I1" s="427"/>
      <c r="J1" s="427"/>
      <c r="K1" s="422" t="s">
        <v>20</v>
      </c>
      <c r="L1" s="423"/>
    </row>
    <row r="2" spans="1:12" ht="58.5" customHeight="1" thickBot="1" x14ac:dyDescent="0.3">
      <c r="A2" s="425"/>
      <c r="B2" s="426"/>
      <c r="C2" s="57">
        <v>2019</v>
      </c>
      <c r="D2" s="57">
        <v>2020</v>
      </c>
      <c r="E2" s="57">
        <v>2021</v>
      </c>
      <c r="F2" s="57">
        <v>2022</v>
      </c>
      <c r="G2" s="426"/>
      <c r="H2" s="58" t="s">
        <v>18</v>
      </c>
      <c r="I2" s="59" t="s">
        <v>19</v>
      </c>
      <c r="J2" s="59" t="s">
        <v>24</v>
      </c>
      <c r="K2" s="54" t="s">
        <v>92</v>
      </c>
      <c r="L2" s="55" t="s">
        <v>90</v>
      </c>
    </row>
    <row r="3" spans="1:12" ht="36" x14ac:dyDescent="0.25">
      <c r="A3" s="60" t="s">
        <v>4</v>
      </c>
      <c r="B3" s="61">
        <v>1</v>
      </c>
      <c r="C3" s="45">
        <v>0.05</v>
      </c>
      <c r="D3" s="45">
        <v>0.3</v>
      </c>
      <c r="E3" s="45">
        <v>0.6</v>
      </c>
      <c r="F3" s="46">
        <v>1</v>
      </c>
      <c r="G3" s="64" t="s">
        <v>93</v>
      </c>
      <c r="H3" s="45">
        <v>0.05</v>
      </c>
      <c r="I3" s="45">
        <v>0.05</v>
      </c>
      <c r="J3" s="63">
        <f>I3/H3</f>
        <v>1</v>
      </c>
      <c r="K3" s="45">
        <v>0.3</v>
      </c>
      <c r="L3" s="45">
        <v>0.14000000000000001</v>
      </c>
    </row>
  </sheetData>
  <mergeCells count="6">
    <mergeCell ref="K1:L1"/>
    <mergeCell ref="A1:A2"/>
    <mergeCell ref="B1:B2"/>
    <mergeCell ref="C1:F1"/>
    <mergeCell ref="G1:G2"/>
    <mergeCell ref="H1:J1"/>
  </mergeCells>
  <conditionalFormatting sqref="J3">
    <cfRule type="cellIs" dxfId="11" priority="1" operator="lessThan">
      <formula>0.4</formula>
    </cfRule>
    <cfRule type="cellIs" dxfId="10" priority="2" operator="between">
      <formula>0.4</formula>
      <formula>0.799</formula>
    </cfRule>
    <cfRule type="cellIs" dxfId="9" priority="3" operator="greaterThanOrEqual">
      <formula>0.8</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3184-49F0-46E0-812F-AB29C2C6F40C}">
  <dimension ref="A1:L3"/>
  <sheetViews>
    <sheetView topLeftCell="B1" workbookViewId="0">
      <selection activeCell="B1" sqref="B1:L3"/>
    </sheetView>
  </sheetViews>
  <sheetFormatPr baseColWidth="10" defaultRowHeight="15" x14ac:dyDescent="0.25"/>
  <cols>
    <col min="1" max="1" width="17.5703125" customWidth="1"/>
    <col min="2" max="2" width="17.7109375" customWidth="1"/>
    <col min="7" max="7" width="23" customWidth="1"/>
    <col min="8" max="8" width="15.7109375" customWidth="1"/>
    <col min="9" max="9" width="17.85546875" customWidth="1"/>
    <col min="10" max="10" width="16.140625" customWidth="1"/>
    <col min="12" max="12" width="17.42578125" customWidth="1"/>
  </cols>
  <sheetData>
    <row r="1" spans="1:12" ht="18" x14ac:dyDescent="0.25">
      <c r="A1" s="424" t="s">
        <v>2</v>
      </c>
      <c r="B1" s="417" t="s">
        <v>1</v>
      </c>
      <c r="C1" s="417" t="s">
        <v>3</v>
      </c>
      <c r="D1" s="417"/>
      <c r="E1" s="417"/>
      <c r="F1" s="417"/>
      <c r="G1" s="417" t="s">
        <v>36</v>
      </c>
      <c r="H1" s="427" t="s">
        <v>17</v>
      </c>
      <c r="I1" s="427"/>
      <c r="J1" s="427"/>
      <c r="K1" s="422" t="s">
        <v>20</v>
      </c>
      <c r="L1" s="423"/>
    </row>
    <row r="2" spans="1:12" ht="72.75" thickBot="1" x14ac:dyDescent="0.3">
      <c r="A2" s="425"/>
      <c r="B2" s="426"/>
      <c r="C2" s="57">
        <v>2019</v>
      </c>
      <c r="D2" s="57">
        <v>2020</v>
      </c>
      <c r="E2" s="57">
        <v>2021</v>
      </c>
      <c r="F2" s="57">
        <v>2022</v>
      </c>
      <c r="G2" s="426"/>
      <c r="H2" s="58" t="s">
        <v>18</v>
      </c>
      <c r="I2" s="59" t="s">
        <v>19</v>
      </c>
      <c r="J2" s="59" t="s">
        <v>24</v>
      </c>
      <c r="K2" s="54" t="s">
        <v>92</v>
      </c>
      <c r="L2" s="55" t="s">
        <v>90</v>
      </c>
    </row>
    <row r="3" spans="1:12" ht="36" x14ac:dyDescent="0.25">
      <c r="A3" s="65" t="s">
        <v>8</v>
      </c>
      <c r="B3" s="67">
        <v>20</v>
      </c>
      <c r="C3" s="67">
        <v>6</v>
      </c>
      <c r="D3" s="67">
        <v>10</v>
      </c>
      <c r="E3" s="67">
        <v>17</v>
      </c>
      <c r="F3" s="67">
        <v>20</v>
      </c>
      <c r="G3" s="64" t="s">
        <v>5</v>
      </c>
      <c r="H3" s="67">
        <v>6</v>
      </c>
      <c r="I3" s="67">
        <v>8</v>
      </c>
      <c r="J3" s="63">
        <f>I3/H3</f>
        <v>1.3333333333333333</v>
      </c>
      <c r="K3" s="66">
        <v>10</v>
      </c>
      <c r="L3" s="66">
        <v>11</v>
      </c>
    </row>
  </sheetData>
  <mergeCells count="6">
    <mergeCell ref="K1:L1"/>
    <mergeCell ref="A1:A2"/>
    <mergeCell ref="B1:B2"/>
    <mergeCell ref="C1:F1"/>
    <mergeCell ref="G1:G2"/>
    <mergeCell ref="H1:J1"/>
  </mergeCells>
  <conditionalFormatting sqref="J3">
    <cfRule type="cellIs" dxfId="8" priority="1" operator="lessThan">
      <formula>0.4</formula>
    </cfRule>
    <cfRule type="cellIs" dxfId="7" priority="2" operator="between">
      <formula>0.4</formula>
      <formula>0.799</formula>
    </cfRule>
    <cfRule type="cellIs" dxfId="6" priority="3" operator="greaterThanOrEqual">
      <formula>0.8</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4C38-61B5-40E0-86D4-D924E37002DE}">
  <dimension ref="A1:K3"/>
  <sheetViews>
    <sheetView workbookViewId="0">
      <selection sqref="A1:K3"/>
    </sheetView>
  </sheetViews>
  <sheetFormatPr baseColWidth="10" defaultRowHeight="15" x14ac:dyDescent="0.25"/>
  <cols>
    <col min="1" max="1" width="19.5703125" customWidth="1"/>
    <col min="6" max="6" width="23.7109375" customWidth="1"/>
    <col min="7" max="7" width="17.140625" customWidth="1"/>
    <col min="8" max="8" width="17.5703125" customWidth="1"/>
    <col min="9" max="9" width="17.140625" customWidth="1"/>
    <col min="11" max="11" width="19.5703125" customWidth="1"/>
  </cols>
  <sheetData>
    <row r="1" spans="1:11" ht="18" x14ac:dyDescent="0.25">
      <c r="A1" s="417" t="s">
        <v>1</v>
      </c>
      <c r="B1" s="417" t="s">
        <v>3</v>
      </c>
      <c r="C1" s="417"/>
      <c r="D1" s="417"/>
      <c r="E1" s="417"/>
      <c r="F1" s="417" t="s">
        <v>36</v>
      </c>
      <c r="G1" s="427" t="s">
        <v>17</v>
      </c>
      <c r="H1" s="427"/>
      <c r="I1" s="427"/>
      <c r="J1" s="422" t="s">
        <v>20</v>
      </c>
      <c r="K1" s="423"/>
    </row>
    <row r="2" spans="1:11" ht="79.5" customHeight="1" thickBot="1" x14ac:dyDescent="0.3">
      <c r="A2" s="426"/>
      <c r="B2" s="57">
        <v>2019</v>
      </c>
      <c r="C2" s="57">
        <v>2020</v>
      </c>
      <c r="D2" s="57">
        <v>2021</v>
      </c>
      <c r="E2" s="57">
        <v>2022</v>
      </c>
      <c r="F2" s="426"/>
      <c r="G2" s="58" t="s">
        <v>18</v>
      </c>
      <c r="H2" s="59" t="s">
        <v>19</v>
      </c>
      <c r="I2" s="59" t="s">
        <v>24</v>
      </c>
      <c r="J2" s="54" t="s">
        <v>92</v>
      </c>
      <c r="K2" s="55" t="s">
        <v>90</v>
      </c>
    </row>
    <row r="3" spans="1:11" ht="25.5" x14ac:dyDescent="0.25">
      <c r="A3" s="67">
        <v>250</v>
      </c>
      <c r="B3" s="67">
        <v>175</v>
      </c>
      <c r="C3" s="67">
        <v>200</v>
      </c>
      <c r="D3" s="67">
        <v>225</v>
      </c>
      <c r="E3" s="67">
        <v>250</v>
      </c>
      <c r="F3" s="65" t="s">
        <v>12</v>
      </c>
      <c r="G3" s="67">
        <v>175</v>
      </c>
      <c r="H3" s="67">
        <v>185</v>
      </c>
      <c r="I3" s="63">
        <f>H3/G3</f>
        <v>1.0571428571428572</v>
      </c>
      <c r="J3" s="66">
        <v>200</v>
      </c>
      <c r="K3" s="66">
        <v>200</v>
      </c>
    </row>
  </sheetData>
  <mergeCells count="5">
    <mergeCell ref="A1:A2"/>
    <mergeCell ref="B1:E1"/>
    <mergeCell ref="F1:F2"/>
    <mergeCell ref="G1:I1"/>
    <mergeCell ref="J1:K1"/>
  </mergeCells>
  <conditionalFormatting sqref="I3">
    <cfRule type="cellIs" dxfId="5" priority="1" operator="lessThan">
      <formula>0.4</formula>
    </cfRule>
    <cfRule type="cellIs" dxfId="4" priority="2" operator="between">
      <formula>0.4</formula>
      <formula>0.799</formula>
    </cfRule>
    <cfRule type="cellIs" dxfId="3" priority="3" operator="greaterThanOrEqual">
      <formula>0.8</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7B3E-107E-4BB9-A4A7-4AB4D524E564}">
  <dimension ref="A1:L3"/>
  <sheetViews>
    <sheetView topLeftCell="C1" workbookViewId="0">
      <selection sqref="A1:L3"/>
    </sheetView>
  </sheetViews>
  <sheetFormatPr baseColWidth="10" defaultRowHeight="15" x14ac:dyDescent="0.25"/>
  <cols>
    <col min="1" max="1" width="17.28515625" customWidth="1"/>
    <col min="2" max="2" width="18.28515625" customWidth="1"/>
    <col min="7" max="7" width="23.42578125" customWidth="1"/>
    <col min="8" max="8" width="17.28515625" customWidth="1"/>
    <col min="9" max="9" width="16.7109375" customWidth="1"/>
    <col min="10" max="10" width="17.85546875" customWidth="1"/>
    <col min="12" max="12" width="19.5703125" customWidth="1"/>
  </cols>
  <sheetData>
    <row r="1" spans="1:12" ht="18" x14ac:dyDescent="0.25">
      <c r="A1" s="424" t="s">
        <v>2</v>
      </c>
      <c r="B1" s="417" t="s">
        <v>1</v>
      </c>
      <c r="C1" s="417" t="s">
        <v>3</v>
      </c>
      <c r="D1" s="417"/>
      <c r="E1" s="417"/>
      <c r="F1" s="417"/>
      <c r="G1" s="417" t="s">
        <v>36</v>
      </c>
      <c r="H1" s="427" t="s">
        <v>17</v>
      </c>
      <c r="I1" s="427"/>
      <c r="J1" s="427"/>
      <c r="K1" s="422" t="s">
        <v>20</v>
      </c>
      <c r="L1" s="423"/>
    </row>
    <row r="2" spans="1:12" ht="76.5" customHeight="1" thickBot="1" x14ac:dyDescent="0.3">
      <c r="A2" s="425"/>
      <c r="B2" s="426"/>
      <c r="C2" s="57">
        <v>2019</v>
      </c>
      <c r="D2" s="57">
        <v>2020</v>
      </c>
      <c r="E2" s="57">
        <v>2021</v>
      </c>
      <c r="F2" s="57">
        <v>2022</v>
      </c>
      <c r="G2" s="426"/>
      <c r="H2" s="58" t="s">
        <v>18</v>
      </c>
      <c r="I2" s="59" t="s">
        <v>19</v>
      </c>
      <c r="J2" s="59" t="s">
        <v>24</v>
      </c>
      <c r="K2" s="54" t="s">
        <v>92</v>
      </c>
      <c r="L2" s="55" t="s">
        <v>90</v>
      </c>
    </row>
    <row r="3" spans="1:12" ht="36" x14ac:dyDescent="0.25">
      <c r="A3" s="60" t="s">
        <v>4</v>
      </c>
      <c r="B3" s="61">
        <v>1</v>
      </c>
      <c r="C3" s="48">
        <v>3.0000000000000001E-3</v>
      </c>
      <c r="D3" s="48">
        <v>0.19900000000000001</v>
      </c>
      <c r="E3" s="48">
        <v>0.20300000000000001</v>
      </c>
      <c r="F3" s="48">
        <v>0.59399999999999997</v>
      </c>
      <c r="G3" s="62" t="s">
        <v>5</v>
      </c>
      <c r="H3" s="48">
        <v>3.0000000000000001E-3</v>
      </c>
      <c r="I3" s="48">
        <v>3.0000000000000001E-3</v>
      </c>
      <c r="J3" s="63">
        <f>I3/H3</f>
        <v>1</v>
      </c>
      <c r="K3" s="48">
        <v>0.19900000000000001</v>
      </c>
      <c r="L3" s="45">
        <v>0</v>
      </c>
    </row>
  </sheetData>
  <mergeCells count="6">
    <mergeCell ref="K1:L1"/>
    <mergeCell ref="A1:A2"/>
    <mergeCell ref="B1:B2"/>
    <mergeCell ref="C1:F1"/>
    <mergeCell ref="G1:G2"/>
    <mergeCell ref="H1:J1"/>
  </mergeCells>
  <conditionalFormatting sqref="J3">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4D51-291D-420F-8A45-9076F40A0EA1}">
  <dimension ref="A1:H10"/>
  <sheetViews>
    <sheetView topLeftCell="A6" workbookViewId="0">
      <selection activeCell="E8" sqref="E8"/>
    </sheetView>
  </sheetViews>
  <sheetFormatPr baseColWidth="10" defaultRowHeight="15" x14ac:dyDescent="0.25"/>
  <cols>
    <col min="2" max="2" width="31.7109375" customWidth="1"/>
    <col min="3" max="3" width="38" customWidth="1"/>
    <col min="4" max="4" width="23" customWidth="1"/>
  </cols>
  <sheetData>
    <row r="1" spans="1:8" x14ac:dyDescent="0.25">
      <c r="A1" s="383" t="s">
        <v>302</v>
      </c>
      <c r="B1" s="384" t="s">
        <v>0</v>
      </c>
      <c r="C1" s="385" t="s">
        <v>13</v>
      </c>
      <c r="D1" s="385" t="s">
        <v>311</v>
      </c>
    </row>
    <row r="2" spans="1:8" ht="15.75" customHeight="1" x14ac:dyDescent="0.25">
      <c r="A2" s="383"/>
      <c r="B2" s="384"/>
      <c r="C2" s="385"/>
      <c r="D2" s="385"/>
    </row>
    <row r="3" spans="1:8" ht="81" x14ac:dyDescent="0.25">
      <c r="A3" s="330">
        <v>1</v>
      </c>
      <c r="B3" s="331" t="s">
        <v>35</v>
      </c>
      <c r="C3" s="332" t="s">
        <v>275</v>
      </c>
      <c r="D3" s="333" t="s">
        <v>306</v>
      </c>
      <c r="F3">
        <v>172591</v>
      </c>
      <c r="G3">
        <v>183311</v>
      </c>
      <c r="H3">
        <f>G3-F3</f>
        <v>10720</v>
      </c>
    </row>
    <row r="4" spans="1:8" ht="67.5" x14ac:dyDescent="0.25">
      <c r="A4" s="330">
        <v>2</v>
      </c>
      <c r="B4" s="331" t="s">
        <v>35</v>
      </c>
      <c r="C4" s="332" t="s">
        <v>230</v>
      </c>
      <c r="D4" s="333" t="s">
        <v>307</v>
      </c>
      <c r="F4">
        <v>14262</v>
      </c>
      <c r="G4">
        <v>17223</v>
      </c>
      <c r="H4">
        <f>G4-F4</f>
        <v>2961</v>
      </c>
    </row>
    <row r="5" spans="1:8" ht="148.5" x14ac:dyDescent="0.25">
      <c r="A5" s="330">
        <v>3</v>
      </c>
      <c r="B5" s="331" t="s">
        <v>35</v>
      </c>
      <c r="C5" s="332" t="s">
        <v>276</v>
      </c>
      <c r="D5" s="333" t="s">
        <v>308</v>
      </c>
      <c r="F5">
        <v>76339</v>
      </c>
      <c r="G5">
        <v>82454</v>
      </c>
      <c r="H5">
        <f>G5-F5</f>
        <v>6115</v>
      </c>
    </row>
    <row r="6" spans="1:8" ht="108" x14ac:dyDescent="0.25">
      <c r="A6" s="330">
        <v>4</v>
      </c>
      <c r="B6" s="334" t="s">
        <v>34</v>
      </c>
      <c r="C6" s="332" t="s">
        <v>274</v>
      </c>
      <c r="D6" s="335" t="s">
        <v>309</v>
      </c>
      <c r="F6">
        <v>180647</v>
      </c>
      <c r="G6">
        <v>181834</v>
      </c>
      <c r="H6">
        <f>G6-F6</f>
        <v>1187</v>
      </c>
    </row>
    <row r="7" spans="1:8" ht="108" x14ac:dyDescent="0.25">
      <c r="A7" s="330">
        <v>5</v>
      </c>
      <c r="B7" s="331" t="s">
        <v>35</v>
      </c>
      <c r="C7" s="332" t="s">
        <v>15</v>
      </c>
      <c r="D7" s="336" t="s">
        <v>310</v>
      </c>
      <c r="F7">
        <v>1630</v>
      </c>
      <c r="G7">
        <v>1932</v>
      </c>
      <c r="H7">
        <f>G7-F7</f>
        <v>302</v>
      </c>
    </row>
    <row r="8" spans="1:8" ht="94.5" x14ac:dyDescent="0.25">
      <c r="A8" s="330">
        <v>6</v>
      </c>
      <c r="B8" s="331" t="s">
        <v>35</v>
      </c>
      <c r="C8" s="337" t="s">
        <v>9</v>
      </c>
      <c r="D8" s="336" t="s">
        <v>303</v>
      </c>
    </row>
    <row r="9" spans="1:8" ht="94.5" x14ac:dyDescent="0.25">
      <c r="A9" s="330">
        <v>7</v>
      </c>
      <c r="B9" s="331" t="s">
        <v>35</v>
      </c>
      <c r="C9" s="338" t="s">
        <v>11</v>
      </c>
      <c r="D9" s="336" t="s">
        <v>304</v>
      </c>
    </row>
    <row r="10" spans="1:8" ht="121.5" x14ac:dyDescent="0.25">
      <c r="A10" s="330">
        <v>8</v>
      </c>
      <c r="B10" s="335" t="s">
        <v>301</v>
      </c>
      <c r="C10" s="335" t="s">
        <v>46</v>
      </c>
      <c r="D10" s="336" t="s">
        <v>305</v>
      </c>
    </row>
  </sheetData>
  <mergeCells count="4">
    <mergeCell ref="A1:A2"/>
    <mergeCell ref="B1:B2"/>
    <mergeCell ref="C1:C2"/>
    <mergeCell ref="D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A815-BD4E-4912-A315-D119CAD04744}">
  <dimension ref="A1:CC30"/>
  <sheetViews>
    <sheetView showGridLines="0" topLeftCell="BC1" zoomScale="70" zoomScaleNormal="70" workbookViewId="0">
      <pane ySplit="3" topLeftCell="A4" activePane="bottomLeft" state="frozen"/>
      <selection pane="bottomLeft" activeCell="BE4" sqref="BE4"/>
    </sheetView>
  </sheetViews>
  <sheetFormatPr baseColWidth="10" defaultColWidth="11.42578125" defaultRowHeight="15" x14ac:dyDescent="0.2"/>
  <cols>
    <col min="1" max="1" width="43.42578125" style="1" hidden="1" customWidth="1"/>
    <col min="2" max="2" width="44.7109375" style="1" customWidth="1"/>
    <col min="3" max="3" width="34.42578125" style="1" customWidth="1"/>
    <col min="4" max="4" width="46.28515625" style="1" customWidth="1"/>
    <col min="5" max="5" width="19" style="1" customWidth="1"/>
    <col min="6" max="6" width="18.5703125" style="1" customWidth="1"/>
    <col min="7" max="7" width="16.7109375" style="1" customWidth="1"/>
    <col min="8" max="8" width="16.85546875" style="1" customWidth="1"/>
    <col min="9" max="9" width="32.42578125" style="1" customWidth="1"/>
    <col min="10" max="10" width="37.28515625" style="1" customWidth="1"/>
    <col min="11" max="11" width="22.28515625" style="1" customWidth="1"/>
    <col min="12" max="12" width="28" style="1" customWidth="1"/>
    <col min="13" max="13" width="21" style="3" hidden="1" customWidth="1"/>
    <col min="14" max="14" width="25.5703125" style="3" hidden="1" customWidth="1"/>
    <col min="15" max="15" width="28.140625" style="3" hidden="1" customWidth="1"/>
    <col min="16" max="16" width="72.7109375" style="3" hidden="1" customWidth="1"/>
    <col min="17" max="17" width="20.5703125" style="144" hidden="1" customWidth="1"/>
    <col min="18" max="18" width="28.140625" style="144" hidden="1" customWidth="1"/>
    <col min="19" max="19" width="28" style="144" hidden="1" customWidth="1"/>
    <col min="20" max="20" width="32.7109375" style="144" hidden="1" customWidth="1"/>
    <col min="21" max="21" width="71" style="3" hidden="1" customWidth="1"/>
    <col min="22" max="23" width="32.7109375" style="3" hidden="1" customWidth="1"/>
    <col min="24" max="24" width="72.7109375" style="3" hidden="1" customWidth="1"/>
    <col min="25" max="25" width="34" style="3" hidden="1" customWidth="1"/>
    <col min="26" max="26" width="30.7109375" style="3" hidden="1" customWidth="1"/>
    <col min="27" max="27" width="102.42578125" style="3" hidden="1" customWidth="1"/>
    <col min="28" max="28" width="25.7109375" style="3" hidden="1" customWidth="1"/>
    <col min="29" max="29" width="27.42578125" style="3" hidden="1" customWidth="1"/>
    <col min="30" max="30" width="112" style="3" hidden="1" customWidth="1"/>
    <col min="31" max="31" width="34.85546875" style="3" hidden="1" customWidth="1"/>
    <col min="32" max="32" width="36.5703125" style="3" hidden="1" customWidth="1"/>
    <col min="33" max="33" width="87.5703125" style="3" hidden="1" customWidth="1"/>
    <col min="34" max="35" width="31.42578125" style="3" hidden="1" customWidth="1"/>
    <col min="36" max="36" width="134.28515625" style="3" hidden="1" customWidth="1"/>
    <col min="37" max="37" width="36.42578125" style="3" hidden="1" customWidth="1"/>
    <col min="38" max="38" width="28.28515625" style="3" hidden="1" customWidth="1"/>
    <col min="39" max="39" width="98.7109375" style="3" hidden="1" customWidth="1"/>
    <col min="40" max="40" width="40" style="3" hidden="1" customWidth="1"/>
    <col min="41" max="41" width="45.42578125" style="3" hidden="1" customWidth="1"/>
    <col min="42" max="42" width="98.7109375" style="3" hidden="1" customWidth="1"/>
    <col min="43" max="43" width="50" style="3" hidden="1" customWidth="1"/>
    <col min="44" max="44" width="38.140625" style="3" hidden="1" customWidth="1"/>
    <col min="45" max="45" width="98.7109375" style="3" hidden="1" customWidth="1"/>
    <col min="46" max="46" width="27.85546875" style="3" customWidth="1"/>
    <col min="47" max="47" width="34.140625" style="3" customWidth="1"/>
    <col min="48" max="48" width="35.42578125" style="3" customWidth="1"/>
    <col min="49" max="49" width="45.28515625" style="3" customWidth="1"/>
    <col min="50" max="50" width="52.42578125" style="3" customWidth="1"/>
    <col min="51" max="51" width="107.5703125" style="3" hidden="1" customWidth="1"/>
    <col min="52" max="52" width="37" style="3" customWidth="1"/>
    <col min="53" max="53" width="36.28515625" style="3" customWidth="1"/>
    <col min="54" max="54" width="50.5703125" style="3" customWidth="1"/>
    <col min="55" max="56" width="44.5703125" style="3" customWidth="1"/>
    <col min="57" max="57" width="39.5703125" style="3" customWidth="1"/>
    <col min="58" max="58" width="40.5703125" style="3" customWidth="1"/>
    <col min="59" max="59" width="49.140625" style="3" customWidth="1"/>
    <col min="60" max="81" width="11.42578125" style="3"/>
    <col min="82" max="16384" width="11.42578125" style="1"/>
  </cols>
  <sheetData>
    <row r="1" spans="1:61" ht="178.5" hidden="1" customHeight="1" thickBot="1" x14ac:dyDescent="0.25">
      <c r="A1" s="364" t="s">
        <v>44</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205"/>
      <c r="BA1" s="205"/>
      <c r="BB1" s="205"/>
      <c r="BC1" s="205"/>
      <c r="BD1" s="205"/>
      <c r="BE1" s="205"/>
      <c r="BF1" s="205"/>
    </row>
    <row r="2" spans="1:61" ht="44.25" customHeight="1" thickBot="1" x14ac:dyDescent="0.25">
      <c r="A2" s="362" t="s">
        <v>0</v>
      </c>
      <c r="B2" s="386" t="s">
        <v>13</v>
      </c>
      <c r="C2" s="386" t="s">
        <v>2</v>
      </c>
      <c r="D2" s="387" t="s">
        <v>86</v>
      </c>
      <c r="E2" s="388" t="s">
        <v>3</v>
      </c>
      <c r="F2" s="389"/>
      <c r="G2" s="389"/>
      <c r="H2" s="390"/>
      <c r="I2" s="391" t="s">
        <v>36</v>
      </c>
      <c r="J2" s="366" t="s">
        <v>62</v>
      </c>
      <c r="K2" s="366" t="s">
        <v>102</v>
      </c>
      <c r="L2" s="366" t="s">
        <v>101</v>
      </c>
      <c r="M2" s="393" t="s">
        <v>17</v>
      </c>
      <c r="N2" s="393"/>
      <c r="O2" s="393"/>
      <c r="P2" s="394"/>
      <c r="Q2" s="206" t="s">
        <v>134</v>
      </c>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398" t="s">
        <v>193</v>
      </c>
      <c r="AU2" s="400" t="s">
        <v>20</v>
      </c>
      <c r="AV2" s="401"/>
      <c r="AW2" s="401"/>
      <c r="AX2" s="401"/>
      <c r="AY2" s="402"/>
      <c r="AZ2" s="395" t="s">
        <v>204</v>
      </c>
      <c r="BA2" s="396"/>
      <c r="BB2" s="396"/>
      <c r="BC2" s="396"/>
      <c r="BD2" s="396"/>
      <c r="BE2" s="396"/>
      <c r="BF2" s="397"/>
      <c r="BG2" s="357" t="s">
        <v>32</v>
      </c>
    </row>
    <row r="3" spans="1:61" ht="73.5" customHeight="1" thickBot="1" x14ac:dyDescent="0.25">
      <c r="A3" s="363"/>
      <c r="B3" s="367"/>
      <c r="C3" s="367"/>
      <c r="D3" s="387"/>
      <c r="E3" s="223">
        <v>2019</v>
      </c>
      <c r="F3" s="224">
        <v>2020</v>
      </c>
      <c r="G3" s="224">
        <v>2021</v>
      </c>
      <c r="H3" s="225">
        <v>2022</v>
      </c>
      <c r="I3" s="392"/>
      <c r="J3" s="367"/>
      <c r="K3" s="367"/>
      <c r="L3" s="367"/>
      <c r="M3" s="234" t="s">
        <v>18</v>
      </c>
      <c r="N3" s="235" t="s">
        <v>19</v>
      </c>
      <c r="O3" s="235" t="s">
        <v>24</v>
      </c>
      <c r="P3" s="195" t="s">
        <v>25</v>
      </c>
      <c r="Q3" s="196" t="s">
        <v>87</v>
      </c>
      <c r="R3" s="197" t="s">
        <v>88</v>
      </c>
      <c r="S3" s="197" t="s">
        <v>49</v>
      </c>
      <c r="T3" s="197" t="s">
        <v>21</v>
      </c>
      <c r="U3" s="198" t="s">
        <v>50</v>
      </c>
      <c r="V3" s="197" t="s">
        <v>51</v>
      </c>
      <c r="W3" s="197" t="s">
        <v>52</v>
      </c>
      <c r="X3" s="198" t="s">
        <v>53</v>
      </c>
      <c r="Y3" s="197" t="s">
        <v>71</v>
      </c>
      <c r="Z3" s="197" t="s">
        <v>72</v>
      </c>
      <c r="AA3" s="199" t="s">
        <v>73</v>
      </c>
      <c r="AB3" s="200" t="s">
        <v>89</v>
      </c>
      <c r="AC3" s="197" t="s">
        <v>90</v>
      </c>
      <c r="AD3" s="197" t="s">
        <v>91</v>
      </c>
      <c r="AE3" s="200" t="s">
        <v>103</v>
      </c>
      <c r="AF3" s="197" t="s">
        <v>104</v>
      </c>
      <c r="AG3" s="201" t="s">
        <v>112</v>
      </c>
      <c r="AH3" s="201" t="s">
        <v>115</v>
      </c>
      <c r="AI3" s="201" t="s">
        <v>114</v>
      </c>
      <c r="AJ3" s="202" t="s">
        <v>113</v>
      </c>
      <c r="AK3" s="201" t="s">
        <v>123</v>
      </c>
      <c r="AL3" s="201" t="s">
        <v>124</v>
      </c>
      <c r="AM3" s="202" t="s">
        <v>125</v>
      </c>
      <c r="AN3" s="201" t="s">
        <v>135</v>
      </c>
      <c r="AO3" s="201" t="s">
        <v>136</v>
      </c>
      <c r="AP3" s="202" t="s">
        <v>137</v>
      </c>
      <c r="AQ3" s="201" t="s">
        <v>148</v>
      </c>
      <c r="AR3" s="201" t="s">
        <v>146</v>
      </c>
      <c r="AS3" s="202" t="s">
        <v>147</v>
      </c>
      <c r="AT3" s="399"/>
      <c r="AU3" s="232" t="s">
        <v>158</v>
      </c>
      <c r="AV3" s="233" t="s">
        <v>156</v>
      </c>
      <c r="AW3" s="208" t="s">
        <v>159</v>
      </c>
      <c r="AX3" s="208" t="s">
        <v>189</v>
      </c>
      <c r="AY3" s="202" t="s">
        <v>157</v>
      </c>
      <c r="AZ3" s="203" t="s">
        <v>194</v>
      </c>
      <c r="BA3" s="203" t="s">
        <v>198</v>
      </c>
      <c r="BB3" s="203" t="s">
        <v>196</v>
      </c>
      <c r="BC3" s="203" t="s">
        <v>199</v>
      </c>
      <c r="BD3" s="203" t="s">
        <v>201</v>
      </c>
      <c r="BE3" s="203" t="s">
        <v>197</v>
      </c>
      <c r="BF3" s="203" t="s">
        <v>203</v>
      </c>
      <c r="BG3" s="357"/>
    </row>
    <row r="4" spans="1:61" ht="210" customHeight="1" x14ac:dyDescent="0.2">
      <c r="A4" s="21" t="s">
        <v>35</v>
      </c>
      <c r="B4" s="222" t="s">
        <v>16</v>
      </c>
      <c r="C4" s="44" t="s">
        <v>4</v>
      </c>
      <c r="D4" s="33" t="s">
        <v>83</v>
      </c>
      <c r="E4" s="45">
        <v>0.03</v>
      </c>
      <c r="F4" s="46">
        <v>0.23</v>
      </c>
      <c r="G4" s="46">
        <v>0.5</v>
      </c>
      <c r="H4" s="46">
        <v>0.6</v>
      </c>
      <c r="I4" s="47" t="s">
        <v>23</v>
      </c>
      <c r="J4" s="71" t="s">
        <v>63</v>
      </c>
      <c r="K4" s="30">
        <v>0.6</v>
      </c>
      <c r="L4" s="30" t="s">
        <v>68</v>
      </c>
      <c r="M4" s="48">
        <v>0.03</v>
      </c>
      <c r="N4" s="49">
        <v>0.03</v>
      </c>
      <c r="O4" s="163">
        <f t="shared" ref="O4:O11" si="0">N4/M4</f>
        <v>1</v>
      </c>
      <c r="P4" s="161" t="s">
        <v>26</v>
      </c>
      <c r="Q4" s="152">
        <f>23%-N4</f>
        <v>0.2</v>
      </c>
      <c r="R4" s="145">
        <v>20253667.789999999</v>
      </c>
      <c r="S4" s="145">
        <v>0</v>
      </c>
      <c r="T4" s="163">
        <f>S4/20%</f>
        <v>0</v>
      </c>
      <c r="U4" s="72" t="s">
        <v>37</v>
      </c>
      <c r="V4" s="145">
        <v>34421</v>
      </c>
      <c r="W4" s="168">
        <f>V4/R4</f>
        <v>1.6994946474334367E-3</v>
      </c>
      <c r="X4" s="72" t="s">
        <v>58</v>
      </c>
      <c r="Y4" s="158">
        <v>101437</v>
      </c>
      <c r="Z4" s="169">
        <f>Y4/R4</f>
        <v>5.0083274324309434E-3</v>
      </c>
      <c r="AA4" s="68" t="s">
        <v>75</v>
      </c>
      <c r="AB4" s="158">
        <v>102037</v>
      </c>
      <c r="AC4" s="169">
        <f>AB4/R4</f>
        <v>5.0379516963529698E-3</v>
      </c>
      <c r="AD4" s="78" t="s">
        <v>94</v>
      </c>
      <c r="AE4" s="158">
        <v>1805376</v>
      </c>
      <c r="AF4" s="169">
        <f>AE4/R4</f>
        <v>8.913822517081979E-2</v>
      </c>
      <c r="AG4" s="78" t="s">
        <v>107</v>
      </c>
      <c r="AH4" s="147">
        <v>4784680</v>
      </c>
      <c r="AI4" s="169">
        <f>AH4/R4</f>
        <v>0.23623770517073345</v>
      </c>
      <c r="AJ4" s="79" t="s">
        <v>117</v>
      </c>
      <c r="AK4" s="181">
        <v>6037259.96</v>
      </c>
      <c r="AL4" s="169">
        <f>+AK4/R4</f>
        <v>0.29808230403486835</v>
      </c>
      <c r="AM4" s="79" t="s">
        <v>128</v>
      </c>
      <c r="AN4" s="181">
        <v>7415231.2000000002</v>
      </c>
      <c r="AO4" s="169">
        <f>+AN4/R4</f>
        <v>0.36611794351940441</v>
      </c>
      <c r="AP4" s="143" t="s">
        <v>142</v>
      </c>
      <c r="AQ4" s="182">
        <v>7918051.8399999999</v>
      </c>
      <c r="AR4" s="83">
        <f>+AQ4/R4</f>
        <v>0.39094409576074124</v>
      </c>
      <c r="AS4" s="143" t="s">
        <v>154</v>
      </c>
      <c r="AT4" s="230" t="s">
        <v>195</v>
      </c>
      <c r="AU4" s="210">
        <v>13418129</v>
      </c>
      <c r="AV4" s="183">
        <f>+AU4/R4</f>
        <v>0.66250365805965461</v>
      </c>
      <c r="AW4" s="186">
        <v>16841027.100000001</v>
      </c>
      <c r="AX4" s="167">
        <f>+AW4/26242218.77</f>
        <v>0.64175317062948189</v>
      </c>
      <c r="AY4" s="78" t="s">
        <v>205</v>
      </c>
      <c r="AZ4" s="228">
        <f>20%-11.76%</f>
        <v>8.2400000000000015E-2</v>
      </c>
      <c r="BA4" s="229">
        <v>9401191.6699999999</v>
      </c>
      <c r="BB4" s="228">
        <v>8.2400000000000001E-2</v>
      </c>
      <c r="BC4" s="229">
        <v>9401191.6699999999</v>
      </c>
      <c r="BD4" s="228">
        <f>60%-14.76%</f>
        <v>0.45239999999999997</v>
      </c>
      <c r="BE4" s="228">
        <f>27%+AZ4</f>
        <v>0.35240000000000005</v>
      </c>
      <c r="BF4" s="229">
        <v>40207274.57</v>
      </c>
      <c r="BG4" s="100" t="s">
        <v>206</v>
      </c>
      <c r="BH4" s="93"/>
      <c r="BI4" s="85"/>
    </row>
    <row r="5" spans="1:61" ht="150.75" customHeight="1" x14ac:dyDescent="0.2">
      <c r="A5" s="21" t="s">
        <v>35</v>
      </c>
      <c r="B5" s="10" t="s">
        <v>14</v>
      </c>
      <c r="C5" s="4" t="s">
        <v>4</v>
      </c>
      <c r="D5" s="33" t="s">
        <v>83</v>
      </c>
      <c r="E5" s="8">
        <v>8.5000000000000006E-2</v>
      </c>
      <c r="F5" s="8">
        <v>0.20100000000000001</v>
      </c>
      <c r="G5" s="8">
        <v>0.35099999999999998</v>
      </c>
      <c r="H5" s="5">
        <v>0.6</v>
      </c>
      <c r="I5" s="142" t="s">
        <v>5</v>
      </c>
      <c r="J5" s="70" t="s">
        <v>64</v>
      </c>
      <c r="K5" s="30">
        <v>0.6</v>
      </c>
      <c r="L5" s="30" t="s">
        <v>68</v>
      </c>
      <c r="M5" s="8">
        <f t="shared" ref="M5:M10" si="1">+E5</f>
        <v>8.5000000000000006E-2</v>
      </c>
      <c r="N5" s="8">
        <v>2.3E-2</v>
      </c>
      <c r="O5" s="164">
        <f t="shared" si="0"/>
        <v>0.27058823529411763</v>
      </c>
      <c r="P5" s="162" t="s">
        <v>27</v>
      </c>
      <c r="Q5" s="153">
        <f>+F5-N5</f>
        <v>0.17800000000000002</v>
      </c>
      <c r="R5" s="146">
        <v>7512863</v>
      </c>
      <c r="S5" s="146">
        <v>0</v>
      </c>
      <c r="T5" s="165">
        <f t="shared" ref="T5:T11" si="2">S5/R5</f>
        <v>0</v>
      </c>
      <c r="U5" s="17" t="s">
        <v>38</v>
      </c>
      <c r="V5" s="146">
        <v>0</v>
      </c>
      <c r="W5" s="165">
        <f>V5/R5</f>
        <v>0</v>
      </c>
      <c r="X5" s="17" t="s">
        <v>59</v>
      </c>
      <c r="Y5" s="148">
        <v>0</v>
      </c>
      <c r="Z5" s="170">
        <f t="shared" ref="Z5:Z11" si="3">Y5/R5</f>
        <v>0</v>
      </c>
      <c r="AA5" s="68" t="s">
        <v>82</v>
      </c>
      <c r="AB5" s="147">
        <v>0</v>
      </c>
      <c r="AC5" s="173">
        <f t="shared" ref="AC5:AC11" si="4">AB5/R5</f>
        <v>0</v>
      </c>
      <c r="AD5" s="78" t="s">
        <v>95</v>
      </c>
      <c r="AE5" s="147">
        <v>0</v>
      </c>
      <c r="AF5" s="173">
        <f>AE5/R5</f>
        <v>0</v>
      </c>
      <c r="AG5" s="78" t="s">
        <v>106</v>
      </c>
      <c r="AH5" s="158">
        <v>0</v>
      </c>
      <c r="AI5" s="169">
        <f>AH5/R5</f>
        <v>0</v>
      </c>
      <c r="AJ5" s="78" t="s">
        <v>119</v>
      </c>
      <c r="AK5" s="158">
        <v>0</v>
      </c>
      <c r="AL5" s="169">
        <v>0</v>
      </c>
      <c r="AM5" s="78" t="s">
        <v>130</v>
      </c>
      <c r="AN5" s="158">
        <v>0</v>
      </c>
      <c r="AO5" s="169">
        <v>0</v>
      </c>
      <c r="AP5" s="143" t="s">
        <v>144</v>
      </c>
      <c r="AQ5" s="158">
        <v>0</v>
      </c>
      <c r="AR5" s="83">
        <v>0</v>
      </c>
      <c r="AS5" s="143" t="s">
        <v>152</v>
      </c>
      <c r="AT5" s="209">
        <f>+M5-N5</f>
        <v>6.2000000000000006E-2</v>
      </c>
      <c r="AU5" s="211" t="s">
        <v>188</v>
      </c>
      <c r="AV5" s="78" t="s">
        <v>188</v>
      </c>
      <c r="AW5" s="78" t="s">
        <v>188</v>
      </c>
      <c r="AX5" s="78" t="s">
        <v>188</v>
      </c>
      <c r="AY5" s="78" t="s">
        <v>187</v>
      </c>
      <c r="AZ5" s="220"/>
      <c r="BA5" s="220"/>
      <c r="BB5" s="220"/>
      <c r="BC5" s="220"/>
      <c r="BD5" s="220"/>
      <c r="BE5" s="220"/>
      <c r="BF5" s="220"/>
      <c r="BG5" s="191" t="s">
        <v>192</v>
      </c>
    </row>
    <row r="6" spans="1:61" ht="231" customHeight="1" x14ac:dyDescent="0.2">
      <c r="A6" s="21" t="s">
        <v>35</v>
      </c>
      <c r="B6" s="10" t="s">
        <v>6</v>
      </c>
      <c r="C6" s="16" t="s">
        <v>4</v>
      </c>
      <c r="D6" s="33" t="s">
        <v>83</v>
      </c>
      <c r="E6" s="5">
        <v>0.23</v>
      </c>
      <c r="F6" s="5">
        <v>0.37</v>
      </c>
      <c r="G6" s="5">
        <v>0.49</v>
      </c>
      <c r="H6" s="5">
        <v>0.6</v>
      </c>
      <c r="I6" s="32" t="s">
        <v>23</v>
      </c>
      <c r="J6" s="33" t="s">
        <v>65</v>
      </c>
      <c r="K6" s="7">
        <v>0.6</v>
      </c>
      <c r="L6" s="7" t="s">
        <v>68</v>
      </c>
      <c r="M6" s="8">
        <f t="shared" si="1"/>
        <v>0.23</v>
      </c>
      <c r="N6" s="8">
        <v>0.23</v>
      </c>
      <c r="O6" s="165">
        <f t="shared" si="0"/>
        <v>1</v>
      </c>
      <c r="P6" s="17" t="s">
        <v>31</v>
      </c>
      <c r="Q6" s="153">
        <f>37%-N6</f>
        <v>0.13999999999999999</v>
      </c>
      <c r="R6" s="154">
        <v>15973524.470000001</v>
      </c>
      <c r="S6" s="154">
        <v>12368</v>
      </c>
      <c r="T6" s="167">
        <f>S6/R6</f>
        <v>7.7428121910279952E-4</v>
      </c>
      <c r="U6" s="17" t="s">
        <v>39</v>
      </c>
      <c r="V6" s="148">
        <v>75374</v>
      </c>
      <c r="W6" s="167">
        <f>V6/R6</f>
        <v>4.7186831022521351E-3</v>
      </c>
      <c r="X6" s="17" t="s">
        <v>57</v>
      </c>
      <c r="Y6" s="147">
        <v>43006</v>
      </c>
      <c r="Z6" s="171">
        <f t="shared" si="3"/>
        <v>2.6923300540697766E-3</v>
      </c>
      <c r="AA6" s="39" t="s">
        <v>78</v>
      </c>
      <c r="AB6" s="147">
        <v>168576</v>
      </c>
      <c r="AC6" s="173">
        <f t="shared" si="4"/>
        <v>1.0553463032945789E-2</v>
      </c>
      <c r="AD6" s="39" t="s">
        <v>96</v>
      </c>
      <c r="AE6" s="158">
        <v>7114924.2199999997</v>
      </c>
      <c r="AF6" s="173">
        <f>AE6/R6</f>
        <v>0.44541980909489287</v>
      </c>
      <c r="AG6" s="78" t="s">
        <v>108</v>
      </c>
      <c r="AH6" s="158">
        <v>7362927</v>
      </c>
      <c r="AI6" s="169">
        <f>AH6/R6</f>
        <v>0.46094567381346363</v>
      </c>
      <c r="AJ6" s="78" t="s">
        <v>118</v>
      </c>
      <c r="AK6" s="181">
        <v>7362927.5</v>
      </c>
      <c r="AL6" s="169">
        <f>+AK6/R6</f>
        <v>0.46094570511525934</v>
      </c>
      <c r="AM6" s="78" t="s">
        <v>129</v>
      </c>
      <c r="AN6" s="181">
        <v>7906008.1799999997</v>
      </c>
      <c r="AO6" s="169">
        <f>+AN6/R6</f>
        <v>0.49494450613252788</v>
      </c>
      <c r="AP6" s="90" t="s">
        <v>143</v>
      </c>
      <c r="AQ6" s="182">
        <v>8784660.1699999999</v>
      </c>
      <c r="AR6" s="83">
        <f>+AQ6/R6</f>
        <v>0.54995127634471264</v>
      </c>
      <c r="AS6" s="90" t="s">
        <v>155</v>
      </c>
      <c r="AT6" s="69" t="s">
        <v>195</v>
      </c>
      <c r="AU6" s="212">
        <v>16231703.439999999</v>
      </c>
      <c r="AV6" s="185">
        <f>+AU6/R6</f>
        <v>1.0161629307598887</v>
      </c>
      <c r="AW6" s="186">
        <v>42473922.210000001</v>
      </c>
      <c r="AX6" s="185">
        <f>+AW6/42215743.24</f>
        <v>1.006115703531079</v>
      </c>
      <c r="AY6" s="88" t="s">
        <v>207</v>
      </c>
      <c r="AZ6" s="218" t="s">
        <v>195</v>
      </c>
      <c r="BA6" s="218" t="s">
        <v>195</v>
      </c>
      <c r="BB6" s="218" t="s">
        <v>195</v>
      </c>
      <c r="BC6" s="218" t="s">
        <v>195</v>
      </c>
      <c r="BD6" s="218">
        <f>60-37.23</f>
        <v>22.770000000000003</v>
      </c>
      <c r="BE6" s="227">
        <v>0.12</v>
      </c>
      <c r="BF6" s="229">
        <v>13691592.4</v>
      </c>
      <c r="BG6" s="43" t="s">
        <v>208</v>
      </c>
    </row>
    <row r="7" spans="1:61" ht="214.5" customHeight="1" x14ac:dyDescent="0.2">
      <c r="A7" s="9" t="s">
        <v>34</v>
      </c>
      <c r="B7" s="10" t="s">
        <v>7</v>
      </c>
      <c r="C7" s="4" t="s">
        <v>4</v>
      </c>
      <c r="D7" s="33" t="s">
        <v>85</v>
      </c>
      <c r="E7" s="8">
        <v>3.0999999999999999E-3</v>
      </c>
      <c r="F7" s="8">
        <v>0.19900000000000001</v>
      </c>
      <c r="G7" s="8">
        <v>0.20300000000000001</v>
      </c>
      <c r="H7" s="8">
        <v>0.59399999999999997</v>
      </c>
      <c r="I7" s="32" t="s">
        <v>22</v>
      </c>
      <c r="J7" s="33" t="s">
        <v>64</v>
      </c>
      <c r="K7" s="7">
        <v>1</v>
      </c>
      <c r="L7" s="7" t="s">
        <v>69</v>
      </c>
      <c r="M7" s="8">
        <f t="shared" si="1"/>
        <v>3.0999999999999999E-3</v>
      </c>
      <c r="N7" s="14">
        <v>3.0999999999999999E-3</v>
      </c>
      <c r="O7" s="165">
        <f t="shared" si="0"/>
        <v>1</v>
      </c>
      <c r="P7" s="18" t="s">
        <v>28</v>
      </c>
      <c r="Q7" s="153">
        <f>19.9%-N7</f>
        <v>0.19589999999999999</v>
      </c>
      <c r="R7" s="146">
        <v>999718</v>
      </c>
      <c r="S7" s="148">
        <v>0</v>
      </c>
      <c r="T7" s="165">
        <f t="shared" si="2"/>
        <v>0</v>
      </c>
      <c r="U7" s="17" t="s">
        <v>40</v>
      </c>
      <c r="V7" s="148">
        <v>0</v>
      </c>
      <c r="W7" s="165">
        <f>V7/R7</f>
        <v>0</v>
      </c>
      <c r="X7" s="17" t="s">
        <v>60</v>
      </c>
      <c r="Y7" s="148">
        <v>0</v>
      </c>
      <c r="Z7" s="170">
        <f t="shared" si="3"/>
        <v>0</v>
      </c>
      <c r="AA7" s="39" t="s">
        <v>81</v>
      </c>
      <c r="AB7" s="147">
        <v>0</v>
      </c>
      <c r="AC7" s="173">
        <f>AB7/R7</f>
        <v>0</v>
      </c>
      <c r="AD7" s="39" t="s">
        <v>81</v>
      </c>
      <c r="AE7" s="147">
        <v>0</v>
      </c>
      <c r="AF7" s="173">
        <f>+AE7/R7</f>
        <v>0</v>
      </c>
      <c r="AG7" s="17" t="s">
        <v>81</v>
      </c>
      <c r="AH7" s="147">
        <v>0</v>
      </c>
      <c r="AI7" s="169">
        <f>AH7/R7</f>
        <v>0</v>
      </c>
      <c r="AJ7" s="17" t="s">
        <v>81</v>
      </c>
      <c r="AK7" s="147">
        <v>0</v>
      </c>
      <c r="AL7" s="169">
        <v>0</v>
      </c>
      <c r="AM7" s="82" t="s">
        <v>131</v>
      </c>
      <c r="AN7" s="158">
        <v>0</v>
      </c>
      <c r="AO7" s="169">
        <f>+AN7/R7</f>
        <v>0</v>
      </c>
      <c r="AP7" s="89" t="s">
        <v>140</v>
      </c>
      <c r="AQ7" s="158">
        <v>0</v>
      </c>
      <c r="AR7" s="83">
        <f>+AQ7/R7</f>
        <v>0</v>
      </c>
      <c r="AS7" s="94" t="s">
        <v>140</v>
      </c>
      <c r="AT7" s="69" t="s">
        <v>195</v>
      </c>
      <c r="AU7" s="213" t="s">
        <v>188</v>
      </c>
      <c r="AV7" s="75" t="s">
        <v>188</v>
      </c>
      <c r="AW7" s="75" t="s">
        <v>188</v>
      </c>
      <c r="AX7" s="75" t="s">
        <v>188</v>
      </c>
      <c r="AY7" s="78" t="s">
        <v>187</v>
      </c>
      <c r="AZ7" s="221"/>
      <c r="BA7" s="221"/>
      <c r="BB7" s="221"/>
      <c r="BC7" s="221"/>
      <c r="BD7" s="221"/>
      <c r="BE7" s="221"/>
      <c r="BF7" s="221"/>
      <c r="BG7" s="191" t="s">
        <v>192</v>
      </c>
    </row>
    <row r="8" spans="1:61" ht="331.5" customHeight="1" x14ac:dyDescent="0.2">
      <c r="A8" s="21" t="s">
        <v>35</v>
      </c>
      <c r="B8" s="10" t="s">
        <v>15</v>
      </c>
      <c r="C8" s="16" t="s">
        <v>4</v>
      </c>
      <c r="D8" s="33" t="s">
        <v>84</v>
      </c>
      <c r="E8" s="5">
        <v>0.05</v>
      </c>
      <c r="F8" s="5">
        <v>0.3</v>
      </c>
      <c r="G8" s="5">
        <v>0.6</v>
      </c>
      <c r="H8" s="5">
        <v>1</v>
      </c>
      <c r="I8" s="31" t="s">
        <v>45</v>
      </c>
      <c r="J8" s="33" t="s">
        <v>66</v>
      </c>
      <c r="K8" s="34">
        <v>1</v>
      </c>
      <c r="L8" s="34" t="s">
        <v>70</v>
      </c>
      <c r="M8" s="5">
        <f t="shared" si="1"/>
        <v>0.05</v>
      </c>
      <c r="N8" s="5">
        <v>0.05</v>
      </c>
      <c r="O8" s="165">
        <f t="shared" si="0"/>
        <v>1</v>
      </c>
      <c r="P8" s="18" t="s">
        <v>33</v>
      </c>
      <c r="Q8" s="149">
        <f>30%-N8</f>
        <v>0.25</v>
      </c>
      <c r="R8" s="149">
        <v>0.25</v>
      </c>
      <c r="S8" s="149">
        <v>0.04</v>
      </c>
      <c r="T8" s="165">
        <f>S8/R8</f>
        <v>0.16</v>
      </c>
      <c r="U8" s="17" t="s">
        <v>41</v>
      </c>
      <c r="V8" s="149">
        <v>7.0000000000000007E-2</v>
      </c>
      <c r="W8" s="165">
        <f>V8/R8</f>
        <v>0.28000000000000003</v>
      </c>
      <c r="X8" s="17" t="s">
        <v>56</v>
      </c>
      <c r="Y8" s="149">
        <v>0.11</v>
      </c>
      <c r="Z8" s="170">
        <f t="shared" si="3"/>
        <v>0.44</v>
      </c>
      <c r="AA8" s="40" t="s">
        <v>77</v>
      </c>
      <c r="AB8" s="149">
        <v>0.14000000000000001</v>
      </c>
      <c r="AC8" s="170">
        <f t="shared" si="4"/>
        <v>0.56000000000000005</v>
      </c>
      <c r="AD8" s="39" t="s">
        <v>97</v>
      </c>
      <c r="AE8" s="175">
        <v>0.15</v>
      </c>
      <c r="AF8" s="170">
        <f>AE8/R8</f>
        <v>0.6</v>
      </c>
      <c r="AG8" s="17" t="s">
        <v>109</v>
      </c>
      <c r="AH8" s="151">
        <v>0.15</v>
      </c>
      <c r="AI8" s="169">
        <f>AH8/R8</f>
        <v>0.6</v>
      </c>
      <c r="AJ8" s="17" t="s">
        <v>121</v>
      </c>
      <c r="AK8" s="151">
        <v>0.15</v>
      </c>
      <c r="AL8" s="169">
        <v>0.5</v>
      </c>
      <c r="AM8" s="80" t="s">
        <v>126</v>
      </c>
      <c r="AN8" s="179">
        <v>0.15</v>
      </c>
      <c r="AO8" s="169">
        <v>0.5</v>
      </c>
      <c r="AP8" s="88" t="s">
        <v>139</v>
      </c>
      <c r="AQ8" s="160">
        <v>0.15</v>
      </c>
      <c r="AR8" s="83">
        <v>0.5</v>
      </c>
      <c r="AS8" s="90" t="s">
        <v>151</v>
      </c>
      <c r="AT8" s="69" t="s">
        <v>195</v>
      </c>
      <c r="AU8" s="214">
        <v>0.15</v>
      </c>
      <c r="AV8" s="169">
        <f>+AU8/30%</f>
        <v>0.5</v>
      </c>
      <c r="AW8" s="187">
        <v>0.2</v>
      </c>
      <c r="AX8" s="169">
        <f>+AW8/30%</f>
        <v>0.66666666666666674</v>
      </c>
      <c r="AY8" s="94" t="s">
        <v>183</v>
      </c>
      <c r="AZ8" s="231">
        <f>25%-15%</f>
        <v>0.1</v>
      </c>
      <c r="BA8" s="219" t="s">
        <v>200</v>
      </c>
      <c r="BB8" s="231">
        <f>30%-20%</f>
        <v>9.9999999999999978E-2</v>
      </c>
      <c r="BC8" s="219" t="s">
        <v>200</v>
      </c>
      <c r="BD8" s="231">
        <f>100%-20%</f>
        <v>0.8</v>
      </c>
      <c r="BE8" s="231">
        <v>0.4</v>
      </c>
      <c r="BF8" s="219" t="s">
        <v>200</v>
      </c>
      <c r="BG8" s="141" t="s">
        <v>184</v>
      </c>
    </row>
    <row r="9" spans="1:61" ht="240" x14ac:dyDescent="0.2">
      <c r="A9" s="21" t="s">
        <v>35</v>
      </c>
      <c r="B9" s="32" t="s">
        <v>9</v>
      </c>
      <c r="C9" s="20" t="s">
        <v>10</v>
      </c>
      <c r="D9" s="33" t="s">
        <v>84</v>
      </c>
      <c r="E9" s="16">
        <v>6</v>
      </c>
      <c r="F9" s="16">
        <v>10</v>
      </c>
      <c r="G9" s="16">
        <v>17</v>
      </c>
      <c r="H9" s="16">
        <v>20</v>
      </c>
      <c r="I9" s="6" t="s">
        <v>22</v>
      </c>
      <c r="J9" s="33" t="s">
        <v>64</v>
      </c>
      <c r="K9" s="20">
        <v>20</v>
      </c>
      <c r="L9" s="20">
        <v>20</v>
      </c>
      <c r="M9" s="13">
        <f t="shared" si="1"/>
        <v>6</v>
      </c>
      <c r="N9" s="13">
        <v>8</v>
      </c>
      <c r="O9" s="165">
        <f t="shared" si="0"/>
        <v>1.3333333333333333</v>
      </c>
      <c r="P9" s="17" t="s">
        <v>29</v>
      </c>
      <c r="Q9" s="155">
        <f>10-E9</f>
        <v>4</v>
      </c>
      <c r="R9" s="150">
        <v>4</v>
      </c>
      <c r="S9" s="150">
        <v>1</v>
      </c>
      <c r="T9" s="165">
        <f>S9/4</f>
        <v>0.25</v>
      </c>
      <c r="U9" s="17" t="s">
        <v>42</v>
      </c>
      <c r="V9" s="150">
        <v>2</v>
      </c>
      <c r="W9" s="165">
        <f>V9/4</f>
        <v>0.5</v>
      </c>
      <c r="X9" s="17" t="s">
        <v>55</v>
      </c>
      <c r="Y9" s="150">
        <v>2</v>
      </c>
      <c r="Z9" s="170">
        <f>Y9/4</f>
        <v>0.5</v>
      </c>
      <c r="AA9" s="39" t="s">
        <v>80</v>
      </c>
      <c r="AB9" s="155">
        <v>3</v>
      </c>
      <c r="AC9" s="170">
        <f>AB9/4</f>
        <v>0.75</v>
      </c>
      <c r="AD9" s="43" t="s">
        <v>98</v>
      </c>
      <c r="AE9" s="176">
        <v>3</v>
      </c>
      <c r="AF9" s="170">
        <f>AE9/4</f>
        <v>0.75</v>
      </c>
      <c r="AG9" s="78" t="s">
        <v>105</v>
      </c>
      <c r="AH9" s="150">
        <v>5</v>
      </c>
      <c r="AI9" s="169">
        <f>AH9/4</f>
        <v>1.25</v>
      </c>
      <c r="AJ9" s="17" t="s">
        <v>120</v>
      </c>
      <c r="AK9" s="178">
        <v>8</v>
      </c>
      <c r="AL9" s="169">
        <f>+AK9/4</f>
        <v>2</v>
      </c>
      <c r="AM9" s="17" t="s">
        <v>132</v>
      </c>
      <c r="AN9" s="178">
        <v>8</v>
      </c>
      <c r="AO9" s="169">
        <f>+AN9/R9</f>
        <v>2</v>
      </c>
      <c r="AP9" s="88" t="s">
        <v>141</v>
      </c>
      <c r="AQ9" s="159">
        <v>9</v>
      </c>
      <c r="AR9" s="83">
        <f>+AQ9/R9</f>
        <v>2.25</v>
      </c>
      <c r="AS9" s="94" t="s">
        <v>153</v>
      </c>
      <c r="AT9" s="69" t="s">
        <v>195</v>
      </c>
      <c r="AU9" s="215">
        <v>11</v>
      </c>
      <c r="AV9" s="169">
        <f>+AU9/R9</f>
        <v>2.75</v>
      </c>
      <c r="AW9" s="188">
        <f>11+8</f>
        <v>19</v>
      </c>
      <c r="AX9" s="169">
        <f>+AW9/20</f>
        <v>0.95</v>
      </c>
      <c r="AY9" s="89" t="s">
        <v>186</v>
      </c>
      <c r="AZ9" s="218" t="s">
        <v>195</v>
      </c>
      <c r="BA9" s="218" t="s">
        <v>200</v>
      </c>
      <c r="BB9" s="218" t="s">
        <v>195</v>
      </c>
      <c r="BC9" s="218" t="s">
        <v>200</v>
      </c>
      <c r="BD9" s="218">
        <v>1</v>
      </c>
      <c r="BE9" s="218" t="s">
        <v>195</v>
      </c>
      <c r="BF9" s="218" t="s">
        <v>200</v>
      </c>
      <c r="BG9" s="43" t="s">
        <v>185</v>
      </c>
    </row>
    <row r="10" spans="1:61" ht="409.5" customHeight="1" x14ac:dyDescent="0.2">
      <c r="A10" s="22" t="s">
        <v>35</v>
      </c>
      <c r="B10" s="76" t="s">
        <v>11</v>
      </c>
      <c r="C10" s="16" t="s">
        <v>8</v>
      </c>
      <c r="D10" s="33" t="s">
        <v>84</v>
      </c>
      <c r="E10" s="77">
        <v>175</v>
      </c>
      <c r="F10" s="77">
        <v>200</v>
      </c>
      <c r="G10" s="77">
        <v>225</v>
      </c>
      <c r="H10" s="35">
        <v>250</v>
      </c>
      <c r="I10" s="36" t="s">
        <v>12</v>
      </c>
      <c r="J10" s="38" t="s">
        <v>67</v>
      </c>
      <c r="K10" s="37">
        <v>250</v>
      </c>
      <c r="L10" s="37">
        <v>250</v>
      </c>
      <c r="M10" s="23">
        <f t="shared" si="1"/>
        <v>175</v>
      </c>
      <c r="N10" s="23">
        <v>185</v>
      </c>
      <c r="O10" s="166">
        <f t="shared" si="0"/>
        <v>1.0571428571428572</v>
      </c>
      <c r="P10" s="24" t="s">
        <v>30</v>
      </c>
      <c r="Q10" s="156">
        <f>200-E10</f>
        <v>25</v>
      </c>
      <c r="R10" s="157">
        <v>25</v>
      </c>
      <c r="S10" s="147">
        <v>0</v>
      </c>
      <c r="T10" s="166">
        <f>S10/25</f>
        <v>0</v>
      </c>
      <c r="U10" s="24" t="s">
        <v>43</v>
      </c>
      <c r="V10" s="147">
        <v>0</v>
      </c>
      <c r="W10" s="166">
        <f>V10/25</f>
        <v>0</v>
      </c>
      <c r="X10" s="24" t="s">
        <v>54</v>
      </c>
      <c r="Y10" s="147">
        <v>0</v>
      </c>
      <c r="Z10" s="172">
        <f>Y10/25</f>
        <v>0</v>
      </c>
      <c r="AA10" s="41" t="s">
        <v>79</v>
      </c>
      <c r="AB10" s="150">
        <v>15</v>
      </c>
      <c r="AC10" s="170">
        <f>AB10/25</f>
        <v>0.6</v>
      </c>
      <c r="AD10" s="41" t="s">
        <v>99</v>
      </c>
      <c r="AE10" s="174">
        <v>33</v>
      </c>
      <c r="AF10" s="170">
        <f>AE10/25</f>
        <v>1.32</v>
      </c>
      <c r="AG10" s="17" t="s">
        <v>111</v>
      </c>
      <c r="AH10" s="150">
        <v>55</v>
      </c>
      <c r="AI10" s="170">
        <f>AH10/25</f>
        <v>2.2000000000000002</v>
      </c>
      <c r="AJ10" s="17" t="s">
        <v>116</v>
      </c>
      <c r="AK10" s="178">
        <v>77</v>
      </c>
      <c r="AL10" s="170">
        <f>+AK10/25</f>
        <v>3.08</v>
      </c>
      <c r="AM10" s="17" t="s">
        <v>127</v>
      </c>
      <c r="AN10" s="178">
        <v>117</v>
      </c>
      <c r="AO10" s="170">
        <f>+AN10/25</f>
        <v>4.68</v>
      </c>
      <c r="AP10" s="91" t="s">
        <v>145</v>
      </c>
      <c r="AQ10" s="159">
        <v>150</v>
      </c>
      <c r="AR10" s="84">
        <f>+AQ10/25</f>
        <v>6</v>
      </c>
      <c r="AS10" s="90" t="s">
        <v>149</v>
      </c>
      <c r="AT10" s="69" t="s">
        <v>195</v>
      </c>
      <c r="AU10" s="216">
        <f>150+37</f>
        <v>187</v>
      </c>
      <c r="AV10" s="170">
        <f>+AU10/25</f>
        <v>7.48</v>
      </c>
      <c r="AW10" s="188">
        <v>372</v>
      </c>
      <c r="AX10" s="170">
        <f>+AW10/200</f>
        <v>1.86</v>
      </c>
      <c r="AY10" s="88" t="s">
        <v>209</v>
      </c>
      <c r="AZ10" s="218" t="s">
        <v>195</v>
      </c>
      <c r="BA10" s="218" t="s">
        <v>200</v>
      </c>
      <c r="BB10" s="218" t="s">
        <v>195</v>
      </c>
      <c r="BC10" s="218" t="s">
        <v>200</v>
      </c>
      <c r="BD10" s="218" t="s">
        <v>202</v>
      </c>
      <c r="BE10" s="218" t="s">
        <v>195</v>
      </c>
      <c r="BF10" s="218" t="s">
        <v>200</v>
      </c>
      <c r="BG10" s="43" t="s">
        <v>210</v>
      </c>
    </row>
    <row r="11" spans="1:61" ht="233.25" customHeight="1" x14ac:dyDescent="0.2">
      <c r="A11" s="25" t="s">
        <v>74</v>
      </c>
      <c r="B11" s="25" t="s">
        <v>46</v>
      </c>
      <c r="C11" s="26" t="s">
        <v>4</v>
      </c>
      <c r="D11" s="26"/>
      <c r="E11" s="27">
        <v>0.1</v>
      </c>
      <c r="F11" s="237">
        <v>0.3</v>
      </c>
      <c r="G11" s="27">
        <v>0.3</v>
      </c>
      <c r="H11" s="27">
        <v>0.3</v>
      </c>
      <c r="I11" s="11" t="s">
        <v>12</v>
      </c>
      <c r="J11" s="33" t="s">
        <v>67</v>
      </c>
      <c r="K11" s="28">
        <v>1</v>
      </c>
      <c r="L11" s="28">
        <v>1</v>
      </c>
      <c r="M11" s="28">
        <v>0.1</v>
      </c>
      <c r="N11" s="28">
        <v>0.1</v>
      </c>
      <c r="O11" s="165">
        <f t="shared" si="0"/>
        <v>1</v>
      </c>
      <c r="P11" s="17" t="s">
        <v>47</v>
      </c>
      <c r="Q11" s="151">
        <v>0.3</v>
      </c>
      <c r="R11" s="151">
        <v>0.3</v>
      </c>
      <c r="S11" s="151">
        <v>0.01</v>
      </c>
      <c r="T11" s="166">
        <f t="shared" si="2"/>
        <v>3.3333333333333333E-2</v>
      </c>
      <c r="U11" s="17" t="s">
        <v>48</v>
      </c>
      <c r="V11" s="149">
        <v>0.02</v>
      </c>
      <c r="W11" s="165">
        <f>V11/R11</f>
        <v>6.6666666666666666E-2</v>
      </c>
      <c r="X11" s="17" t="s">
        <v>61</v>
      </c>
      <c r="Y11" s="149">
        <v>0.05</v>
      </c>
      <c r="Z11" s="165">
        <f t="shared" si="3"/>
        <v>0.16666666666666669</v>
      </c>
      <c r="AA11" s="17" t="s">
        <v>76</v>
      </c>
      <c r="AB11" s="151">
        <v>0.06</v>
      </c>
      <c r="AC11" s="165">
        <f t="shared" si="4"/>
        <v>0.2</v>
      </c>
      <c r="AD11" s="17" t="s">
        <v>100</v>
      </c>
      <c r="AE11" s="177">
        <v>0.09</v>
      </c>
      <c r="AF11" s="165">
        <f>AE11/R11</f>
        <v>0.3</v>
      </c>
      <c r="AG11" s="17" t="s">
        <v>110</v>
      </c>
      <c r="AH11" s="177">
        <v>0.16</v>
      </c>
      <c r="AI11" s="170">
        <f>AH11/R11</f>
        <v>0.53333333333333333</v>
      </c>
      <c r="AJ11" s="17" t="s">
        <v>122</v>
      </c>
      <c r="AK11" s="177">
        <v>0.21</v>
      </c>
      <c r="AL11" s="170">
        <f>+AK11/R11</f>
        <v>0.7</v>
      </c>
      <c r="AM11" s="17" t="s">
        <v>133</v>
      </c>
      <c r="AN11" s="180">
        <v>0.23499999999999999</v>
      </c>
      <c r="AO11" s="170">
        <f>+AN11/R11</f>
        <v>0.78333333333333333</v>
      </c>
      <c r="AP11" s="17" t="s">
        <v>138</v>
      </c>
      <c r="AQ11" s="140">
        <v>0.27</v>
      </c>
      <c r="AR11" s="84">
        <f>+AQ11/R11</f>
        <v>0.90000000000000013</v>
      </c>
      <c r="AS11" s="162" t="s">
        <v>150</v>
      </c>
      <c r="AT11" s="69" t="s">
        <v>195</v>
      </c>
      <c r="AU11" s="217">
        <v>0.3</v>
      </c>
      <c r="AV11" s="170">
        <f>+AU11/R11</f>
        <v>1</v>
      </c>
      <c r="AW11" s="189">
        <v>0.4</v>
      </c>
      <c r="AX11" s="190">
        <f>+AW11/100%</f>
        <v>0.4</v>
      </c>
      <c r="AY11" s="162" t="s">
        <v>191</v>
      </c>
      <c r="AZ11" s="218" t="s">
        <v>195</v>
      </c>
      <c r="BA11" s="218" t="s">
        <v>200</v>
      </c>
      <c r="BB11" s="218" t="s">
        <v>195</v>
      </c>
      <c r="BC11" s="218" t="s">
        <v>200</v>
      </c>
      <c r="BD11" s="226">
        <v>0.6</v>
      </c>
      <c r="BE11" s="218" t="s">
        <v>195</v>
      </c>
      <c r="BF11" s="218" t="s">
        <v>200</v>
      </c>
      <c r="BG11" s="43" t="s">
        <v>190</v>
      </c>
    </row>
    <row r="12" spans="1:61" ht="17.25" customHeight="1" x14ac:dyDescent="0.2">
      <c r="A12" s="359"/>
      <c r="B12" s="359"/>
      <c r="C12" s="359"/>
      <c r="D12" s="359"/>
      <c r="E12" s="2"/>
      <c r="F12" s="2"/>
      <c r="G12" s="2"/>
      <c r="H12" s="2"/>
      <c r="I12" s="2"/>
      <c r="J12" s="2"/>
      <c r="K12" s="2"/>
      <c r="L12" s="2"/>
      <c r="AE12" s="85"/>
      <c r="AI12" s="85"/>
      <c r="AK12" s="86"/>
      <c r="AY12" s="85"/>
      <c r="AZ12" s="85"/>
      <c r="BA12" s="85"/>
      <c r="BB12" s="85"/>
      <c r="BC12" s="85"/>
      <c r="BD12" s="85"/>
      <c r="BE12" s="85"/>
      <c r="BF12" s="85"/>
    </row>
    <row r="13" spans="1:61" ht="23.25" customHeight="1" x14ac:dyDescent="0.2">
      <c r="A13" s="359"/>
      <c r="B13" s="359"/>
      <c r="C13" s="204"/>
      <c r="D13" s="204"/>
      <c r="E13" s="236"/>
      <c r="F13" s="236"/>
      <c r="G13" s="2"/>
      <c r="H13" s="2"/>
      <c r="I13" s="81"/>
      <c r="J13" s="2"/>
      <c r="K13" s="2"/>
      <c r="L13" s="2"/>
      <c r="AI13" s="85"/>
      <c r="AK13" s="85"/>
      <c r="AN13" s="87"/>
      <c r="AU13" s="122"/>
    </row>
    <row r="14" spans="1:61" x14ac:dyDescent="0.2">
      <c r="A14" s="2"/>
      <c r="B14" s="2"/>
      <c r="C14" s="2"/>
      <c r="D14" s="2"/>
      <c r="E14" s="2"/>
      <c r="F14" s="2"/>
      <c r="G14" s="2"/>
      <c r="H14" s="2"/>
      <c r="I14" s="2"/>
      <c r="J14" s="2"/>
      <c r="K14" s="2"/>
      <c r="L14" s="2"/>
      <c r="AK14" s="85"/>
    </row>
    <row r="15" spans="1:61" x14ac:dyDescent="0.2">
      <c r="B15" s="2"/>
      <c r="C15" s="2"/>
      <c r="D15" s="2"/>
      <c r="E15" s="2"/>
      <c r="F15" s="92"/>
      <c r="G15" s="2"/>
      <c r="H15" s="2"/>
      <c r="I15" s="2"/>
      <c r="J15" s="2"/>
      <c r="K15" s="2"/>
      <c r="L15" s="2"/>
    </row>
    <row r="16" spans="1:61" x14ac:dyDescent="0.2">
      <c r="B16" s="2"/>
      <c r="C16" s="2"/>
      <c r="D16" s="2"/>
      <c r="E16" s="2"/>
      <c r="F16" s="2"/>
      <c r="G16" s="2"/>
      <c r="H16" s="2"/>
      <c r="I16" s="2"/>
      <c r="J16" s="2"/>
      <c r="K16" s="2"/>
      <c r="L16" s="2"/>
    </row>
    <row r="17" spans="2:50" x14ac:dyDescent="0.2">
      <c r="B17" s="2"/>
      <c r="C17" s="2"/>
      <c r="D17" s="2"/>
      <c r="E17" s="2"/>
      <c r="F17" s="2"/>
      <c r="G17" s="2"/>
      <c r="H17" s="2"/>
      <c r="I17" s="2"/>
      <c r="J17" s="2"/>
      <c r="K17" s="2"/>
      <c r="L17" s="2"/>
    </row>
    <row r="18" spans="2:50" x14ac:dyDescent="0.2">
      <c r="B18" s="2"/>
      <c r="C18" s="2"/>
      <c r="D18" s="2"/>
      <c r="E18" s="2"/>
      <c r="F18" s="2"/>
      <c r="G18" s="2"/>
      <c r="H18" s="2"/>
      <c r="I18" s="2"/>
      <c r="J18" s="2"/>
      <c r="K18" s="2"/>
      <c r="L18" s="2"/>
      <c r="AW18" s="96"/>
      <c r="AX18" s="85"/>
    </row>
    <row r="22" spans="2:50" x14ac:dyDescent="0.2">
      <c r="AU22" s="93"/>
    </row>
    <row r="24" spans="2:50" ht="15.75" x14ac:dyDescent="0.25">
      <c r="AV24" s="98"/>
      <c r="AW24" s="99"/>
    </row>
    <row r="29" spans="2:50" x14ac:dyDescent="0.2">
      <c r="AW29" s="97"/>
    </row>
    <row r="30" spans="2:50" x14ac:dyDescent="0.2">
      <c r="AW30" s="97"/>
    </row>
  </sheetData>
  <autoFilter ref="A3:CC11" xr:uid="{FBA426BB-B208-4DEC-9429-EBB874B0174E}"/>
  <mergeCells count="17">
    <mergeCell ref="BG2:BG3"/>
    <mergeCell ref="A12:D12"/>
    <mergeCell ref="A13:B13"/>
    <mergeCell ref="AZ2:BF2"/>
    <mergeCell ref="AT2:AT3"/>
    <mergeCell ref="AU2:AY2"/>
    <mergeCell ref="A1:AY1"/>
    <mergeCell ref="A2:A3"/>
    <mergeCell ref="B2:B3"/>
    <mergeCell ref="C2:C3"/>
    <mergeCell ref="D2:D3"/>
    <mergeCell ref="E2:H2"/>
    <mergeCell ref="I2:I3"/>
    <mergeCell ref="J2:J3"/>
    <mergeCell ref="K2:K3"/>
    <mergeCell ref="L2:L3"/>
    <mergeCell ref="M2:P2"/>
  </mergeCells>
  <conditionalFormatting sqref="O4:O11 T10:T11">
    <cfRule type="cellIs" dxfId="164" priority="142" operator="lessThan">
      <formula>0.4</formula>
    </cfRule>
    <cfRule type="cellIs" dxfId="163" priority="143" operator="between">
      <formula>0.4</formula>
      <formula>0.799</formula>
    </cfRule>
    <cfRule type="cellIs" dxfId="162" priority="144" operator="greaterThanOrEqual">
      <formula>0.8</formula>
    </cfRule>
  </conditionalFormatting>
  <conditionalFormatting sqref="T9">
    <cfRule type="cellIs" dxfId="161" priority="139" operator="lessThan">
      <formula>0.4</formula>
    </cfRule>
    <cfRule type="cellIs" dxfId="160" priority="140" operator="between">
      <formula>0.4</formula>
      <formula>0.799</formula>
    </cfRule>
    <cfRule type="cellIs" dxfId="159" priority="141" operator="greaterThanOrEqual">
      <formula>0.8</formula>
    </cfRule>
  </conditionalFormatting>
  <conditionalFormatting sqref="Z4:Z5">
    <cfRule type="cellIs" dxfId="158" priority="136" operator="lessThan">
      <formula>0.4</formula>
    </cfRule>
    <cfRule type="cellIs" dxfId="157" priority="137" operator="between">
      <formula>0.4</formula>
      <formula>0.799</formula>
    </cfRule>
    <cfRule type="cellIs" dxfId="156" priority="138" operator="greaterThanOrEqual">
      <formula>0.8</formula>
    </cfRule>
  </conditionalFormatting>
  <conditionalFormatting sqref="T6:T8">
    <cfRule type="cellIs" dxfId="155" priority="133" operator="lessThan">
      <formula>0.4</formula>
    </cfRule>
    <cfRule type="cellIs" dxfId="154" priority="134" operator="between">
      <formula>0.4</formula>
      <formula>0.799</formula>
    </cfRule>
    <cfRule type="cellIs" dxfId="153" priority="135" operator="greaterThanOrEqual">
      <formula>0.8</formula>
    </cfRule>
  </conditionalFormatting>
  <conditionalFormatting sqref="W6:W11">
    <cfRule type="cellIs" dxfId="152" priority="130" operator="lessThan">
      <formula>0.4</formula>
    </cfRule>
    <cfRule type="cellIs" dxfId="151" priority="131" operator="between">
      <formula>0.4</formula>
      <formula>0.799</formula>
    </cfRule>
    <cfRule type="cellIs" dxfId="150" priority="132" operator="greaterThanOrEqual">
      <formula>0.8</formula>
    </cfRule>
  </conditionalFormatting>
  <conditionalFormatting sqref="Z6:Z11">
    <cfRule type="cellIs" dxfId="149" priority="127" operator="lessThan">
      <formula>0.4</formula>
    </cfRule>
    <cfRule type="cellIs" dxfId="148" priority="128" operator="between">
      <formula>0.4</formula>
      <formula>0.799</formula>
    </cfRule>
    <cfRule type="cellIs" dxfId="147" priority="129" operator="greaterThanOrEqual">
      <formula>0.8</formula>
    </cfRule>
  </conditionalFormatting>
  <conditionalFormatting sqref="T4:T5">
    <cfRule type="cellIs" dxfId="146" priority="124" operator="lessThan">
      <formula>0.4</formula>
    </cfRule>
    <cfRule type="cellIs" dxfId="145" priority="125" operator="between">
      <formula>0.4</formula>
      <formula>0.799</formula>
    </cfRule>
    <cfRule type="cellIs" dxfId="144" priority="126" operator="greaterThanOrEqual">
      <formula>0.8</formula>
    </cfRule>
  </conditionalFormatting>
  <conditionalFormatting sqref="W4:W5">
    <cfRule type="cellIs" dxfId="143" priority="121" operator="lessThan">
      <formula>0.4</formula>
    </cfRule>
    <cfRule type="cellIs" dxfId="142" priority="122" operator="between">
      <formula>0.4</formula>
      <formula>0.799</formula>
    </cfRule>
    <cfRule type="cellIs" dxfId="141" priority="123" operator="greaterThanOrEqual">
      <formula>0.8</formula>
    </cfRule>
  </conditionalFormatting>
  <conditionalFormatting sqref="AC4:AC11">
    <cfRule type="cellIs" dxfId="140" priority="118" operator="lessThan">
      <formula>0.4</formula>
    </cfRule>
    <cfRule type="cellIs" dxfId="139" priority="119" operator="between">
      <formula>0.4</formula>
      <formula>0.799</formula>
    </cfRule>
    <cfRule type="cellIs" dxfId="138" priority="120" operator="greaterThanOrEqual">
      <formula>0.8</formula>
    </cfRule>
  </conditionalFormatting>
  <conditionalFormatting sqref="AF9">
    <cfRule type="cellIs" dxfId="137" priority="115" operator="lessThan">
      <formula>0.4</formula>
    </cfRule>
    <cfRule type="cellIs" dxfId="136" priority="116" operator="between">
      <formula>0.4</formula>
      <formula>0.799</formula>
    </cfRule>
    <cfRule type="cellIs" dxfId="135" priority="117" operator="greaterThanOrEqual">
      <formula>0.8</formula>
    </cfRule>
  </conditionalFormatting>
  <conditionalFormatting sqref="AF7">
    <cfRule type="cellIs" dxfId="134" priority="112" operator="lessThan">
      <formula>0.4</formula>
    </cfRule>
    <cfRule type="cellIs" dxfId="133" priority="113" operator="between">
      <formula>0.4</formula>
      <formula>0.799</formula>
    </cfRule>
    <cfRule type="cellIs" dxfId="132" priority="114" operator="greaterThanOrEqual">
      <formula>0.8</formula>
    </cfRule>
  </conditionalFormatting>
  <conditionalFormatting sqref="AF5:AF6">
    <cfRule type="cellIs" dxfId="131" priority="109" operator="lessThan">
      <formula>0.4</formula>
    </cfRule>
    <cfRule type="cellIs" dxfId="130" priority="110" operator="between">
      <formula>0.4</formula>
      <formula>0.799</formula>
    </cfRule>
    <cfRule type="cellIs" dxfId="129" priority="111" operator="greaterThanOrEqual">
      <formula>0.8</formula>
    </cfRule>
  </conditionalFormatting>
  <conditionalFormatting sqref="AF4">
    <cfRule type="cellIs" dxfId="128" priority="106" operator="lessThan">
      <formula>0.4</formula>
    </cfRule>
    <cfRule type="cellIs" dxfId="127" priority="107" operator="between">
      <formula>0.4</formula>
      <formula>0.799</formula>
    </cfRule>
    <cfRule type="cellIs" dxfId="126" priority="108" operator="greaterThanOrEqual">
      <formula>0.8</formula>
    </cfRule>
  </conditionalFormatting>
  <conditionalFormatting sqref="AF8">
    <cfRule type="cellIs" dxfId="125" priority="103" operator="lessThan">
      <formula>0.4</formula>
    </cfRule>
    <cfRule type="cellIs" dxfId="124" priority="104" operator="between">
      <formula>0.4</formula>
      <formula>0.799</formula>
    </cfRule>
    <cfRule type="cellIs" dxfId="123" priority="105" operator="greaterThanOrEqual">
      <formula>0.8</formula>
    </cfRule>
  </conditionalFormatting>
  <conditionalFormatting sqref="AF11">
    <cfRule type="cellIs" dxfId="122" priority="100" operator="lessThan">
      <formula>0.4</formula>
    </cfRule>
    <cfRule type="cellIs" dxfId="121" priority="101" operator="between">
      <formula>0.4</formula>
      <formula>0.799</formula>
    </cfRule>
    <cfRule type="cellIs" dxfId="120" priority="102" operator="greaterThanOrEqual">
      <formula>0.8</formula>
    </cfRule>
  </conditionalFormatting>
  <conditionalFormatting sqref="AF10">
    <cfRule type="cellIs" dxfId="119" priority="97" operator="lessThan">
      <formula>0.4</formula>
    </cfRule>
    <cfRule type="cellIs" dxfId="118" priority="98" operator="between">
      <formula>0.4</formula>
      <formula>0.799</formula>
    </cfRule>
    <cfRule type="cellIs" dxfId="117" priority="99" operator="greaterThanOrEqual">
      <formula>0.8</formula>
    </cfRule>
  </conditionalFormatting>
  <conditionalFormatting sqref="AI10:AI11">
    <cfRule type="cellIs" dxfId="116" priority="94" operator="lessThan">
      <formula>0.4</formula>
    </cfRule>
    <cfRule type="cellIs" dxfId="115" priority="95" operator="between">
      <formula>0.4</formula>
      <formula>0.799</formula>
    </cfRule>
    <cfRule type="cellIs" dxfId="114" priority="96" operator="greaterThanOrEqual">
      <formula>0.8</formula>
    </cfRule>
  </conditionalFormatting>
  <conditionalFormatting sqref="AI4:AI9">
    <cfRule type="cellIs" dxfId="113" priority="91" operator="lessThan">
      <formula>0.4</formula>
    </cfRule>
    <cfRule type="cellIs" dxfId="112" priority="92" operator="between">
      <formula>0.4</formula>
      <formula>0.799</formula>
    </cfRule>
    <cfRule type="cellIs" dxfId="111" priority="93" operator="greaterThanOrEqual">
      <formula>0.8</formula>
    </cfRule>
  </conditionalFormatting>
  <conditionalFormatting sqref="AL8">
    <cfRule type="cellIs" dxfId="110" priority="88" operator="lessThan">
      <formula>0.4</formula>
    </cfRule>
    <cfRule type="cellIs" dxfId="109" priority="89" operator="between">
      <formula>0.4</formula>
      <formula>0.799</formula>
    </cfRule>
    <cfRule type="cellIs" dxfId="108" priority="90" operator="greaterThanOrEqual">
      <formula>0.8</formula>
    </cfRule>
  </conditionalFormatting>
  <conditionalFormatting sqref="AL10">
    <cfRule type="cellIs" dxfId="107" priority="85" operator="lessThan">
      <formula>0.4</formula>
    </cfRule>
    <cfRule type="cellIs" dxfId="106" priority="86" operator="between">
      <formula>0.4</formula>
      <formula>0.799</formula>
    </cfRule>
    <cfRule type="cellIs" dxfId="105" priority="87" operator="greaterThanOrEqual">
      <formula>0.8</formula>
    </cfRule>
  </conditionalFormatting>
  <conditionalFormatting sqref="AL4">
    <cfRule type="cellIs" dxfId="104" priority="82" operator="lessThan">
      <formula>0.4</formula>
    </cfRule>
    <cfRule type="cellIs" dxfId="103" priority="83" operator="between">
      <formula>0.4</formula>
      <formula>0.799</formula>
    </cfRule>
    <cfRule type="cellIs" dxfId="102" priority="84" operator="greaterThanOrEqual">
      <formula>0.8</formula>
    </cfRule>
  </conditionalFormatting>
  <conditionalFormatting sqref="AL6">
    <cfRule type="cellIs" dxfId="101" priority="79" operator="lessThan">
      <formula>0.4</formula>
    </cfRule>
    <cfRule type="cellIs" dxfId="100" priority="80" operator="between">
      <formula>0.4</formula>
      <formula>0.799</formula>
    </cfRule>
    <cfRule type="cellIs" dxfId="99" priority="81" operator="greaterThanOrEqual">
      <formula>0.8</formula>
    </cfRule>
  </conditionalFormatting>
  <conditionalFormatting sqref="AL5">
    <cfRule type="cellIs" dxfId="98" priority="76" operator="lessThan">
      <formula>0.4</formula>
    </cfRule>
    <cfRule type="cellIs" dxfId="97" priority="77" operator="between">
      <formula>0.4</formula>
      <formula>0.799</formula>
    </cfRule>
    <cfRule type="cellIs" dxfId="96" priority="78" operator="greaterThanOrEqual">
      <formula>0.8</formula>
    </cfRule>
  </conditionalFormatting>
  <conditionalFormatting sqref="AL7">
    <cfRule type="cellIs" dxfId="95" priority="73" operator="lessThan">
      <formula>0.4</formula>
    </cfRule>
    <cfRule type="cellIs" dxfId="94" priority="74" operator="between">
      <formula>0.4</formula>
      <formula>0.799</formula>
    </cfRule>
    <cfRule type="cellIs" dxfId="93" priority="75" operator="greaterThanOrEqual">
      <formula>0.8</formula>
    </cfRule>
  </conditionalFormatting>
  <conditionalFormatting sqref="AL9">
    <cfRule type="cellIs" dxfId="92" priority="70" operator="lessThan">
      <formula>0.4</formula>
    </cfRule>
    <cfRule type="cellIs" dxfId="91" priority="71" operator="between">
      <formula>0.4</formula>
      <formula>0.799</formula>
    </cfRule>
    <cfRule type="cellIs" dxfId="90" priority="72" operator="greaterThanOrEqual">
      <formula>0.8</formula>
    </cfRule>
  </conditionalFormatting>
  <conditionalFormatting sqref="AL11">
    <cfRule type="cellIs" dxfId="89" priority="67" operator="lessThan">
      <formula>0.4</formula>
    </cfRule>
    <cfRule type="cellIs" dxfId="88" priority="68" operator="between">
      <formula>0.4</formula>
      <formula>0.799</formula>
    </cfRule>
    <cfRule type="cellIs" dxfId="87" priority="69" operator="greaterThanOrEqual">
      <formula>0.8</formula>
    </cfRule>
  </conditionalFormatting>
  <conditionalFormatting sqref="AO10">
    <cfRule type="cellIs" dxfId="86" priority="64" operator="lessThan">
      <formula>0.4</formula>
    </cfRule>
    <cfRule type="cellIs" dxfId="85" priority="65" operator="between">
      <formula>0.4</formula>
      <formula>0.799</formula>
    </cfRule>
    <cfRule type="cellIs" dxfId="84" priority="66" operator="greaterThanOrEqual">
      <formula>0.8</formula>
    </cfRule>
  </conditionalFormatting>
  <conditionalFormatting sqref="AO11">
    <cfRule type="cellIs" dxfId="83" priority="61" operator="lessThan">
      <formula>0.4</formula>
    </cfRule>
    <cfRule type="cellIs" dxfId="82" priority="62" operator="between">
      <formula>0.4</formula>
      <formula>0.799</formula>
    </cfRule>
    <cfRule type="cellIs" dxfId="81" priority="63" operator="greaterThanOrEqual">
      <formula>0.8</formula>
    </cfRule>
  </conditionalFormatting>
  <conditionalFormatting sqref="AO8">
    <cfRule type="cellIs" dxfId="80" priority="58" operator="lessThan">
      <formula>0.4</formula>
    </cfRule>
    <cfRule type="cellIs" dxfId="79" priority="59" operator="between">
      <formula>0.4</formula>
      <formula>0.799</formula>
    </cfRule>
    <cfRule type="cellIs" dxfId="78" priority="60" operator="greaterThanOrEqual">
      <formula>0.8</formula>
    </cfRule>
  </conditionalFormatting>
  <conditionalFormatting sqref="AO5">
    <cfRule type="cellIs" dxfId="77" priority="55" operator="lessThan">
      <formula>0.4</formula>
    </cfRule>
    <cfRule type="cellIs" dxfId="76" priority="56" operator="between">
      <formula>0.4</formula>
      <formula>0.799</formula>
    </cfRule>
    <cfRule type="cellIs" dxfId="75" priority="57" operator="greaterThanOrEqual">
      <formula>0.8</formula>
    </cfRule>
  </conditionalFormatting>
  <conditionalFormatting sqref="AO7">
    <cfRule type="cellIs" dxfId="74" priority="52" operator="lessThan">
      <formula>0.4</formula>
    </cfRule>
    <cfRule type="cellIs" dxfId="73" priority="53" operator="between">
      <formula>0.4</formula>
      <formula>0.799</formula>
    </cfRule>
    <cfRule type="cellIs" dxfId="72" priority="54" operator="greaterThanOrEqual">
      <formula>0.8</formula>
    </cfRule>
  </conditionalFormatting>
  <conditionalFormatting sqref="AO9">
    <cfRule type="cellIs" dxfId="71" priority="49" operator="lessThan">
      <formula>0.4</formula>
    </cfRule>
    <cfRule type="cellIs" dxfId="70" priority="50" operator="between">
      <formula>0.4</formula>
      <formula>0.799</formula>
    </cfRule>
    <cfRule type="cellIs" dxfId="69" priority="51" operator="greaterThanOrEqual">
      <formula>0.8</formula>
    </cfRule>
  </conditionalFormatting>
  <conditionalFormatting sqref="AO4">
    <cfRule type="cellIs" dxfId="68" priority="46" operator="lessThan">
      <formula>0.4</formula>
    </cfRule>
    <cfRule type="cellIs" dxfId="67" priority="47" operator="between">
      <formula>0.4</formula>
      <formula>0.799</formula>
    </cfRule>
    <cfRule type="cellIs" dxfId="66" priority="48" operator="greaterThanOrEqual">
      <formula>0.8</formula>
    </cfRule>
  </conditionalFormatting>
  <conditionalFormatting sqref="AO6">
    <cfRule type="cellIs" dxfId="65" priority="43" operator="lessThan">
      <formula>0.4</formula>
    </cfRule>
    <cfRule type="cellIs" dxfId="64" priority="44" operator="between">
      <formula>0.4</formula>
      <formula>0.799</formula>
    </cfRule>
    <cfRule type="cellIs" dxfId="63" priority="45" operator="greaterThanOrEqual">
      <formula>0.8</formula>
    </cfRule>
  </conditionalFormatting>
  <conditionalFormatting sqref="AR10">
    <cfRule type="cellIs" dxfId="62" priority="40" operator="lessThan">
      <formula>0.4</formula>
    </cfRule>
    <cfRule type="cellIs" dxfId="61" priority="41" operator="between">
      <formula>0.4</formula>
      <formula>0.799</formula>
    </cfRule>
    <cfRule type="cellIs" dxfId="60" priority="42" operator="greaterThanOrEqual">
      <formula>0.8</formula>
    </cfRule>
  </conditionalFormatting>
  <conditionalFormatting sqref="AR11">
    <cfRule type="cellIs" dxfId="59" priority="37" operator="lessThan">
      <formula>0.4</formula>
    </cfRule>
    <cfRule type="cellIs" dxfId="58" priority="38" operator="between">
      <formula>0.4</formula>
      <formula>0.799</formula>
    </cfRule>
    <cfRule type="cellIs" dxfId="57" priority="39" operator="greaterThanOrEqual">
      <formula>0.8</formula>
    </cfRule>
  </conditionalFormatting>
  <conditionalFormatting sqref="AR8">
    <cfRule type="cellIs" dxfId="56" priority="34" operator="lessThan">
      <formula>0.4</formula>
    </cfRule>
    <cfRule type="cellIs" dxfId="55" priority="35" operator="between">
      <formula>0.4</formula>
      <formula>0.799</formula>
    </cfRule>
    <cfRule type="cellIs" dxfId="54" priority="36" operator="greaterThanOrEqual">
      <formula>0.8</formula>
    </cfRule>
  </conditionalFormatting>
  <conditionalFormatting sqref="AR5">
    <cfRule type="cellIs" dxfId="53" priority="31" operator="lessThan">
      <formula>0.4</formula>
    </cfRule>
    <cfRule type="cellIs" dxfId="52" priority="32" operator="between">
      <formula>0.4</formula>
      <formula>0.799</formula>
    </cfRule>
    <cfRule type="cellIs" dxfId="51" priority="33" operator="greaterThanOrEqual">
      <formula>0.8</formula>
    </cfRule>
  </conditionalFormatting>
  <conditionalFormatting sqref="AR7">
    <cfRule type="cellIs" dxfId="50" priority="28" operator="lessThan">
      <formula>0.4</formula>
    </cfRule>
    <cfRule type="cellIs" dxfId="49" priority="29" operator="between">
      <formula>0.4</formula>
      <formula>0.799</formula>
    </cfRule>
    <cfRule type="cellIs" dxfId="48" priority="30" operator="greaterThanOrEqual">
      <formula>0.8</formula>
    </cfRule>
  </conditionalFormatting>
  <conditionalFormatting sqref="AR9">
    <cfRule type="cellIs" dxfId="47" priority="25" operator="lessThan">
      <formula>0.4</formula>
    </cfRule>
    <cfRule type="cellIs" dxfId="46" priority="26" operator="between">
      <formula>0.4</formula>
      <formula>0.799</formula>
    </cfRule>
    <cfRule type="cellIs" dxfId="45" priority="27" operator="greaterThanOrEqual">
      <formula>0.8</formula>
    </cfRule>
  </conditionalFormatting>
  <conditionalFormatting sqref="AR4">
    <cfRule type="cellIs" dxfId="44" priority="22" operator="lessThan">
      <formula>0.4</formula>
    </cfRule>
    <cfRule type="cellIs" dxfId="43" priority="23" operator="between">
      <formula>0.4</formula>
      <formula>0.799</formula>
    </cfRule>
    <cfRule type="cellIs" dxfId="42" priority="24" operator="greaterThanOrEqual">
      <formula>0.8</formula>
    </cfRule>
  </conditionalFormatting>
  <conditionalFormatting sqref="AR6">
    <cfRule type="cellIs" dxfId="41" priority="19" operator="lessThan">
      <formula>0.4</formula>
    </cfRule>
    <cfRule type="cellIs" dxfId="40" priority="20" operator="between">
      <formula>0.4</formula>
      <formula>0.799</formula>
    </cfRule>
    <cfRule type="cellIs" dxfId="39" priority="21" operator="greaterThanOrEqual">
      <formula>0.8</formula>
    </cfRule>
  </conditionalFormatting>
  <conditionalFormatting sqref="AV4 AX4">
    <cfRule type="cellIs" dxfId="38" priority="16" operator="lessThan">
      <formula>0.4</formula>
    </cfRule>
    <cfRule type="cellIs" dxfId="37" priority="17" operator="between">
      <formula>0.4</formula>
      <formula>0.799</formula>
    </cfRule>
    <cfRule type="cellIs" dxfId="36" priority="18" operator="greaterThanOrEqual">
      <formula>0.8</formula>
    </cfRule>
  </conditionalFormatting>
  <conditionalFormatting sqref="AV6 AX6">
    <cfRule type="cellIs" dxfId="35" priority="13" operator="lessThan">
      <formula>0.4</formula>
    </cfRule>
    <cfRule type="cellIs" dxfId="34" priority="14" operator="between">
      <formula>0.4</formula>
      <formula>0.799</formula>
    </cfRule>
    <cfRule type="cellIs" dxfId="33" priority="15" operator="greaterThanOrEqual">
      <formula>0.8</formula>
    </cfRule>
  </conditionalFormatting>
  <conditionalFormatting sqref="AV10 AX10">
    <cfRule type="cellIs" dxfId="32" priority="10" operator="lessThan">
      <formula>0.4</formula>
    </cfRule>
    <cfRule type="cellIs" dxfId="31" priority="11" operator="between">
      <formula>0.4</formula>
      <formula>0.799</formula>
    </cfRule>
    <cfRule type="cellIs" dxfId="30" priority="12" operator="greaterThanOrEqual">
      <formula>0.8</formula>
    </cfRule>
  </conditionalFormatting>
  <conditionalFormatting sqref="AV11 AX11">
    <cfRule type="cellIs" dxfId="29" priority="7" operator="lessThan">
      <formula>0.4</formula>
    </cfRule>
    <cfRule type="cellIs" dxfId="28" priority="8" operator="between">
      <formula>0.4</formula>
      <formula>0.799</formula>
    </cfRule>
    <cfRule type="cellIs" dxfId="27" priority="9" operator="greaterThanOrEqual">
      <formula>0.8</formula>
    </cfRule>
  </conditionalFormatting>
  <conditionalFormatting sqref="AV8 AX8">
    <cfRule type="cellIs" dxfId="26" priority="4" operator="lessThan">
      <formula>0.4</formula>
    </cfRule>
    <cfRule type="cellIs" dxfId="25" priority="5" operator="between">
      <formula>0.4</formula>
      <formula>0.799</formula>
    </cfRule>
    <cfRule type="cellIs" dxfId="24" priority="6" operator="greaterThanOrEqual">
      <formula>0.8</formula>
    </cfRule>
  </conditionalFormatting>
  <conditionalFormatting sqref="AV9 AX9">
    <cfRule type="cellIs" dxfId="23" priority="1" operator="lessThan">
      <formula>0.4</formula>
    </cfRule>
    <cfRule type="cellIs" dxfId="22" priority="2" operator="between">
      <formula>0.4</formula>
      <formula>0.799</formula>
    </cfRule>
    <cfRule type="cellIs" dxfId="21"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41D1-D9CF-4E10-9AE0-43A1E8B01A02}">
  <dimension ref="A1:I10"/>
  <sheetViews>
    <sheetView topLeftCell="A9" zoomScale="60" zoomScaleNormal="60" workbookViewId="0">
      <selection activeCell="D12" sqref="D12"/>
    </sheetView>
  </sheetViews>
  <sheetFormatPr baseColWidth="10" defaultRowHeight="15" x14ac:dyDescent="0.25"/>
  <cols>
    <col min="1" max="1" width="22.7109375" customWidth="1"/>
    <col min="2" max="2" width="31" customWidth="1"/>
    <col min="3" max="3" width="16.5703125" customWidth="1"/>
    <col min="4" max="4" width="32" customWidth="1"/>
    <col min="5" max="5" width="8.5703125" customWidth="1"/>
    <col min="6" max="6" width="9" customWidth="1"/>
    <col min="7" max="7" width="10" customWidth="1"/>
    <col min="8" max="8" width="11" customWidth="1"/>
    <col min="9" max="9" width="20.85546875" customWidth="1"/>
  </cols>
  <sheetData>
    <row r="1" spans="1:9" ht="18" x14ac:dyDescent="0.25">
      <c r="A1" s="404" t="s">
        <v>0</v>
      </c>
      <c r="B1" s="403" t="s">
        <v>13</v>
      </c>
      <c r="C1" s="403" t="s">
        <v>2</v>
      </c>
      <c r="D1" s="403" t="s">
        <v>86</v>
      </c>
      <c r="E1" s="403" t="s">
        <v>3</v>
      </c>
      <c r="F1" s="403"/>
      <c r="G1" s="403"/>
      <c r="H1" s="403"/>
      <c r="I1" s="403" t="s">
        <v>36</v>
      </c>
    </row>
    <row r="2" spans="1:9" ht="32.25" customHeight="1" x14ac:dyDescent="0.25">
      <c r="A2" s="404"/>
      <c r="B2" s="403"/>
      <c r="C2" s="403"/>
      <c r="D2" s="403"/>
      <c r="E2" s="73">
        <v>2019</v>
      </c>
      <c r="F2" s="73">
        <v>2020</v>
      </c>
      <c r="G2" s="73">
        <v>2021</v>
      </c>
      <c r="H2" s="73">
        <v>2022</v>
      </c>
      <c r="I2" s="403"/>
    </row>
    <row r="3" spans="1:9" ht="159" customHeight="1" x14ac:dyDescent="0.25">
      <c r="A3" s="74" t="s">
        <v>35</v>
      </c>
      <c r="B3" s="10" t="s">
        <v>16</v>
      </c>
      <c r="C3" s="4" t="s">
        <v>4</v>
      </c>
      <c r="D3" s="33" t="s">
        <v>83</v>
      </c>
      <c r="E3" s="15">
        <v>0.03</v>
      </c>
      <c r="F3" s="5">
        <v>0.23</v>
      </c>
      <c r="G3" s="5">
        <v>0.5</v>
      </c>
      <c r="H3" s="5">
        <v>0.6</v>
      </c>
      <c r="I3" s="32" t="s">
        <v>23</v>
      </c>
    </row>
    <row r="4" spans="1:9" ht="159" customHeight="1" x14ac:dyDescent="0.25">
      <c r="A4" s="74" t="s">
        <v>35</v>
      </c>
      <c r="B4" s="10" t="s">
        <v>14</v>
      </c>
      <c r="C4" s="4" t="s">
        <v>4</v>
      </c>
      <c r="D4" s="33" t="s">
        <v>83</v>
      </c>
      <c r="E4" s="8">
        <v>8.5000000000000006E-2</v>
      </c>
      <c r="F4" s="8">
        <v>0.20100000000000001</v>
      </c>
      <c r="G4" s="8">
        <v>0.35099999999999998</v>
      </c>
      <c r="H4" s="5">
        <v>0.6</v>
      </c>
      <c r="I4" s="32" t="s">
        <v>5</v>
      </c>
    </row>
    <row r="5" spans="1:9" ht="162.75" customHeight="1" x14ac:dyDescent="0.25">
      <c r="A5" s="74" t="s">
        <v>35</v>
      </c>
      <c r="B5" s="10" t="s">
        <v>6</v>
      </c>
      <c r="C5" s="16" t="s">
        <v>4</v>
      </c>
      <c r="D5" s="33" t="s">
        <v>83</v>
      </c>
      <c r="E5" s="5">
        <v>0.23</v>
      </c>
      <c r="F5" s="5">
        <v>0.37</v>
      </c>
      <c r="G5" s="5">
        <v>0.49</v>
      </c>
      <c r="H5" s="5">
        <v>0.6</v>
      </c>
      <c r="I5" s="32" t="s">
        <v>23</v>
      </c>
    </row>
    <row r="6" spans="1:9" ht="288" x14ac:dyDescent="0.25">
      <c r="A6" s="75" t="s">
        <v>34</v>
      </c>
      <c r="B6" s="10" t="s">
        <v>7</v>
      </c>
      <c r="C6" s="4" t="s">
        <v>4</v>
      </c>
      <c r="D6" s="33" t="s">
        <v>85</v>
      </c>
      <c r="E6" s="8">
        <v>3.0999999999999999E-3</v>
      </c>
      <c r="F6" s="8">
        <v>0.19900000000000001</v>
      </c>
      <c r="G6" s="8">
        <v>0.20300000000000001</v>
      </c>
      <c r="H6" s="8">
        <v>0.59399999999999997</v>
      </c>
      <c r="I6" s="32" t="s">
        <v>22</v>
      </c>
    </row>
    <row r="7" spans="1:9" ht="288" x14ac:dyDescent="0.25">
      <c r="A7" s="74" t="s">
        <v>35</v>
      </c>
      <c r="B7" s="10" t="s">
        <v>15</v>
      </c>
      <c r="C7" s="16" t="s">
        <v>4</v>
      </c>
      <c r="D7" s="33" t="s">
        <v>84</v>
      </c>
      <c r="E7" s="5">
        <v>0.05</v>
      </c>
      <c r="F7" s="5">
        <v>0.3</v>
      </c>
      <c r="G7" s="5">
        <v>0.6</v>
      </c>
      <c r="H7" s="5">
        <v>1</v>
      </c>
      <c r="I7" s="6" t="s">
        <v>45</v>
      </c>
    </row>
    <row r="8" spans="1:9" ht="288" x14ac:dyDescent="0.25">
      <c r="A8" s="74" t="s">
        <v>35</v>
      </c>
      <c r="B8" s="32" t="s">
        <v>9</v>
      </c>
      <c r="C8" s="20" t="s">
        <v>10</v>
      </c>
      <c r="D8" s="33" t="s">
        <v>84</v>
      </c>
      <c r="E8" s="16">
        <v>6</v>
      </c>
      <c r="F8" s="16">
        <v>10</v>
      </c>
      <c r="G8" s="16">
        <v>17</v>
      </c>
      <c r="H8" s="16">
        <v>20</v>
      </c>
      <c r="I8" s="6" t="s">
        <v>22</v>
      </c>
    </row>
    <row r="9" spans="1:9" ht="263.25" customHeight="1" x14ac:dyDescent="0.25">
      <c r="A9" s="74" t="s">
        <v>35</v>
      </c>
      <c r="B9" s="76" t="s">
        <v>11</v>
      </c>
      <c r="C9" s="16" t="s">
        <v>8</v>
      </c>
      <c r="D9" s="33" t="s">
        <v>84</v>
      </c>
      <c r="E9" s="77">
        <v>175</v>
      </c>
      <c r="F9" s="77">
        <v>200</v>
      </c>
      <c r="G9" s="77">
        <v>225</v>
      </c>
      <c r="H9" s="77">
        <v>250</v>
      </c>
      <c r="I9" s="11" t="s">
        <v>12</v>
      </c>
    </row>
    <row r="10" spans="1:9" ht="126" x14ac:dyDescent="0.25">
      <c r="A10" s="25" t="s">
        <v>74</v>
      </c>
      <c r="B10" s="25" t="s">
        <v>46</v>
      </c>
      <c r="C10" s="26" t="s">
        <v>4</v>
      </c>
      <c r="D10" s="26"/>
      <c r="E10" s="27">
        <v>0.1</v>
      </c>
      <c r="F10" s="27">
        <v>0.3</v>
      </c>
      <c r="G10" s="27">
        <v>0.3</v>
      </c>
      <c r="H10" s="27">
        <v>0.3</v>
      </c>
      <c r="I10" s="11" t="s">
        <v>12</v>
      </c>
    </row>
  </sheetData>
  <mergeCells count="6">
    <mergeCell ref="I1:I2"/>
    <mergeCell ref="A1:A2"/>
    <mergeCell ref="B1:B2"/>
    <mergeCell ref="C1:C2"/>
    <mergeCell ref="D1:D2"/>
    <mergeCell ref="E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1CC5-8E2B-471C-9C55-F8CE18C114A9}">
  <dimension ref="B3:P19"/>
  <sheetViews>
    <sheetView showGridLines="0" workbookViewId="0">
      <selection activeCell="L3" sqref="L3"/>
    </sheetView>
  </sheetViews>
  <sheetFormatPr baseColWidth="10" defaultRowHeight="15" x14ac:dyDescent="0.25"/>
  <cols>
    <col min="4" max="4" width="12.28515625" bestFit="1" customWidth="1"/>
    <col min="6" max="6" width="11.28515625" bestFit="1" customWidth="1"/>
    <col min="8" max="8" width="12.7109375" bestFit="1" customWidth="1"/>
  </cols>
  <sheetData>
    <row r="3" spans="2:16" x14ac:dyDescent="0.25">
      <c r="L3">
        <v>114174800</v>
      </c>
      <c r="M3" t="s">
        <v>231</v>
      </c>
      <c r="N3">
        <v>2019</v>
      </c>
      <c r="O3">
        <v>2020</v>
      </c>
    </row>
    <row r="4" spans="2:16" ht="15.75" thickBot="1" x14ac:dyDescent="0.3">
      <c r="L4">
        <v>68457962</v>
      </c>
      <c r="M4" s="266">
        <f>L3*1.9/100</f>
        <v>2169321.2000000002</v>
      </c>
      <c r="N4">
        <f>(L3*3)/100</f>
        <v>3425244</v>
      </c>
      <c r="O4">
        <f>(L3*23)/100</f>
        <v>26260204</v>
      </c>
      <c r="P4">
        <f>(L3*50)/100</f>
        <v>57087400</v>
      </c>
    </row>
    <row r="5" spans="2:16" ht="15.75" thickBot="1" x14ac:dyDescent="0.3">
      <c r="B5" s="405" t="s">
        <v>160</v>
      </c>
      <c r="C5" s="407" t="s">
        <v>161</v>
      </c>
      <c r="D5" s="408"/>
      <c r="E5" s="407" t="s">
        <v>162</v>
      </c>
      <c r="F5" s="408"/>
      <c r="G5" s="409" t="s">
        <v>163</v>
      </c>
      <c r="H5" s="410"/>
    </row>
    <row r="6" spans="2:16" ht="15.75" thickBot="1" x14ac:dyDescent="0.3">
      <c r="B6" s="406"/>
      <c r="C6" s="112" t="s">
        <v>164</v>
      </c>
      <c r="D6" s="112" t="s">
        <v>165</v>
      </c>
      <c r="E6" s="112" t="s">
        <v>164</v>
      </c>
      <c r="F6" s="112" t="s">
        <v>165</v>
      </c>
      <c r="G6" s="113" t="s">
        <v>164</v>
      </c>
      <c r="H6" s="113" t="s">
        <v>165</v>
      </c>
    </row>
    <row r="7" spans="2:16" ht="15.75" thickBot="1" x14ac:dyDescent="0.3">
      <c r="B7" s="114" t="s">
        <v>166</v>
      </c>
      <c r="C7" s="102">
        <v>1.9E-2</v>
      </c>
      <c r="D7" s="103">
        <v>2167835.46</v>
      </c>
      <c r="E7" s="104"/>
      <c r="F7" s="105"/>
      <c r="G7" s="106"/>
      <c r="H7" s="106"/>
      <c r="I7" s="127">
        <f>F9/D9</f>
        <v>0.51131838803735419</v>
      </c>
    </row>
    <row r="8" spans="2:16" ht="15.75" thickBot="1" x14ac:dyDescent="0.3">
      <c r="B8" s="114">
        <v>2019</v>
      </c>
      <c r="C8" s="107">
        <v>0.03</v>
      </c>
      <c r="D8" s="103">
        <v>3422898.1</v>
      </c>
      <c r="E8" s="102">
        <v>0.03</v>
      </c>
      <c r="F8" s="103">
        <v>3820715.52</v>
      </c>
      <c r="G8" s="108"/>
      <c r="H8" s="108"/>
    </row>
    <row r="9" spans="2:16" ht="15.75" thickBot="1" x14ac:dyDescent="0.3">
      <c r="B9" s="114">
        <v>2020</v>
      </c>
      <c r="C9" s="107">
        <v>0.23</v>
      </c>
      <c r="D9" s="103">
        <v>26242218.77</v>
      </c>
      <c r="E9" s="102">
        <v>0.1176</v>
      </c>
      <c r="F9" s="109">
        <v>13418129</v>
      </c>
      <c r="G9" s="110">
        <v>0.14760000000000001</v>
      </c>
      <c r="H9" s="111">
        <v>17238844.5</v>
      </c>
    </row>
    <row r="10" spans="2:16" ht="15.75" thickBot="1" x14ac:dyDescent="0.3">
      <c r="B10" s="114">
        <v>2021</v>
      </c>
      <c r="C10" s="107">
        <v>0.5</v>
      </c>
      <c r="H10" s="95">
        <f>+F9+D8</f>
        <v>16841027.100000001</v>
      </c>
    </row>
    <row r="12" spans="2:16" x14ac:dyDescent="0.25">
      <c r="B12" s="115" t="s">
        <v>167</v>
      </c>
      <c r="C12" s="116"/>
      <c r="D12" s="116"/>
      <c r="E12" s="116"/>
      <c r="F12" s="116"/>
    </row>
    <row r="13" spans="2:16" x14ac:dyDescent="0.25">
      <c r="B13" s="117" t="s">
        <v>168</v>
      </c>
      <c r="C13" s="117" t="s">
        <v>169</v>
      </c>
      <c r="D13" s="117" t="s">
        <v>170</v>
      </c>
      <c r="E13" s="117" t="s">
        <v>171</v>
      </c>
      <c r="F13" s="117" t="s">
        <v>172</v>
      </c>
    </row>
    <row r="14" spans="2:16" x14ac:dyDescent="0.25">
      <c r="B14" s="118" t="s">
        <v>173</v>
      </c>
      <c r="C14" s="119" t="s">
        <v>174</v>
      </c>
      <c r="D14" s="119">
        <v>1.9E-2</v>
      </c>
      <c r="E14" s="119" t="s">
        <v>174</v>
      </c>
      <c r="F14" s="116"/>
      <c r="I14">
        <f>(D16/C18)*100</f>
        <v>24.6</v>
      </c>
    </row>
    <row r="15" spans="2:16" x14ac:dyDescent="0.25">
      <c r="B15" s="118" t="s">
        <v>175</v>
      </c>
      <c r="C15" s="119">
        <v>0.03</v>
      </c>
      <c r="D15" s="119">
        <v>0.03</v>
      </c>
      <c r="E15" s="119">
        <f>D15/C15*100%</f>
        <v>1</v>
      </c>
      <c r="F15" s="136">
        <v>0.03</v>
      </c>
    </row>
    <row r="16" spans="2:16" x14ac:dyDescent="0.25">
      <c r="B16" s="118" t="s">
        <v>176</v>
      </c>
      <c r="C16" s="119">
        <v>0.23</v>
      </c>
      <c r="D16" s="119">
        <f>11.76%+D15</f>
        <v>0.14760000000000001</v>
      </c>
      <c r="E16" s="265">
        <f>(D16/C16)*100%</f>
        <v>0.64173913043478259</v>
      </c>
      <c r="F16" s="136">
        <v>0.2</v>
      </c>
    </row>
    <row r="17" spans="2:6" x14ac:dyDescent="0.25">
      <c r="B17" s="118" t="s">
        <v>177</v>
      </c>
      <c r="C17" s="119">
        <v>0.5</v>
      </c>
      <c r="D17" s="119"/>
      <c r="E17" s="119">
        <f>(D17/C17)*100%</f>
        <v>0</v>
      </c>
      <c r="F17" s="136">
        <v>0.27</v>
      </c>
    </row>
    <row r="18" spans="2:6" x14ac:dyDescent="0.25">
      <c r="B18" s="118" t="s">
        <v>178</v>
      </c>
      <c r="C18" s="119">
        <v>0.6</v>
      </c>
      <c r="D18" s="119"/>
      <c r="E18" s="119">
        <f>(D18/C18)*100%</f>
        <v>0</v>
      </c>
      <c r="F18" s="136">
        <v>0.1</v>
      </c>
    </row>
    <row r="19" spans="2:6" x14ac:dyDescent="0.25">
      <c r="B19" s="120" t="s">
        <v>179</v>
      </c>
      <c r="C19" s="121">
        <v>0.6</v>
      </c>
      <c r="D19" s="121">
        <f>+D16</f>
        <v>0.14760000000000001</v>
      </c>
      <c r="E19" s="121">
        <f>(D19*100%)/C19</f>
        <v>0.24600000000000002</v>
      </c>
      <c r="F19" s="121">
        <v>0.6</v>
      </c>
    </row>
  </sheetData>
  <mergeCells count="4">
    <mergeCell ref="B5:B6"/>
    <mergeCell ref="C5:D5"/>
    <mergeCell ref="E5:F5"/>
    <mergeCell ref="G5:H5"/>
  </mergeCells>
  <pageMargins left="0.7" right="0.7" top="0.75" bottom="0.75" header="0.3" footer="0.3"/>
  <ignoredErrors>
    <ignoredError sqref="E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E3B6-EF58-4D2B-BB93-55EECF49B122}">
  <dimension ref="B3:N22"/>
  <sheetViews>
    <sheetView showGridLines="0" topLeftCell="A3" workbookViewId="0">
      <selection activeCell="N10" sqref="N10"/>
    </sheetView>
  </sheetViews>
  <sheetFormatPr baseColWidth="10" defaultRowHeight="15" x14ac:dyDescent="0.25"/>
  <cols>
    <col min="4" max="4" width="12.7109375" bestFit="1" customWidth="1"/>
    <col min="6" max="6" width="12.7109375" bestFit="1" customWidth="1"/>
    <col min="8" max="8" width="19.140625" customWidth="1"/>
    <col min="10" max="12" width="0" hidden="1" customWidth="1"/>
  </cols>
  <sheetData>
    <row r="3" spans="2:14" ht="15.75" thickBot="1" x14ac:dyDescent="0.3"/>
    <row r="4" spans="2:14" ht="15.75" thickBot="1" x14ac:dyDescent="0.3">
      <c r="B4" s="405" t="s">
        <v>160</v>
      </c>
      <c r="C4" s="407" t="s">
        <v>161</v>
      </c>
      <c r="D4" s="408"/>
      <c r="E4" s="407" t="s">
        <v>162</v>
      </c>
      <c r="F4" s="408"/>
      <c r="G4" s="409" t="s">
        <v>163</v>
      </c>
      <c r="H4" s="410"/>
      <c r="J4">
        <v>114174800</v>
      </c>
      <c r="K4">
        <f>(J4*12.5)/100</f>
        <v>14271850</v>
      </c>
    </row>
    <row r="5" spans="2:14" ht="15.75" thickBot="1" x14ac:dyDescent="0.3">
      <c r="B5" s="406"/>
      <c r="C5" s="112" t="s">
        <v>164</v>
      </c>
      <c r="D5" s="112" t="s">
        <v>165</v>
      </c>
      <c r="E5" s="112" t="s">
        <v>164</v>
      </c>
      <c r="F5" s="112" t="s">
        <v>165</v>
      </c>
      <c r="G5" s="113" t="s">
        <v>164</v>
      </c>
      <c r="H5" s="113" t="s">
        <v>165</v>
      </c>
      <c r="K5">
        <f>(J4*23)/100</f>
        <v>26260204</v>
      </c>
      <c r="N5" t="s">
        <v>250</v>
      </c>
    </row>
    <row r="6" spans="2:14" ht="15.75" thickBot="1" x14ac:dyDescent="0.3">
      <c r="B6" s="101" t="s">
        <v>166</v>
      </c>
      <c r="C6" s="123" t="s">
        <v>180</v>
      </c>
      <c r="D6" s="103">
        <v>14262075.42</v>
      </c>
      <c r="E6" s="104"/>
      <c r="F6" s="105"/>
      <c r="G6" s="106"/>
      <c r="H6" s="106"/>
      <c r="K6">
        <f>(J4*37)/100</f>
        <v>42244676</v>
      </c>
      <c r="L6" s="125">
        <f>(37-12.5)/(37-12.5)</f>
        <v>1</v>
      </c>
    </row>
    <row r="7" spans="2:14" ht="15.75" thickBot="1" x14ac:dyDescent="0.3">
      <c r="B7" s="101">
        <v>2019</v>
      </c>
      <c r="C7" s="107">
        <v>0.23</v>
      </c>
      <c r="D7" s="103">
        <v>26242218.77</v>
      </c>
      <c r="E7" s="123" t="s">
        <v>181</v>
      </c>
      <c r="F7" s="103">
        <v>11980143.35</v>
      </c>
      <c r="G7" s="108"/>
      <c r="H7" s="124"/>
      <c r="K7">
        <f>(J4*49)/100</f>
        <v>55945652</v>
      </c>
      <c r="L7" s="127">
        <f>(10.5-12.5)/(23-12.5)</f>
        <v>-0.19047619047619047</v>
      </c>
    </row>
    <row r="8" spans="2:14" ht="15.75" thickBot="1" x14ac:dyDescent="0.3">
      <c r="B8" s="101">
        <v>2020</v>
      </c>
      <c r="C8" s="107">
        <v>0.37</v>
      </c>
      <c r="D8" s="103">
        <v>42215743.240000002</v>
      </c>
      <c r="E8" s="102">
        <v>0.14230000000000001</v>
      </c>
      <c r="F8" s="103">
        <v>16231703.439999999</v>
      </c>
      <c r="G8" s="110">
        <v>0.37230000000000002</v>
      </c>
    </row>
    <row r="9" spans="2:14" x14ac:dyDescent="0.25">
      <c r="D9" s="126"/>
      <c r="E9" s="125"/>
      <c r="F9" s="126"/>
    </row>
    <row r="10" spans="2:14" x14ac:dyDescent="0.25">
      <c r="D10" s="95"/>
      <c r="E10" s="125"/>
      <c r="F10" s="128"/>
    </row>
    <row r="12" spans="2:14" x14ac:dyDescent="0.25">
      <c r="B12" s="129" t="s">
        <v>182</v>
      </c>
      <c r="C12" s="130"/>
      <c r="D12" s="130"/>
      <c r="E12" s="130"/>
      <c r="F12" s="130"/>
    </row>
    <row r="13" spans="2:14" x14ac:dyDescent="0.25">
      <c r="B13" s="131" t="s">
        <v>168</v>
      </c>
      <c r="C13" s="131" t="s">
        <v>169</v>
      </c>
      <c r="D13" s="131" t="s">
        <v>170</v>
      </c>
      <c r="E13" s="131" t="s">
        <v>171</v>
      </c>
      <c r="F13" s="117" t="s">
        <v>172</v>
      </c>
    </row>
    <row r="14" spans="2:14" x14ac:dyDescent="0.25">
      <c r="B14" s="132" t="s">
        <v>173</v>
      </c>
      <c r="C14" s="133" t="s">
        <v>174</v>
      </c>
      <c r="D14" s="134">
        <v>12.5</v>
      </c>
      <c r="E14" s="137" t="s">
        <v>174</v>
      </c>
      <c r="F14" s="139"/>
    </row>
    <row r="15" spans="2:14" x14ac:dyDescent="0.25">
      <c r="B15" s="132" t="s">
        <v>175</v>
      </c>
      <c r="C15" s="135">
        <v>0.23</v>
      </c>
      <c r="D15" s="135">
        <v>0.23</v>
      </c>
      <c r="E15" s="135">
        <f>D15/C15*100%</f>
        <v>1</v>
      </c>
      <c r="F15" s="138">
        <v>0.23</v>
      </c>
      <c r="H15" s="95"/>
    </row>
    <row r="16" spans="2:14" x14ac:dyDescent="0.25">
      <c r="B16" s="132" t="s">
        <v>176</v>
      </c>
      <c r="C16" s="135">
        <v>0.37</v>
      </c>
      <c r="D16" s="135">
        <f>14.23%+D15</f>
        <v>0.37230000000000002</v>
      </c>
      <c r="E16" s="135">
        <f>D16/C16*100%</f>
        <v>1.0062162162162163</v>
      </c>
      <c r="F16" s="136">
        <v>0.14000000000000001</v>
      </c>
      <c r="H16" s="127"/>
    </row>
    <row r="17" spans="2:8" x14ac:dyDescent="0.25">
      <c r="B17" s="132" t="s">
        <v>177</v>
      </c>
      <c r="C17" s="135">
        <v>0.49</v>
      </c>
      <c r="D17" s="135"/>
      <c r="E17" s="135">
        <f>D17/C17*100%</f>
        <v>0</v>
      </c>
      <c r="F17" s="136">
        <v>0.12</v>
      </c>
    </row>
    <row r="18" spans="2:8" x14ac:dyDescent="0.25">
      <c r="B18" s="132" t="s">
        <v>178</v>
      </c>
      <c r="C18" s="135">
        <v>0.6</v>
      </c>
      <c r="D18" s="135"/>
      <c r="E18" s="135">
        <f>D18/C18*100%</f>
        <v>0</v>
      </c>
      <c r="F18" s="136">
        <v>0.11</v>
      </c>
    </row>
    <row r="19" spans="2:8" x14ac:dyDescent="0.25">
      <c r="B19" s="132" t="s">
        <v>179</v>
      </c>
      <c r="C19" s="136">
        <v>0.6</v>
      </c>
      <c r="D19" s="136">
        <f>+D16</f>
        <v>0.37230000000000002</v>
      </c>
      <c r="E19" s="136">
        <f>(D19*100%)/C19</f>
        <v>0.62050000000000005</v>
      </c>
      <c r="F19" s="136">
        <v>0.6</v>
      </c>
    </row>
    <row r="22" spans="2:8" ht="15.75" thickBot="1" x14ac:dyDescent="0.3">
      <c r="H22" s="111">
        <f>+D6+F7+F8</f>
        <v>42473922.210000001</v>
      </c>
    </row>
  </sheetData>
  <mergeCells count="4">
    <mergeCell ref="B4:B5"/>
    <mergeCell ref="C4:D4"/>
    <mergeCell ref="E4:F4"/>
    <mergeCell ref="G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topLeftCell="D1" workbookViewId="0">
      <selection sqref="A1:L3"/>
    </sheetView>
  </sheetViews>
  <sheetFormatPr baseColWidth="10" defaultRowHeight="15" x14ac:dyDescent="0.25"/>
  <cols>
    <col min="1" max="1" width="17.85546875" customWidth="1"/>
    <col min="2" max="2" width="18" customWidth="1"/>
    <col min="7" max="7" width="22" customWidth="1"/>
    <col min="8" max="8" width="14.140625" customWidth="1"/>
    <col min="9" max="9" width="17.140625" customWidth="1"/>
    <col min="10" max="10" width="19.5703125" customWidth="1"/>
    <col min="11" max="11" width="13.7109375" customWidth="1"/>
    <col min="12" max="12" width="22.7109375" customWidth="1"/>
  </cols>
  <sheetData>
    <row r="1" spans="1:12" ht="24" customHeight="1" thickBot="1" x14ac:dyDescent="0.3">
      <c r="A1" s="413" t="s">
        <v>2</v>
      </c>
      <c r="B1" s="415" t="s">
        <v>1</v>
      </c>
      <c r="C1" s="417" t="s">
        <v>3</v>
      </c>
      <c r="D1" s="417"/>
      <c r="E1" s="417"/>
      <c r="F1" s="417"/>
      <c r="G1" s="418" t="s">
        <v>36</v>
      </c>
      <c r="H1" s="420" t="s">
        <v>17</v>
      </c>
      <c r="I1" s="421"/>
      <c r="J1" s="421"/>
      <c r="K1" s="411" t="s">
        <v>20</v>
      </c>
      <c r="L1" s="412"/>
    </row>
    <row r="2" spans="1:12" ht="63.75" customHeight="1" thickBot="1" x14ac:dyDescent="0.3">
      <c r="A2" s="414"/>
      <c r="B2" s="416"/>
      <c r="C2" s="42">
        <v>2019</v>
      </c>
      <c r="D2" s="42">
        <v>2020</v>
      </c>
      <c r="E2" s="42">
        <v>2021</v>
      </c>
      <c r="F2" s="42">
        <v>2022</v>
      </c>
      <c r="G2" s="419"/>
      <c r="H2" s="52" t="s">
        <v>18</v>
      </c>
      <c r="I2" s="53" t="s">
        <v>19</v>
      </c>
      <c r="J2" s="53" t="s">
        <v>24</v>
      </c>
      <c r="K2" s="54" t="s">
        <v>92</v>
      </c>
      <c r="L2" s="55" t="s">
        <v>90</v>
      </c>
    </row>
    <row r="3" spans="1:12" ht="54" x14ac:dyDescent="0.25">
      <c r="A3" s="44" t="s">
        <v>4</v>
      </c>
      <c r="B3" s="30">
        <v>0.6</v>
      </c>
      <c r="C3" s="45">
        <v>0.03</v>
      </c>
      <c r="D3" s="46">
        <v>0.23</v>
      </c>
      <c r="E3" s="46">
        <v>0.5</v>
      </c>
      <c r="F3" s="46">
        <v>0.6</v>
      </c>
      <c r="G3" s="47" t="s">
        <v>23</v>
      </c>
      <c r="H3" s="48">
        <v>0.03</v>
      </c>
      <c r="I3" s="49">
        <v>0.03</v>
      </c>
      <c r="J3" s="50">
        <f>I3/H3</f>
        <v>1</v>
      </c>
      <c r="K3" s="51">
        <v>0.23</v>
      </c>
      <c r="L3" s="56">
        <v>5.0000000000000001E-3</v>
      </c>
    </row>
  </sheetData>
  <mergeCells count="6">
    <mergeCell ref="K1:L1"/>
    <mergeCell ref="A1:A2"/>
    <mergeCell ref="B1:B2"/>
    <mergeCell ref="C1:F1"/>
    <mergeCell ref="G1:G2"/>
    <mergeCell ref="H1:J1"/>
  </mergeCells>
  <phoneticPr fontId="9" type="noConversion"/>
  <conditionalFormatting sqref="J3">
    <cfRule type="cellIs" dxfId="20" priority="16" operator="lessThan">
      <formula>0.4</formula>
    </cfRule>
    <cfRule type="cellIs" dxfId="19" priority="17" operator="between">
      <formula>0.4</formula>
      <formula>0.799</formula>
    </cfRule>
    <cfRule type="cellIs" dxfId="18" priority="18" operator="greaterThanOrEqual">
      <formula>0.8</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0A7F-FC33-4FCE-93ED-847CE9EAABE7}">
  <dimension ref="A1:L3"/>
  <sheetViews>
    <sheetView zoomScale="80" zoomScaleNormal="80" workbookViewId="0">
      <selection activeCell="G9" sqref="G9"/>
    </sheetView>
  </sheetViews>
  <sheetFormatPr baseColWidth="10" defaultRowHeight="15" x14ac:dyDescent="0.25"/>
  <cols>
    <col min="1" max="1" width="14.42578125" customWidth="1"/>
    <col min="2" max="2" width="20.5703125" customWidth="1"/>
    <col min="7" max="7" width="22.85546875" customWidth="1"/>
    <col min="8" max="8" width="15.5703125" customWidth="1"/>
    <col min="9" max="9" width="16.85546875" customWidth="1"/>
    <col min="10" max="10" width="20.5703125" customWidth="1"/>
    <col min="12" max="12" width="19.140625" customWidth="1"/>
  </cols>
  <sheetData>
    <row r="1" spans="1:12" ht="22.5" customHeight="1" x14ac:dyDescent="0.25">
      <c r="A1" s="424" t="s">
        <v>2</v>
      </c>
      <c r="B1" s="417" t="s">
        <v>1</v>
      </c>
      <c r="C1" s="417" t="s">
        <v>3</v>
      </c>
      <c r="D1" s="417"/>
      <c r="E1" s="417"/>
      <c r="F1" s="417"/>
      <c r="G1" s="417" t="s">
        <v>36</v>
      </c>
      <c r="H1" s="427" t="s">
        <v>17</v>
      </c>
      <c r="I1" s="427"/>
      <c r="J1" s="427"/>
      <c r="K1" s="422" t="s">
        <v>20</v>
      </c>
      <c r="L1" s="423"/>
    </row>
    <row r="2" spans="1:12" ht="57.75" customHeight="1" thickBot="1" x14ac:dyDescent="0.3">
      <c r="A2" s="425"/>
      <c r="B2" s="426"/>
      <c r="C2" s="57">
        <v>2019</v>
      </c>
      <c r="D2" s="57">
        <v>2020</v>
      </c>
      <c r="E2" s="57">
        <v>2021</v>
      </c>
      <c r="F2" s="57">
        <v>2022</v>
      </c>
      <c r="G2" s="426"/>
      <c r="H2" s="58" t="s">
        <v>18</v>
      </c>
      <c r="I2" s="59" t="s">
        <v>19</v>
      </c>
      <c r="J2" s="59" t="s">
        <v>24</v>
      </c>
      <c r="K2" s="54" t="s">
        <v>92</v>
      </c>
      <c r="L2" s="55" t="s">
        <v>90</v>
      </c>
    </row>
    <row r="3" spans="1:12" ht="54" x14ac:dyDescent="0.25">
      <c r="A3" s="16" t="s">
        <v>4</v>
      </c>
      <c r="B3" s="7">
        <v>0.6</v>
      </c>
      <c r="C3" s="5">
        <v>0.23</v>
      </c>
      <c r="D3" s="5">
        <v>0.37</v>
      </c>
      <c r="E3" s="5">
        <v>0.49</v>
      </c>
      <c r="F3" s="5">
        <v>0.6</v>
      </c>
      <c r="G3" s="32" t="s">
        <v>23</v>
      </c>
      <c r="H3" s="8">
        <f>+C3</f>
        <v>0.23</v>
      </c>
      <c r="I3" s="8">
        <v>0.23</v>
      </c>
      <c r="J3" s="12">
        <f>I3/H3</f>
        <v>1</v>
      </c>
      <c r="K3" s="8">
        <v>0.37</v>
      </c>
      <c r="L3" s="8">
        <v>8.0000000000000002E-3</v>
      </c>
    </row>
  </sheetData>
  <mergeCells count="6">
    <mergeCell ref="K1:L1"/>
    <mergeCell ref="A1:A2"/>
    <mergeCell ref="B1:B2"/>
    <mergeCell ref="C1:F1"/>
    <mergeCell ref="G1:G2"/>
    <mergeCell ref="H1:J1"/>
  </mergeCells>
  <phoneticPr fontId="9" type="noConversion"/>
  <conditionalFormatting sqref="J3">
    <cfRule type="cellIs" dxfId="17" priority="22" operator="lessThan">
      <formula>0.4</formula>
    </cfRule>
    <cfRule type="cellIs" dxfId="16" priority="23" operator="between">
      <formula>0.4</formula>
      <formula>0.799</formula>
    </cfRule>
    <cfRule type="cellIs" dxfId="15" priority="24" operator="greaterThanOrEqual">
      <formula>0.8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09C7-1229-42A2-A680-A54FDD9E9D2A}">
  <dimension ref="A1:L3"/>
  <sheetViews>
    <sheetView workbookViewId="0">
      <selection sqref="A1:L3"/>
    </sheetView>
  </sheetViews>
  <sheetFormatPr baseColWidth="10" defaultRowHeight="15" x14ac:dyDescent="0.25"/>
  <cols>
    <col min="1" max="1" width="15.140625" customWidth="1"/>
    <col min="2" max="2" width="19" customWidth="1"/>
    <col min="7" max="7" width="22.7109375" customWidth="1"/>
    <col min="8" max="8" width="16" customWidth="1"/>
    <col min="9" max="10" width="18.28515625" customWidth="1"/>
    <col min="12" max="12" width="19.85546875" customWidth="1"/>
  </cols>
  <sheetData>
    <row r="1" spans="1:12" ht="18" x14ac:dyDescent="0.25">
      <c r="A1" s="424" t="s">
        <v>2</v>
      </c>
      <c r="B1" s="417" t="s">
        <v>1</v>
      </c>
      <c r="C1" s="417" t="s">
        <v>3</v>
      </c>
      <c r="D1" s="417"/>
      <c r="E1" s="417"/>
      <c r="F1" s="417"/>
      <c r="G1" s="417" t="s">
        <v>36</v>
      </c>
      <c r="H1" s="427" t="s">
        <v>17</v>
      </c>
      <c r="I1" s="427"/>
      <c r="J1" s="427"/>
      <c r="K1" s="422" t="s">
        <v>20</v>
      </c>
      <c r="L1" s="423"/>
    </row>
    <row r="2" spans="1:12" ht="60.75" customHeight="1" thickBot="1" x14ac:dyDescent="0.3">
      <c r="A2" s="425"/>
      <c r="B2" s="426"/>
      <c r="C2" s="57">
        <v>2019</v>
      </c>
      <c r="D2" s="57">
        <v>2020</v>
      </c>
      <c r="E2" s="57">
        <v>2021</v>
      </c>
      <c r="F2" s="57">
        <v>2022</v>
      </c>
      <c r="G2" s="426"/>
      <c r="H2" s="58" t="s">
        <v>18</v>
      </c>
      <c r="I2" s="59" t="s">
        <v>19</v>
      </c>
      <c r="J2" s="59" t="s">
        <v>24</v>
      </c>
      <c r="K2" s="54" t="s">
        <v>92</v>
      </c>
      <c r="L2" s="55" t="s">
        <v>90</v>
      </c>
    </row>
    <row r="3" spans="1:12" ht="36" x14ac:dyDescent="0.25">
      <c r="A3" s="60" t="s">
        <v>4</v>
      </c>
      <c r="B3" s="61">
        <v>0.6</v>
      </c>
      <c r="C3" s="48">
        <v>8.5000000000000006E-2</v>
      </c>
      <c r="D3" s="48">
        <v>0.20100000000000001</v>
      </c>
      <c r="E3" s="48">
        <v>0.35099999999999998</v>
      </c>
      <c r="F3" s="46">
        <v>0.6</v>
      </c>
      <c r="G3" s="62" t="s">
        <v>5</v>
      </c>
      <c r="H3" s="48">
        <v>8.5000000000000006E-2</v>
      </c>
      <c r="I3" s="48">
        <v>2.3E-2</v>
      </c>
      <c r="J3" s="63">
        <f>I3/H3</f>
        <v>0.27058823529411763</v>
      </c>
      <c r="K3" s="48">
        <v>0.20100000000000001</v>
      </c>
      <c r="L3" s="45">
        <v>0</v>
      </c>
    </row>
  </sheetData>
  <mergeCells count="6">
    <mergeCell ref="K1:L1"/>
    <mergeCell ref="A1:A2"/>
    <mergeCell ref="B1:B2"/>
    <mergeCell ref="C1:F1"/>
    <mergeCell ref="G1:G2"/>
    <mergeCell ref="H1:J1"/>
  </mergeCells>
  <conditionalFormatting sqref="J3">
    <cfRule type="cellIs" dxfId="14" priority="1" operator="lessThan">
      <formula>0.4</formula>
    </cfRule>
    <cfRule type="cellIs" dxfId="13" priority="2" operator="between">
      <formula>0.4</formula>
      <formula>0.799</formula>
    </cfRule>
    <cfRule type="cellIs" dxfId="12" priority="3" operator="greaterThanOrEqual">
      <formula>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Seguimiento I semestre PND_2021</vt:lpstr>
      <vt:lpstr>Hoja4</vt:lpstr>
      <vt:lpstr>Rezagos Metas PND</vt:lpstr>
      <vt:lpstr>Hoja1</vt:lpstr>
      <vt:lpstr>Hoja2</vt:lpstr>
      <vt:lpstr>Hoja3</vt:lpstr>
      <vt:lpstr>Cartografía</vt:lpstr>
      <vt:lpstr>Caracterización geográfica</vt:lpstr>
      <vt:lpstr>Área con catastro actualiz</vt:lpstr>
      <vt:lpstr>SINIC</vt:lpstr>
      <vt:lpstr>Gestores habili</vt:lpstr>
      <vt:lpstr>Geoservicios</vt:lpstr>
      <vt:lpstr>PDET Actuali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2021-07-14T18:59:17Z</dcterms:modified>
</cp:coreProperties>
</file>