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IGAC\EJECUCIÓN CONTRATO 2024\RIESGOS\MESAS DE TRABAJO\"/>
    </mc:Choice>
  </mc:AlternateContent>
  <bookViews>
    <workbookView xWindow="0" yWindow="0" windowWidth="20490" windowHeight="7065" tabRatio="882" firstSheet="2" activeTab="2"/>
  </bookViews>
  <sheets>
    <sheet name="Instructivo" sheetId="20" state="hidden" r:id="rId1"/>
    <sheet name="Instructivo R. Gestión" sheetId="44" state="hidden" r:id="rId2"/>
    <sheet name="R. Gestión " sheetId="1" r:id="rId3"/>
    <sheet name="Instructivo R. Corrupción" sheetId="45" state="hidden" r:id="rId4"/>
    <sheet name="R. Corrupción" sheetId="52" r:id="rId5"/>
    <sheet name="Impacto Corrupción" sheetId="43" state="hidden" r:id="rId6"/>
    <sheet name="Impacto Corrupcion Contractual" sheetId="53" state="hidden" r:id="rId7"/>
    <sheet name="Impacto Servicios Tecnologicos" sheetId="67" state="hidden" r:id="rId8"/>
    <sheet name="Impacto Corrup Financiera" sheetId="66" state="hidden" r:id="rId9"/>
    <sheet name="Hoja1" sheetId="65" state="hidden" r:id="rId10"/>
    <sheet name="Impacto Corrupcion Ciudadano" sheetId="63" state="hidden" r:id="rId11"/>
    <sheet name="Impacto Corrupcion Bienes y Ser" sheetId="64" state="hidden" r:id="rId12"/>
    <sheet name="Impacto Corrupción Disciplinari" sheetId="62" state="hidden" r:id="rId13"/>
    <sheet name="Impacto Corrupcion Habilitacion" sheetId="55" state="hidden" r:id="rId14"/>
    <sheet name="Impacto Corrupcion Agrologia" sheetId="54" state="hidden" r:id="rId15"/>
    <sheet name="Corrupcion Documental" sheetId="56" state="hidden" r:id="rId16"/>
    <sheet name="Corrupcion Cartografia" sheetId="58" state="hidden" r:id="rId17"/>
    <sheet name="Corrupcion Evaluacion y Seguim" sheetId="57" state="hidden" r:id="rId18"/>
    <sheet name="Corrupción Geografica R30" sheetId="59" state="hidden" r:id="rId19"/>
    <sheet name="Corrupción Geografica R31" sheetId="60" state="hidden" r:id="rId20"/>
    <sheet name="Corrupción Catastro" sheetId="61" state="hidden" r:id="rId21"/>
    <sheet name="Matriz Calor Inherente" sheetId="18" state="hidden" r:id="rId22"/>
    <sheet name="Matriz Calor Residual" sheetId="19" state="hidden" r:id="rId23"/>
    <sheet name="Tabla probabilidad" sheetId="12" state="hidden" r:id="rId24"/>
    <sheet name="Tabla Impacto" sheetId="13" state="hidden" r:id="rId25"/>
    <sheet name="Tabla Valoración controles" sheetId="15" state="hidden" r:id="rId26"/>
    <sheet name="Opciones Tratamiento" sheetId="16" state="hidden" r:id="rId27"/>
    <sheet name="ListasRSec" sheetId="51" state="hidden" r:id="rId28"/>
    <sheet name="Listas" sheetId="39" state="hidden" r:id="rId29"/>
  </sheets>
  <externalReferences>
    <externalReference r:id="rId30"/>
    <externalReference r:id="rId31"/>
    <externalReference r:id="rId32"/>
    <externalReference r:id="rId33"/>
    <externalReference r:id="rId34"/>
  </externalReferences>
  <definedNames>
    <definedName name="_xlnm._FilterDatabase" localSheetId="4" hidden="1">'R. Corrupción'!$A$6:$BG$102</definedName>
    <definedName name="_xlnm._FilterDatabase" localSheetId="2" hidden="1">'R. Gestión '!$A$6:$BZ$292</definedName>
    <definedName name="_rc">ListasRSec!$G$216:$G$233</definedName>
    <definedName name="amenazas">ListasRSec!$B$55:$B$89</definedName>
    <definedName name="_xlnm.Print_Area" localSheetId="4">'R. Corrupción'!$A$1:$CX$102</definedName>
    <definedName name="_xlnm.Print_Area" localSheetId="2">'R. Gestión '!$A$1:$AO$268</definedName>
    <definedName name="bd">ListasRSec!$G$239:$G$252</definedName>
    <definedName name="CANAL_DE_DISTRIBUCION">[1]DATOS!$C$16:$C$27</definedName>
    <definedName name="CAUSAS">[2]CAUSAS!$C$6:$O$11</definedName>
    <definedName name="ClasificacionRSEG">ListasRSec!$F$15:$F$22</definedName>
    <definedName name="CLAVECAUSA">[2]CAUSAS!$C$12:$O$12</definedName>
    <definedName name="CLAVECONTROL">'[2]NO BORRAR'!$B$41:$B$57</definedName>
    <definedName name="CLAVEPOLITICA">'[2]NO BORRAR'!$B$3:$B$17</definedName>
    <definedName name="CLAVEPROCEDIMIENTO">'[2]NO BORRAR'!$B$22:$B$38</definedName>
    <definedName name="CONTROL">'[2]NO BORRAR'!$C$41:$C$53</definedName>
    <definedName name="di">ListasRSec!$G$193:$G$210</definedName>
    <definedName name="ea">ListasRSec!$G$147:$G$154</definedName>
    <definedName name="FACTOR">[1]DATOS!$A$16:$E$16</definedName>
    <definedName name="hw" localSheetId="27">ListasRSec!$G$78:$G$92</definedName>
    <definedName name="hw">ListasRSec!$G$78:$G$92</definedName>
    <definedName name="ip">ListasRSec!$G$170:$G$183</definedName>
    <definedName name="nada" localSheetId="27">ListasRSec!$C$268:$C$273</definedName>
    <definedName name="OPERACIÓN">[1]DATOS!$E$16:$E$27</definedName>
    <definedName name="POLITICA">'[2]NO BORRAR'!$C$3:$C$17</definedName>
    <definedName name="PROCESOS">[1]DATOS!$A$4:$A$7</definedName>
    <definedName name="ProcesosSEG">ListasRSec!$B$35:$B$52</definedName>
    <definedName name="PRODUCTO">[1]DATOS!$D$16:$D$27</definedName>
    <definedName name="RESPUESTA">'[2]NO BORRAR'!$G$1:$G$5</definedName>
    <definedName name="sa">ListasRSec!$G$124:$G$134</definedName>
    <definedName name="si">ListasRSec!$G$101:$G$115</definedName>
    <definedName name="SI_NO">'[3]NO BORRAR'!$F$1:$F$2</definedName>
    <definedName name="sw">ListasRSec!$G$55:$G$72</definedName>
    <definedName name="Tipo_Activo">ListasRSec!$F$36:$F$45</definedName>
    <definedName name="Tipo_riesgoseg">ListasRSec!$F$10:$F$12</definedName>
    <definedName name="TIPOACCION">'[2]NO BORRAR'!$I$1:$I$9</definedName>
    <definedName name="TRATAMIENTO_RIESGO">'[3]NO BORRAR'!$G$1:$G$5</definedName>
  </definedNames>
  <calcPr calcId="152511"/>
  <pivotCaches>
    <pivotCache cacheId="6" r:id="rId3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20" i="1" l="1"/>
  <c r="V220" i="1"/>
  <c r="Y219" i="1"/>
  <c r="V219" i="1"/>
  <c r="Y218" i="1"/>
  <c r="V218" i="1"/>
  <c r="Y217" i="1"/>
  <c r="V217" i="1"/>
  <c r="Y216" i="1"/>
  <c r="V216" i="1"/>
  <c r="Y215" i="1"/>
  <c r="V215" i="1"/>
  <c r="L215" i="1"/>
  <c r="O220" i="1"/>
  <c r="O217" i="1"/>
  <c r="O216" i="1"/>
  <c r="O219" i="1"/>
  <c r="O218" i="1"/>
  <c r="AG216" i="1" l="1"/>
  <c r="AF216" i="1" s="1"/>
  <c r="AG217" i="1"/>
  <c r="AF217" i="1" s="1"/>
  <c r="AG219" i="1"/>
  <c r="AF219" i="1" s="1"/>
  <c r="AG218" i="1"/>
  <c r="AF218" i="1" s="1"/>
  <c r="AG220" i="1"/>
  <c r="AF220" i="1" s="1"/>
  <c r="AC218" i="1"/>
  <c r="AE218" i="1" s="1"/>
  <c r="AC219" i="1"/>
  <c r="M215" i="1"/>
  <c r="AC215" i="1" s="1"/>
  <c r="AC216" i="1"/>
  <c r="AC220" i="1"/>
  <c r="AC217" i="1"/>
  <c r="AD218" i="1" l="1"/>
  <c r="AH218" i="1" s="1"/>
  <c r="AE215" i="1"/>
  <c r="AD215" i="1"/>
  <c r="AD216" i="1"/>
  <c r="AH216" i="1" s="1"/>
  <c r="AE216" i="1"/>
  <c r="AD220" i="1"/>
  <c r="AH220" i="1" s="1"/>
  <c r="AE220" i="1"/>
  <c r="AE217" i="1"/>
  <c r="AD217" i="1"/>
  <c r="AH217" i="1" s="1"/>
  <c r="AE219" i="1"/>
  <c r="AD219" i="1"/>
  <c r="AH219" i="1" s="1"/>
  <c r="Y60" i="1" l="1"/>
  <c r="V60" i="1"/>
  <c r="Y59" i="1"/>
  <c r="V59" i="1"/>
  <c r="Y58" i="1"/>
  <c r="V58" i="1"/>
  <c r="Y57" i="1"/>
  <c r="V57" i="1"/>
  <c r="Y56" i="1"/>
  <c r="V56" i="1"/>
  <c r="Y55" i="1"/>
  <c r="V55" i="1"/>
  <c r="L55" i="1"/>
  <c r="O59" i="1"/>
  <c r="O57" i="1"/>
  <c r="O58" i="1"/>
  <c r="O60" i="1"/>
  <c r="O56" i="1"/>
  <c r="AC59" i="1" l="1"/>
  <c r="AE59" i="1" s="1"/>
  <c r="AC58" i="1"/>
  <c r="AE58" i="1" s="1"/>
  <c r="AG60" i="1"/>
  <c r="AF60" i="1" s="1"/>
  <c r="AG59" i="1"/>
  <c r="AF59" i="1" s="1"/>
  <c r="AG58" i="1"/>
  <c r="AF58" i="1" s="1"/>
  <c r="M55" i="1"/>
  <c r="AC55" i="1" s="1"/>
  <c r="AC60" i="1"/>
  <c r="Y54" i="1"/>
  <c r="V54" i="1"/>
  <c r="Y53" i="1"/>
  <c r="V53" i="1"/>
  <c r="Y52" i="1"/>
  <c r="V52" i="1"/>
  <c r="Y51" i="1"/>
  <c r="V51" i="1"/>
  <c r="Y50" i="1"/>
  <c r="V50" i="1"/>
  <c r="Y49" i="1"/>
  <c r="V49" i="1"/>
  <c r="L49" i="1"/>
  <c r="O53" i="1"/>
  <c r="O51" i="1"/>
  <c r="O52" i="1"/>
  <c r="O50" i="1"/>
  <c r="O54" i="1"/>
  <c r="AD58" i="1" l="1"/>
  <c r="AH58" i="1" s="1"/>
  <c r="AD59" i="1"/>
  <c r="AH59" i="1" s="1"/>
  <c r="AC52" i="1"/>
  <c r="AE52" i="1" s="1"/>
  <c r="AG54" i="1"/>
  <c r="AF54" i="1" s="1"/>
  <c r="AD60" i="1"/>
  <c r="AH60" i="1" s="1"/>
  <c r="AE60" i="1"/>
  <c r="AE55" i="1"/>
  <c r="AC56" i="1" s="1"/>
  <c r="AD56" i="1" s="1"/>
  <c r="AD55" i="1"/>
  <c r="AG51" i="1"/>
  <c r="AF51" i="1" s="1"/>
  <c r="AG53" i="1"/>
  <c r="AF53" i="1" s="1"/>
  <c r="AG50" i="1"/>
  <c r="AF50" i="1" s="1"/>
  <c r="AC53" i="1"/>
  <c r="AE53" i="1" s="1"/>
  <c r="AG52" i="1"/>
  <c r="AF52" i="1" s="1"/>
  <c r="M49" i="1"/>
  <c r="AC49" i="1" s="1"/>
  <c r="AC50" i="1"/>
  <c r="AC54" i="1"/>
  <c r="AC51" i="1"/>
  <c r="AD52" i="1" l="1"/>
  <c r="AH52" i="1" s="1"/>
  <c r="AE56" i="1"/>
  <c r="AC57" i="1" s="1"/>
  <c r="AE57" i="1" s="1"/>
  <c r="AD53" i="1"/>
  <c r="AH53" i="1" s="1"/>
  <c r="AE49" i="1"/>
  <c r="AD49" i="1"/>
  <c r="AD50" i="1"/>
  <c r="AH50" i="1" s="1"/>
  <c r="AE50" i="1"/>
  <c r="AD54" i="1"/>
  <c r="AH54" i="1" s="1"/>
  <c r="AE54" i="1"/>
  <c r="AD51" i="1"/>
  <c r="AH51" i="1" s="1"/>
  <c r="AE51" i="1"/>
  <c r="AD57" i="1" l="1"/>
  <c r="Y36" i="1" l="1"/>
  <c r="V36" i="1"/>
  <c r="Y35" i="1"/>
  <c r="V35" i="1"/>
  <c r="Y34" i="1"/>
  <c r="V34" i="1"/>
  <c r="Y33" i="1"/>
  <c r="V33" i="1"/>
  <c r="Y32" i="1"/>
  <c r="V32" i="1"/>
  <c r="Y31" i="1"/>
  <c r="V31" i="1"/>
  <c r="L31" i="1"/>
  <c r="O35" i="1"/>
  <c r="O34" i="1"/>
  <c r="O36" i="1"/>
  <c r="O33" i="1"/>
  <c r="O32" i="1"/>
  <c r="AC34" i="1" l="1"/>
  <c r="AE34" i="1" s="1"/>
  <c r="AG36" i="1"/>
  <c r="AF36" i="1" s="1"/>
  <c r="AG35" i="1"/>
  <c r="AF35" i="1" s="1"/>
  <c r="AG34" i="1"/>
  <c r="AF34" i="1" s="1"/>
  <c r="AC35" i="1"/>
  <c r="M31" i="1"/>
  <c r="AC31" i="1" s="1"/>
  <c r="AC36" i="1"/>
  <c r="AD34" i="1" l="1"/>
  <c r="AH34" i="1" s="1"/>
  <c r="AE31" i="1"/>
  <c r="AD31" i="1"/>
  <c r="AD36" i="1"/>
  <c r="AH36" i="1" s="1"/>
  <c r="AE36" i="1"/>
  <c r="AE35" i="1"/>
  <c r="AD35" i="1"/>
  <c r="AH35" i="1" s="1"/>
  <c r="AC32" i="1" l="1"/>
  <c r="AC33" i="1"/>
  <c r="AE33" i="1" l="1"/>
  <c r="AD33" i="1"/>
  <c r="AD32" i="1"/>
  <c r="AE32" i="1"/>
  <c r="C29" i="67" l="1"/>
  <c r="Y30" i="1" l="1"/>
  <c r="V30" i="1"/>
  <c r="Y29" i="1"/>
  <c r="V29" i="1"/>
  <c r="Y28" i="1"/>
  <c r="Y27" i="1"/>
  <c r="Y26" i="1"/>
  <c r="V26" i="1"/>
  <c r="Y25" i="1"/>
  <c r="V25" i="1"/>
  <c r="L25" i="1"/>
  <c r="O26" i="1"/>
  <c r="O30" i="1"/>
  <c r="O28" i="1"/>
  <c r="O29" i="1"/>
  <c r="O27" i="1"/>
  <c r="AG30" i="1" l="1"/>
  <c r="AF30" i="1" s="1"/>
  <c r="AG29" i="1"/>
  <c r="AF29" i="1" s="1"/>
  <c r="AC29" i="1"/>
  <c r="AE29" i="1" s="1"/>
  <c r="M25" i="1"/>
  <c r="AC25" i="1" s="1"/>
  <c r="AC30" i="1"/>
  <c r="C29" i="66"/>
  <c r="AD29" i="1" l="1"/>
  <c r="AH29" i="1" s="1"/>
  <c r="AD30" i="1"/>
  <c r="AH30" i="1" s="1"/>
  <c r="AE30" i="1"/>
  <c r="AE25" i="1"/>
  <c r="AC26" i="1" s="1"/>
  <c r="AD25" i="1"/>
  <c r="X18" i="52"/>
  <c r="U18" i="52"/>
  <c r="X17" i="52"/>
  <c r="U17" i="52"/>
  <c r="X16" i="52"/>
  <c r="U16" i="52"/>
  <c r="X15" i="52"/>
  <c r="U15" i="52"/>
  <c r="X13" i="52"/>
  <c r="U13" i="52"/>
  <c r="N13" i="52"/>
  <c r="O13" i="52" s="1"/>
  <c r="K13" i="52"/>
  <c r="AF16" i="52" l="1"/>
  <c r="AE16" i="52" s="1"/>
  <c r="AF18" i="52"/>
  <c r="AE18" i="52" s="1"/>
  <c r="AD26" i="1"/>
  <c r="AE26" i="1"/>
  <c r="AC27" i="1" s="1"/>
  <c r="P13" i="52"/>
  <c r="L13" i="52"/>
  <c r="AB13" i="52" s="1"/>
  <c r="AF15" i="52"/>
  <c r="AE15" i="52" s="1"/>
  <c r="AF17" i="52"/>
  <c r="AE17" i="52" s="1"/>
  <c r="AF13" i="52"/>
  <c r="AE13" i="52" s="1"/>
  <c r="AB15" i="52"/>
  <c r="AB16" i="52"/>
  <c r="AB17" i="52"/>
  <c r="AB18" i="52"/>
  <c r="Y18" i="1"/>
  <c r="V18" i="1"/>
  <c r="Y17" i="1"/>
  <c r="V17" i="1"/>
  <c r="Y16" i="1"/>
  <c r="V16" i="1"/>
  <c r="Y13" i="1"/>
  <c r="V13" i="1"/>
  <c r="L13" i="1"/>
  <c r="O18" i="1"/>
  <c r="O16" i="1"/>
  <c r="O14" i="1"/>
  <c r="O17" i="1"/>
  <c r="O15" i="1"/>
  <c r="AC16" i="1" l="1"/>
  <c r="AE16" i="1" s="1"/>
  <c r="AG17" i="1"/>
  <c r="AF17" i="1" s="1"/>
  <c r="AC17" i="1"/>
  <c r="AE17" i="1" s="1"/>
  <c r="AG16" i="1"/>
  <c r="AF16" i="1" s="1"/>
  <c r="AG18" i="1"/>
  <c r="AF18" i="1" s="1"/>
  <c r="AE27" i="1"/>
  <c r="AC28" i="1" s="1"/>
  <c r="AD27" i="1"/>
  <c r="AC18" i="52"/>
  <c r="AG18" i="52" s="1"/>
  <c r="AD18" i="52"/>
  <c r="AC17" i="52"/>
  <c r="AG17" i="52" s="1"/>
  <c r="AD17" i="52"/>
  <c r="AC16" i="52"/>
  <c r="AG16" i="52" s="1"/>
  <c r="AD16" i="52"/>
  <c r="AC13" i="52"/>
  <c r="AG13" i="52" s="1"/>
  <c r="AD13" i="52"/>
  <c r="AC15" i="52"/>
  <c r="AG15" i="52" s="1"/>
  <c r="AD15" i="52"/>
  <c r="M13" i="1"/>
  <c r="AC13" i="1" s="1"/>
  <c r="AC18" i="1"/>
  <c r="AD16" i="1" l="1"/>
  <c r="AH16" i="1" s="1"/>
  <c r="AD17" i="1"/>
  <c r="AH17" i="1" s="1"/>
  <c r="AE28" i="1"/>
  <c r="AD28" i="1"/>
  <c r="AE13" i="1"/>
  <c r="AD13" i="1"/>
  <c r="AD18" i="1"/>
  <c r="AH18" i="1" s="1"/>
  <c r="AE18" i="1"/>
  <c r="C29" i="65" l="1"/>
  <c r="C29" i="64" l="1"/>
  <c r="V44" i="1" l="1"/>
  <c r="V45" i="1"/>
  <c r="V46" i="1"/>
  <c r="V47" i="1"/>
  <c r="V48" i="1"/>
  <c r="V43" i="1"/>
  <c r="C29" i="63" l="1"/>
  <c r="Y48" i="1"/>
  <c r="Y47" i="1"/>
  <c r="AG48" i="1"/>
  <c r="AF48" i="1" s="1"/>
  <c r="Y46" i="1"/>
  <c r="AG47" i="1"/>
  <c r="AF47" i="1" s="1"/>
  <c r="Y45" i="1"/>
  <c r="Y44" i="1"/>
  <c r="Y43" i="1"/>
  <c r="L43" i="1"/>
  <c r="M43" i="1" s="1"/>
  <c r="O48" i="1"/>
  <c r="O44" i="1"/>
  <c r="O46" i="1"/>
  <c r="O45" i="1"/>
  <c r="O47" i="1"/>
  <c r="AC43" i="1" l="1"/>
  <c r="AC47" i="1"/>
  <c r="AC48" i="1"/>
  <c r="AE48" i="1" l="1"/>
  <c r="AD48" i="1"/>
  <c r="AH48" i="1" s="1"/>
  <c r="AD47" i="1"/>
  <c r="AH47" i="1" s="1"/>
  <c r="AE47" i="1"/>
  <c r="AD43" i="1"/>
  <c r="AE43" i="1"/>
  <c r="AC44" i="1" s="1"/>
  <c r="AD44" i="1" l="1"/>
  <c r="AE44" i="1"/>
  <c r="AC45" i="1" l="1"/>
  <c r="AC46" i="1"/>
  <c r="AE46" i="1" l="1"/>
  <c r="AD46" i="1"/>
  <c r="AE45" i="1"/>
  <c r="AD45" i="1"/>
  <c r="C29" i="62" l="1"/>
  <c r="Y292" i="1" l="1"/>
  <c r="V292" i="1"/>
  <c r="Y291" i="1"/>
  <c r="V291" i="1"/>
  <c r="Y290" i="1"/>
  <c r="V290" i="1"/>
  <c r="Y289" i="1"/>
  <c r="V289" i="1"/>
  <c r="AG290" i="1" s="1"/>
  <c r="AF290" i="1" s="1"/>
  <c r="Y288" i="1"/>
  <c r="V288" i="1"/>
  <c r="Y287" i="1"/>
  <c r="V287" i="1"/>
  <c r="AG288" i="1" s="1"/>
  <c r="AF288" i="1" s="1"/>
  <c r="L287" i="1"/>
  <c r="O292" i="1"/>
  <c r="O290" i="1"/>
  <c r="O288" i="1"/>
  <c r="O291" i="1"/>
  <c r="O289" i="1"/>
  <c r="AG291" i="1" l="1"/>
  <c r="AF291" i="1" s="1"/>
  <c r="AC291" i="1"/>
  <c r="AE291" i="1" s="1"/>
  <c r="AC290" i="1"/>
  <c r="AE290" i="1" s="1"/>
  <c r="AG289" i="1"/>
  <c r="AF289" i="1" s="1"/>
  <c r="AG292" i="1"/>
  <c r="AF292" i="1" s="1"/>
  <c r="M287" i="1"/>
  <c r="AC287" i="1" s="1"/>
  <c r="AC288" i="1"/>
  <c r="AC292" i="1"/>
  <c r="AC289" i="1"/>
  <c r="N97" i="52"/>
  <c r="N91" i="52"/>
  <c r="N85" i="52"/>
  <c r="N61" i="52"/>
  <c r="N7" i="52"/>
  <c r="O7" i="52" s="1"/>
  <c r="N55" i="52"/>
  <c r="N49" i="52"/>
  <c r="AD291" i="1" l="1"/>
  <c r="AH291" i="1" s="1"/>
  <c r="AD290" i="1"/>
  <c r="AH290" i="1" s="1"/>
  <c r="AE287" i="1"/>
  <c r="AD287" i="1"/>
  <c r="AD288" i="1"/>
  <c r="AH288" i="1" s="1"/>
  <c r="AE288" i="1"/>
  <c r="AD292" i="1"/>
  <c r="AH292" i="1" s="1"/>
  <c r="AE292" i="1"/>
  <c r="AE289" i="1"/>
  <c r="AD289" i="1"/>
  <c r="AH289" i="1" s="1"/>
  <c r="C29" i="61"/>
  <c r="C29" i="60" l="1"/>
  <c r="C29" i="59" l="1"/>
  <c r="C29" i="57" l="1"/>
  <c r="C29" i="58" l="1"/>
  <c r="C29" i="55" l="1"/>
  <c r="C29" i="54" l="1"/>
  <c r="C29" i="53"/>
  <c r="Y233" i="1" l="1"/>
  <c r="Y268" i="1" l="1"/>
  <c r="V268" i="1"/>
  <c r="Y267" i="1"/>
  <c r="V267" i="1"/>
  <c r="Y266" i="1"/>
  <c r="V266" i="1"/>
  <c r="Y265" i="1"/>
  <c r="V265" i="1"/>
  <c r="Y264" i="1"/>
  <c r="V264" i="1"/>
  <c r="Y263" i="1"/>
  <c r="V263" i="1"/>
  <c r="L263" i="1"/>
  <c r="Y274" i="1"/>
  <c r="V274" i="1"/>
  <c r="Y273" i="1"/>
  <c r="V273" i="1"/>
  <c r="Y272" i="1"/>
  <c r="V272" i="1"/>
  <c r="Y271" i="1"/>
  <c r="V271" i="1"/>
  <c r="AG271" i="1" s="1"/>
  <c r="Y270" i="1"/>
  <c r="Y269" i="1"/>
  <c r="V269" i="1"/>
  <c r="L269" i="1"/>
  <c r="Y280" i="1"/>
  <c r="V280" i="1"/>
  <c r="Y279" i="1"/>
  <c r="V279" i="1"/>
  <c r="Y278" i="1"/>
  <c r="V278" i="1"/>
  <c r="Y277" i="1"/>
  <c r="V277" i="1"/>
  <c r="Y276" i="1"/>
  <c r="V276" i="1"/>
  <c r="Y275" i="1"/>
  <c r="V275" i="1"/>
  <c r="L275" i="1"/>
  <c r="Y250" i="1"/>
  <c r="V250" i="1"/>
  <c r="Y249" i="1"/>
  <c r="V249" i="1"/>
  <c r="Y248" i="1"/>
  <c r="V248" i="1"/>
  <c r="Y247" i="1"/>
  <c r="V247" i="1"/>
  <c r="Y246" i="1"/>
  <c r="V246" i="1"/>
  <c r="Y245" i="1"/>
  <c r="V245" i="1"/>
  <c r="L245" i="1"/>
  <c r="Y256" i="1"/>
  <c r="V256" i="1"/>
  <c r="Y255" i="1"/>
  <c r="V255" i="1"/>
  <c r="Y254" i="1"/>
  <c r="V254" i="1"/>
  <c r="Y253" i="1"/>
  <c r="V253" i="1"/>
  <c r="Y252" i="1"/>
  <c r="V252" i="1"/>
  <c r="Y251" i="1"/>
  <c r="V251" i="1"/>
  <c r="L251" i="1"/>
  <c r="Y208" i="1"/>
  <c r="V208" i="1"/>
  <c r="Y207" i="1"/>
  <c r="V207" i="1"/>
  <c r="Y206" i="1"/>
  <c r="V206" i="1"/>
  <c r="Y205" i="1"/>
  <c r="V205" i="1"/>
  <c r="Y204" i="1"/>
  <c r="V204" i="1"/>
  <c r="Y203" i="1"/>
  <c r="V203" i="1"/>
  <c r="L203" i="1"/>
  <c r="Y214" i="1"/>
  <c r="V214" i="1"/>
  <c r="Y213" i="1"/>
  <c r="V213" i="1"/>
  <c r="Y212" i="1"/>
  <c r="V212" i="1"/>
  <c r="Y211" i="1"/>
  <c r="V211" i="1"/>
  <c r="Y210" i="1"/>
  <c r="V210" i="1"/>
  <c r="Y209" i="1"/>
  <c r="V209" i="1"/>
  <c r="L209" i="1"/>
  <c r="X54" i="52"/>
  <c r="U54" i="52"/>
  <c r="X53" i="52"/>
  <c r="U53" i="52"/>
  <c r="X52" i="52"/>
  <c r="U52" i="52"/>
  <c r="X51" i="52"/>
  <c r="U51" i="52"/>
  <c r="X50" i="52"/>
  <c r="U50" i="52"/>
  <c r="X49" i="52"/>
  <c r="U49" i="52"/>
  <c r="O49" i="52"/>
  <c r="K49" i="52"/>
  <c r="X60" i="52"/>
  <c r="U60" i="52"/>
  <c r="X59" i="52"/>
  <c r="U59" i="52"/>
  <c r="X58" i="52"/>
  <c r="U58" i="52"/>
  <c r="X57" i="52"/>
  <c r="U57" i="52"/>
  <c r="X56" i="52"/>
  <c r="U56" i="52"/>
  <c r="X55" i="52"/>
  <c r="U55" i="52"/>
  <c r="O55" i="52"/>
  <c r="K55" i="52"/>
  <c r="Y196" i="1"/>
  <c r="V196" i="1"/>
  <c r="Y195" i="1"/>
  <c r="V195" i="1"/>
  <c r="Y194" i="1"/>
  <c r="V194" i="1"/>
  <c r="Y193" i="1"/>
  <c r="V193" i="1"/>
  <c r="Y192" i="1"/>
  <c r="V192" i="1"/>
  <c r="Y191" i="1"/>
  <c r="V191" i="1"/>
  <c r="L191" i="1"/>
  <c r="Y202" i="1"/>
  <c r="V202" i="1"/>
  <c r="Y201" i="1"/>
  <c r="V201" i="1"/>
  <c r="Y200" i="1"/>
  <c r="V200" i="1"/>
  <c r="Y199" i="1"/>
  <c r="V199" i="1"/>
  <c r="Y198" i="1"/>
  <c r="V198" i="1"/>
  <c r="Y197" i="1"/>
  <c r="V197" i="1"/>
  <c r="L197" i="1"/>
  <c r="O274" i="1"/>
  <c r="O213" i="1"/>
  <c r="O270" i="1"/>
  <c r="O253" i="1"/>
  <c r="O201" i="1"/>
  <c r="O205" i="1"/>
  <c r="O276" i="1"/>
  <c r="O255" i="1"/>
  <c r="O268" i="1"/>
  <c r="O199" i="1"/>
  <c r="O267" i="1"/>
  <c r="O272" i="1"/>
  <c r="O254" i="1"/>
  <c r="O265" i="1"/>
  <c r="O207" i="1"/>
  <c r="O202" i="1"/>
  <c r="O250" i="1"/>
  <c r="O212" i="1"/>
  <c r="O249" i="1"/>
  <c r="O196" i="1"/>
  <c r="O210" i="1"/>
  <c r="O247" i="1"/>
  <c r="O214" i="1"/>
  <c r="O211" i="1"/>
  <c r="O246" i="1"/>
  <c r="O264" i="1"/>
  <c r="O277" i="1"/>
  <c r="O248" i="1"/>
  <c r="O194" i="1"/>
  <c r="O256" i="1"/>
  <c r="O198" i="1"/>
  <c r="O271" i="1"/>
  <c r="O195" i="1"/>
  <c r="O273" i="1"/>
  <c r="O200" i="1"/>
  <c r="O252" i="1"/>
  <c r="O204" i="1"/>
  <c r="O266" i="1"/>
  <c r="O206" i="1"/>
  <c r="O278" i="1"/>
  <c r="O193" i="1"/>
  <c r="O208" i="1"/>
  <c r="O280" i="1"/>
  <c r="O279" i="1"/>
  <c r="O192" i="1"/>
  <c r="AF57" i="52" l="1"/>
  <c r="AF59" i="52"/>
  <c r="AE59" i="52" s="1"/>
  <c r="AF54" i="52"/>
  <c r="AG194" i="1"/>
  <c r="AF194" i="1" s="1"/>
  <c r="AG196" i="1"/>
  <c r="AF196" i="1" s="1"/>
  <c r="AG205" i="1"/>
  <c r="AF205" i="1" s="1"/>
  <c r="AG207" i="1"/>
  <c r="AF207" i="1" s="1"/>
  <c r="AG250" i="1"/>
  <c r="AF250" i="1" s="1"/>
  <c r="AG273" i="1"/>
  <c r="AF273" i="1" s="1"/>
  <c r="AG210" i="1"/>
  <c r="AG212" i="1"/>
  <c r="AF212" i="1" s="1"/>
  <c r="AG214" i="1"/>
  <c r="AF214" i="1" s="1"/>
  <c r="AG253" i="1"/>
  <c r="AF253" i="1" s="1"/>
  <c r="AG199" i="1"/>
  <c r="AF199" i="1" s="1"/>
  <c r="AG201" i="1"/>
  <c r="AF201" i="1" s="1"/>
  <c r="AG255" i="1"/>
  <c r="AF255" i="1" s="1"/>
  <c r="AG213" i="1"/>
  <c r="AF213" i="1" s="1"/>
  <c r="AG254" i="1"/>
  <c r="AF254" i="1" s="1"/>
  <c r="AG256" i="1"/>
  <c r="AF256" i="1" s="1"/>
  <c r="AG211" i="1"/>
  <c r="AF211" i="1" s="1"/>
  <c r="AG268" i="1"/>
  <c r="AF268" i="1" s="1"/>
  <c r="AG193" i="1"/>
  <c r="AF193" i="1" s="1"/>
  <c r="AG195" i="1"/>
  <c r="AF195" i="1" s="1"/>
  <c r="AG206" i="1"/>
  <c r="AF206" i="1" s="1"/>
  <c r="AG208" i="1"/>
  <c r="AF208" i="1" s="1"/>
  <c r="AG249" i="1"/>
  <c r="AF249" i="1" s="1"/>
  <c r="AG272" i="1"/>
  <c r="AF272" i="1" s="1"/>
  <c r="AG274" i="1"/>
  <c r="AF274" i="1" s="1"/>
  <c r="AG198" i="1"/>
  <c r="AF198" i="1" s="1"/>
  <c r="AG200" i="1"/>
  <c r="AF200" i="1" s="1"/>
  <c r="AG202" i="1"/>
  <c r="AF202" i="1" s="1"/>
  <c r="AF55" i="52"/>
  <c r="AE55" i="52" s="1"/>
  <c r="AF56" i="52"/>
  <c r="AE56" i="52" s="1"/>
  <c r="AF58" i="52"/>
  <c r="AE58" i="52" s="1"/>
  <c r="AF60" i="52"/>
  <c r="AE60" i="52" s="1"/>
  <c r="AF53" i="52"/>
  <c r="AE53" i="52" s="1"/>
  <c r="AF49" i="52"/>
  <c r="AF50" i="52" s="1"/>
  <c r="AF51" i="52" s="1"/>
  <c r="AF52" i="52" s="1"/>
  <c r="AE57" i="52"/>
  <c r="AE54" i="52"/>
  <c r="P55" i="52"/>
  <c r="AF210" i="1"/>
  <c r="AG278" i="1"/>
  <c r="AF278" i="1" s="1"/>
  <c r="AG280" i="1"/>
  <c r="AF280" i="1" s="1"/>
  <c r="AF271" i="1"/>
  <c r="AC273" i="1"/>
  <c r="AE273" i="1" s="1"/>
  <c r="AC277" i="1"/>
  <c r="AE277" i="1" s="1"/>
  <c r="AG277" i="1"/>
  <c r="AF277" i="1" s="1"/>
  <c r="M263" i="1"/>
  <c r="AC263" i="1" s="1"/>
  <c r="AC268" i="1"/>
  <c r="AG279" i="1"/>
  <c r="AF279" i="1" s="1"/>
  <c r="AC272" i="1"/>
  <c r="AE272" i="1" s="1"/>
  <c r="M269" i="1"/>
  <c r="AC269" i="1" s="1"/>
  <c r="AE269" i="1" s="1"/>
  <c r="AC270" i="1" s="1"/>
  <c r="AE270" i="1" s="1"/>
  <c r="AC274" i="1"/>
  <c r="AC271" i="1"/>
  <c r="AC278" i="1"/>
  <c r="AC279" i="1"/>
  <c r="M275" i="1"/>
  <c r="AC275" i="1" s="1"/>
  <c r="AC280" i="1"/>
  <c r="AC249" i="1"/>
  <c r="AE249" i="1" s="1"/>
  <c r="AC207" i="1"/>
  <c r="AE207" i="1" s="1"/>
  <c r="AC206" i="1"/>
  <c r="AE206" i="1" s="1"/>
  <c r="AC255" i="1"/>
  <c r="AE255" i="1" s="1"/>
  <c r="M245" i="1"/>
  <c r="AC245" i="1" s="1"/>
  <c r="AE245" i="1" s="1"/>
  <c r="AC246" i="1" s="1"/>
  <c r="AC250" i="1"/>
  <c r="AC212" i="1"/>
  <c r="AE212" i="1" s="1"/>
  <c r="AC213" i="1"/>
  <c r="AE213" i="1" s="1"/>
  <c r="AC254" i="1"/>
  <c r="M251" i="1"/>
  <c r="AC251" i="1" s="1"/>
  <c r="AE251" i="1" s="1"/>
  <c r="AC252" i="1" s="1"/>
  <c r="AC256" i="1"/>
  <c r="AC253" i="1"/>
  <c r="L55" i="52"/>
  <c r="AB55" i="52" s="1"/>
  <c r="AC194" i="1"/>
  <c r="AE194" i="1" s="1"/>
  <c r="M203" i="1"/>
  <c r="AC203" i="1" s="1"/>
  <c r="AE203" i="1" s="1"/>
  <c r="AC204" i="1" s="1"/>
  <c r="AC208" i="1"/>
  <c r="AC205" i="1"/>
  <c r="M209" i="1"/>
  <c r="AC209" i="1" s="1"/>
  <c r="AE209" i="1" s="1"/>
  <c r="AC210" i="1"/>
  <c r="AC214" i="1"/>
  <c r="AC211" i="1"/>
  <c r="AC195" i="1"/>
  <c r="AE195" i="1" s="1"/>
  <c r="AC201" i="1"/>
  <c r="AE201" i="1" s="1"/>
  <c r="P49" i="52"/>
  <c r="L49" i="52"/>
  <c r="AB49" i="52" s="1"/>
  <c r="AB53" i="52"/>
  <c r="AB54" i="52"/>
  <c r="AB56" i="52"/>
  <c r="AB57" i="52"/>
  <c r="AB58" i="52"/>
  <c r="AB59" i="52"/>
  <c r="AB60" i="52"/>
  <c r="AC200" i="1"/>
  <c r="AE200" i="1" s="1"/>
  <c r="M191" i="1"/>
  <c r="AC191" i="1" s="1"/>
  <c r="AC196" i="1"/>
  <c r="AC193" i="1"/>
  <c r="M197" i="1"/>
  <c r="AC197" i="1" s="1"/>
  <c r="AE197" i="1" s="1"/>
  <c r="AC198" i="1"/>
  <c r="AC202" i="1"/>
  <c r="AC199" i="1"/>
  <c r="AD212" i="1" l="1"/>
  <c r="AH212" i="1" s="1"/>
  <c r="AD277" i="1"/>
  <c r="AH277" i="1" s="1"/>
  <c r="AD273" i="1"/>
  <c r="AH273" i="1" s="1"/>
  <c r="AE263" i="1"/>
  <c r="AC264" i="1" s="1"/>
  <c r="AE264" i="1" s="1"/>
  <c r="AC265" i="1" s="1"/>
  <c r="AE265" i="1" s="1"/>
  <c r="AC266" i="1" s="1"/>
  <c r="AD266" i="1" s="1"/>
  <c r="AD263" i="1"/>
  <c r="AD269" i="1"/>
  <c r="AD201" i="1"/>
  <c r="AH201" i="1" s="1"/>
  <c r="AD268" i="1"/>
  <c r="AH268" i="1" s="1"/>
  <c r="AE268" i="1"/>
  <c r="AD194" i="1"/>
  <c r="AH194" i="1" s="1"/>
  <c r="AD272" i="1"/>
  <c r="AH272" i="1" s="1"/>
  <c r="AD270" i="1"/>
  <c r="AE271" i="1"/>
  <c r="AD271" i="1"/>
  <c r="AH271" i="1" s="1"/>
  <c r="AD274" i="1"/>
  <c r="AH274" i="1" s="1"/>
  <c r="AE274" i="1"/>
  <c r="AD280" i="1"/>
  <c r="AH280" i="1" s="1"/>
  <c r="AE280" i="1"/>
  <c r="AD275" i="1"/>
  <c r="AE275" i="1"/>
  <c r="AC276" i="1" s="1"/>
  <c r="AE276" i="1" s="1"/>
  <c r="AE278" i="1"/>
  <c r="AD278" i="1"/>
  <c r="AH278" i="1" s="1"/>
  <c r="AD207" i="1"/>
  <c r="AH207" i="1" s="1"/>
  <c r="AE279" i="1"/>
  <c r="AD279" i="1"/>
  <c r="AH279" i="1" s="1"/>
  <c r="AD251" i="1"/>
  <c r="AD195" i="1"/>
  <c r="AH195" i="1" s="1"/>
  <c r="AD206" i="1"/>
  <c r="AH206" i="1" s="1"/>
  <c r="AD249" i="1"/>
  <c r="AH249" i="1" s="1"/>
  <c r="AE191" i="1"/>
  <c r="AC192" i="1" s="1"/>
  <c r="AD192" i="1" s="1"/>
  <c r="AD191" i="1"/>
  <c r="AD213" i="1"/>
  <c r="AH213" i="1" s="1"/>
  <c r="AD203" i="1"/>
  <c r="AD255" i="1"/>
  <c r="AH255" i="1" s="1"/>
  <c r="AD245" i="1"/>
  <c r="AD250" i="1"/>
  <c r="AH250" i="1" s="1"/>
  <c r="AE250" i="1"/>
  <c r="AD246" i="1"/>
  <c r="AE246" i="1"/>
  <c r="AC247" i="1" s="1"/>
  <c r="AE247" i="1" s="1"/>
  <c r="AC248" i="1" s="1"/>
  <c r="AE248" i="1" s="1"/>
  <c r="AD252" i="1"/>
  <c r="AE252" i="1"/>
  <c r="AD253" i="1"/>
  <c r="AH253" i="1" s="1"/>
  <c r="AE253" i="1"/>
  <c r="AE254" i="1"/>
  <c r="AD254" i="1"/>
  <c r="AH254" i="1" s="1"/>
  <c r="AD256" i="1"/>
  <c r="AH256" i="1" s="1"/>
  <c r="AE256" i="1"/>
  <c r="AD209" i="1"/>
  <c r="AD204" i="1"/>
  <c r="AE204" i="1"/>
  <c r="AE205" i="1"/>
  <c r="AD205" i="1"/>
  <c r="AH205" i="1" s="1"/>
  <c r="AD208" i="1"/>
  <c r="AH208" i="1" s="1"/>
  <c r="AE208" i="1"/>
  <c r="AE211" i="1"/>
  <c r="AD211" i="1"/>
  <c r="AH211" i="1" s="1"/>
  <c r="AD214" i="1"/>
  <c r="AH214" i="1" s="1"/>
  <c r="AE214" i="1"/>
  <c r="AD210" i="1"/>
  <c r="AH210" i="1" s="1"/>
  <c r="AE210" i="1"/>
  <c r="AD200" i="1"/>
  <c r="AH200" i="1" s="1"/>
  <c r="AD197" i="1"/>
  <c r="AC53" i="52"/>
  <c r="AG53" i="52" s="1"/>
  <c r="AD53" i="52"/>
  <c r="AC54" i="52"/>
  <c r="AG54" i="52" s="1"/>
  <c r="AD54" i="52"/>
  <c r="AC49" i="52"/>
  <c r="AD49" i="52"/>
  <c r="AB50" i="52" s="1"/>
  <c r="AD50" i="52" s="1"/>
  <c r="AB51" i="52" s="1"/>
  <c r="AC57" i="52"/>
  <c r="AG57" i="52" s="1"/>
  <c r="AD57" i="52"/>
  <c r="AC60" i="52"/>
  <c r="AG60" i="52" s="1"/>
  <c r="AD60" i="52"/>
  <c r="AC59" i="52"/>
  <c r="AG59" i="52" s="1"/>
  <c r="AD59" i="52"/>
  <c r="AC56" i="52"/>
  <c r="AG56" i="52" s="1"/>
  <c r="AD56" i="52"/>
  <c r="AC58" i="52"/>
  <c r="AG58" i="52" s="1"/>
  <c r="AD58" i="52"/>
  <c r="AC55" i="52"/>
  <c r="AG55" i="52" s="1"/>
  <c r="AD55" i="52"/>
  <c r="AD196" i="1"/>
  <c r="AH196" i="1" s="1"/>
  <c r="AE196" i="1"/>
  <c r="AD193" i="1"/>
  <c r="AH193" i="1" s="1"/>
  <c r="AE193" i="1"/>
  <c r="AD198" i="1"/>
  <c r="AH198" i="1" s="1"/>
  <c r="AE198" i="1"/>
  <c r="AD202" i="1"/>
  <c r="AH202" i="1" s="1"/>
  <c r="AE202" i="1"/>
  <c r="AD199" i="1"/>
  <c r="AH199" i="1" s="1"/>
  <c r="AE199" i="1"/>
  <c r="AD264" i="1" l="1"/>
  <c r="AD265" i="1"/>
  <c r="AE266" i="1"/>
  <c r="AC267" i="1" s="1"/>
  <c r="AD248" i="1"/>
  <c r="AD276" i="1"/>
  <c r="AD247" i="1"/>
  <c r="AE192" i="1"/>
  <c r="AC51" i="52"/>
  <c r="AD51" i="52"/>
  <c r="AB52" i="52" s="1"/>
  <c r="AC50" i="52"/>
  <c r="AE267" i="1" l="1"/>
  <c r="AD267" i="1"/>
  <c r="AD52" i="52"/>
  <c r="AC52" i="52"/>
  <c r="Y178" i="1" l="1"/>
  <c r="V178" i="1"/>
  <c r="Y177" i="1"/>
  <c r="V177" i="1"/>
  <c r="Y176" i="1"/>
  <c r="V176" i="1"/>
  <c r="Y175" i="1"/>
  <c r="V175" i="1"/>
  <c r="Y174" i="1"/>
  <c r="V174" i="1"/>
  <c r="Y173" i="1"/>
  <c r="V173" i="1"/>
  <c r="L173" i="1"/>
  <c r="Y184" i="1"/>
  <c r="V184" i="1"/>
  <c r="Y183" i="1"/>
  <c r="V183" i="1"/>
  <c r="Y182" i="1"/>
  <c r="V182" i="1"/>
  <c r="Y181" i="1"/>
  <c r="V181" i="1"/>
  <c r="Y180" i="1"/>
  <c r="V180" i="1"/>
  <c r="Y179" i="1"/>
  <c r="V179" i="1"/>
  <c r="L179" i="1"/>
  <c r="Y190" i="1"/>
  <c r="V190" i="1"/>
  <c r="Y189" i="1"/>
  <c r="V189" i="1"/>
  <c r="Y188" i="1"/>
  <c r="V188" i="1"/>
  <c r="Y187" i="1"/>
  <c r="V187" i="1"/>
  <c r="Y186" i="1"/>
  <c r="AG187" i="1"/>
  <c r="Y185" i="1"/>
  <c r="V185" i="1"/>
  <c r="L185" i="1"/>
  <c r="Y160" i="1"/>
  <c r="V160" i="1"/>
  <c r="Y159" i="1"/>
  <c r="V159" i="1"/>
  <c r="Y158" i="1"/>
  <c r="V158" i="1"/>
  <c r="Y157" i="1"/>
  <c r="V157" i="1"/>
  <c r="Y156" i="1"/>
  <c r="V156" i="1"/>
  <c r="Y155" i="1"/>
  <c r="V155" i="1"/>
  <c r="L155" i="1"/>
  <c r="Y166" i="1"/>
  <c r="V166" i="1"/>
  <c r="Y165" i="1"/>
  <c r="V165" i="1"/>
  <c r="Y164" i="1"/>
  <c r="V164" i="1"/>
  <c r="Y163" i="1"/>
  <c r="V163" i="1"/>
  <c r="Y162" i="1"/>
  <c r="V162" i="1"/>
  <c r="Y161" i="1"/>
  <c r="V161" i="1"/>
  <c r="L161" i="1"/>
  <c r="X36" i="52"/>
  <c r="U36" i="52"/>
  <c r="X35" i="52"/>
  <c r="U35" i="52"/>
  <c r="X34" i="52"/>
  <c r="U34" i="52"/>
  <c r="X33" i="52"/>
  <c r="U33" i="52"/>
  <c r="X32" i="52"/>
  <c r="U32" i="52"/>
  <c r="X31" i="52"/>
  <c r="U31" i="52"/>
  <c r="N31" i="52"/>
  <c r="O31" i="52" s="1"/>
  <c r="K31" i="52"/>
  <c r="X42" i="52"/>
  <c r="U42" i="52"/>
  <c r="X41" i="52"/>
  <c r="U41" i="52"/>
  <c r="X40" i="52"/>
  <c r="U40" i="52"/>
  <c r="X39" i="52"/>
  <c r="U39" i="52"/>
  <c r="X38" i="52"/>
  <c r="U38" i="52"/>
  <c r="X37" i="52"/>
  <c r="U37" i="52"/>
  <c r="N37" i="52"/>
  <c r="O37" i="52" s="1"/>
  <c r="K37" i="52"/>
  <c r="L37" i="52" s="1"/>
  <c r="X48" i="52"/>
  <c r="U48" i="52"/>
  <c r="X47" i="52"/>
  <c r="U47" i="52"/>
  <c r="X46" i="52"/>
  <c r="U46" i="52"/>
  <c r="X45" i="52"/>
  <c r="U45" i="52"/>
  <c r="X44" i="52"/>
  <c r="U44" i="52"/>
  <c r="X43" i="52"/>
  <c r="U43" i="52"/>
  <c r="N43" i="52"/>
  <c r="O43" i="52" s="1"/>
  <c r="K43" i="52"/>
  <c r="Y148" i="1"/>
  <c r="V148" i="1"/>
  <c r="Y147" i="1"/>
  <c r="V147" i="1"/>
  <c r="Y146" i="1"/>
  <c r="V146" i="1"/>
  <c r="Y145" i="1"/>
  <c r="V145" i="1"/>
  <c r="Y143" i="1"/>
  <c r="V143" i="1"/>
  <c r="L143" i="1"/>
  <c r="Y154" i="1"/>
  <c r="V154" i="1"/>
  <c r="Y153" i="1"/>
  <c r="V153" i="1"/>
  <c r="Y152" i="1"/>
  <c r="V152" i="1"/>
  <c r="Y151" i="1"/>
  <c r="V151" i="1"/>
  <c r="Y149" i="1"/>
  <c r="V149" i="1"/>
  <c r="L149" i="1"/>
  <c r="Y172" i="1"/>
  <c r="V172" i="1"/>
  <c r="Y171" i="1"/>
  <c r="V171" i="1"/>
  <c r="Y170" i="1"/>
  <c r="V170" i="1"/>
  <c r="Y169" i="1"/>
  <c r="V169" i="1"/>
  <c r="Y168" i="1"/>
  <c r="Y167" i="1"/>
  <c r="V167" i="1"/>
  <c r="L167" i="1"/>
  <c r="M167" i="1" s="1"/>
  <c r="Y142" i="1"/>
  <c r="V142" i="1"/>
  <c r="Y141" i="1"/>
  <c r="V141" i="1"/>
  <c r="Y140" i="1"/>
  <c r="V140" i="1"/>
  <c r="Y139" i="1"/>
  <c r="V139" i="1"/>
  <c r="Y138" i="1"/>
  <c r="V138" i="1"/>
  <c r="Y137" i="1"/>
  <c r="V137" i="1"/>
  <c r="L137" i="1"/>
  <c r="Y130" i="1"/>
  <c r="V130" i="1"/>
  <c r="Y129" i="1"/>
  <c r="V129" i="1"/>
  <c r="Y128" i="1"/>
  <c r="V128" i="1"/>
  <c r="Y127" i="1"/>
  <c r="V127" i="1"/>
  <c r="Y126" i="1"/>
  <c r="V126" i="1"/>
  <c r="Y125" i="1"/>
  <c r="V125" i="1"/>
  <c r="L125" i="1"/>
  <c r="Y136" i="1"/>
  <c r="V136" i="1"/>
  <c r="Y135" i="1"/>
  <c r="V135" i="1"/>
  <c r="Y134" i="1"/>
  <c r="V134" i="1"/>
  <c r="Y133" i="1"/>
  <c r="V133" i="1"/>
  <c r="Y132" i="1"/>
  <c r="V132" i="1"/>
  <c r="Y131" i="1"/>
  <c r="V131" i="1"/>
  <c r="L131" i="1"/>
  <c r="O127" i="1"/>
  <c r="O175" i="1"/>
  <c r="O169" i="1"/>
  <c r="O165" i="1"/>
  <c r="O144" i="1"/>
  <c r="O168" i="1"/>
  <c r="O160" i="1"/>
  <c r="O166" i="1"/>
  <c r="O187" i="1"/>
  <c r="O176" i="1"/>
  <c r="O159" i="1"/>
  <c r="O184" i="1"/>
  <c r="O135" i="1"/>
  <c r="O178" i="1"/>
  <c r="O152" i="1"/>
  <c r="O141" i="1"/>
  <c r="O181" i="1"/>
  <c r="O163" i="1"/>
  <c r="O151" i="1"/>
  <c r="O177" i="1"/>
  <c r="O188" i="1"/>
  <c r="O182" i="1"/>
  <c r="O153" i="1"/>
  <c r="O158" i="1"/>
  <c r="O136" i="1"/>
  <c r="O156" i="1"/>
  <c r="O157" i="1"/>
  <c r="O162" i="1"/>
  <c r="O142" i="1"/>
  <c r="O172" i="1"/>
  <c r="O134" i="1"/>
  <c r="O126" i="1"/>
  <c r="O129" i="1"/>
  <c r="O174" i="1"/>
  <c r="O171" i="1"/>
  <c r="O145" i="1"/>
  <c r="O132" i="1"/>
  <c r="O133" i="1"/>
  <c r="O146" i="1"/>
  <c r="O180" i="1"/>
  <c r="O147" i="1"/>
  <c r="O164" i="1"/>
  <c r="O183" i="1"/>
  <c r="O150" i="1"/>
  <c r="O189" i="1"/>
  <c r="O148" i="1"/>
  <c r="O138" i="1"/>
  <c r="O190" i="1"/>
  <c r="O154" i="1"/>
  <c r="O130" i="1"/>
  <c r="O140" i="1"/>
  <c r="O186" i="1"/>
  <c r="O170" i="1"/>
  <c r="O128" i="1"/>
  <c r="O139" i="1"/>
  <c r="AG189" i="1" l="1"/>
  <c r="AG139" i="1"/>
  <c r="AF139" i="1" s="1"/>
  <c r="AG141" i="1"/>
  <c r="AF141" i="1" s="1"/>
  <c r="AG134" i="1"/>
  <c r="AF134" i="1" s="1"/>
  <c r="AG136" i="1"/>
  <c r="AF136" i="1" s="1"/>
  <c r="AG183" i="1"/>
  <c r="AF183" i="1" s="1"/>
  <c r="AF41" i="52"/>
  <c r="AE41" i="52" s="1"/>
  <c r="AF34" i="52"/>
  <c r="AE34" i="52" s="1"/>
  <c r="AF36" i="52"/>
  <c r="AE36" i="52" s="1"/>
  <c r="AF37" i="52"/>
  <c r="AE37" i="52" s="1"/>
  <c r="AF38" i="52"/>
  <c r="AE38" i="52" s="1"/>
  <c r="AF42" i="52"/>
  <c r="AE42" i="52" s="1"/>
  <c r="AF43" i="52"/>
  <c r="AF44" i="52" s="1"/>
  <c r="AF45" i="52" s="1"/>
  <c r="AF47" i="52"/>
  <c r="AE47" i="52" s="1"/>
  <c r="AF46" i="52"/>
  <c r="AE46" i="52" s="1"/>
  <c r="AF48" i="52"/>
  <c r="AF40" i="52"/>
  <c r="AE40" i="52" s="1"/>
  <c r="AF39" i="52"/>
  <c r="AE39" i="52" s="1"/>
  <c r="AF33" i="52"/>
  <c r="AE33" i="52" s="1"/>
  <c r="AF32" i="52"/>
  <c r="AE32" i="52" s="1"/>
  <c r="AF35" i="52"/>
  <c r="AE35" i="52" s="1"/>
  <c r="AG181" i="1"/>
  <c r="AF181" i="1" s="1"/>
  <c r="AG182" i="1"/>
  <c r="AF182" i="1" s="1"/>
  <c r="AG184" i="1"/>
  <c r="AF184" i="1" s="1"/>
  <c r="AG188" i="1"/>
  <c r="AF188" i="1" s="1"/>
  <c r="AG190" i="1"/>
  <c r="AF190" i="1" s="1"/>
  <c r="AG133" i="1"/>
  <c r="AF133" i="1" s="1"/>
  <c r="AG135" i="1"/>
  <c r="AF135" i="1" s="1"/>
  <c r="AG140" i="1"/>
  <c r="AF140" i="1" s="1"/>
  <c r="AG142" i="1"/>
  <c r="AF142" i="1" s="1"/>
  <c r="AG127" i="1"/>
  <c r="AF127" i="1" s="1"/>
  <c r="P31" i="52"/>
  <c r="AG151" i="1"/>
  <c r="AF151" i="1" s="1"/>
  <c r="AC187" i="1"/>
  <c r="AE187" i="1" s="1"/>
  <c r="AF187" i="1"/>
  <c r="AG169" i="1"/>
  <c r="AF169" i="1" s="1"/>
  <c r="AG145" i="1"/>
  <c r="AF145" i="1" s="1"/>
  <c r="P43" i="52"/>
  <c r="L43" i="52"/>
  <c r="AB43" i="52" s="1"/>
  <c r="AC177" i="1"/>
  <c r="AE177" i="1" s="1"/>
  <c r="AG176" i="1"/>
  <c r="AF176" i="1" s="1"/>
  <c r="AG178" i="1"/>
  <c r="AF178" i="1" s="1"/>
  <c r="AG177" i="1"/>
  <c r="AF177" i="1" s="1"/>
  <c r="AG171" i="1"/>
  <c r="AF171" i="1" s="1"/>
  <c r="AG147" i="1"/>
  <c r="AF147" i="1" s="1"/>
  <c r="AG159" i="1"/>
  <c r="AF159" i="1" s="1"/>
  <c r="AF189" i="1"/>
  <c r="AC182" i="1"/>
  <c r="AE182" i="1" s="1"/>
  <c r="AC176" i="1"/>
  <c r="AE176" i="1" s="1"/>
  <c r="AC172" i="1"/>
  <c r="AE172" i="1" s="1"/>
  <c r="AG146" i="1"/>
  <c r="AF146" i="1" s="1"/>
  <c r="M173" i="1"/>
  <c r="AC173" i="1" s="1"/>
  <c r="AE173" i="1" s="1"/>
  <c r="AC174" i="1" s="1"/>
  <c r="AC178" i="1"/>
  <c r="AG165" i="1"/>
  <c r="AF165" i="1" s="1"/>
  <c r="AC183" i="1"/>
  <c r="AG154" i="1"/>
  <c r="AF154" i="1" s="1"/>
  <c r="M179" i="1"/>
  <c r="AC179" i="1" s="1"/>
  <c r="AC184" i="1"/>
  <c r="AG172" i="1"/>
  <c r="AF172" i="1" s="1"/>
  <c r="AC181" i="1"/>
  <c r="AG153" i="1"/>
  <c r="AF153" i="1" s="1"/>
  <c r="AG166" i="1"/>
  <c r="AF166" i="1" s="1"/>
  <c r="AC159" i="1"/>
  <c r="AE159" i="1" s="1"/>
  <c r="AC188" i="1"/>
  <c r="AC189" i="1"/>
  <c r="AC153" i="1"/>
  <c r="AE153" i="1" s="1"/>
  <c r="AG170" i="1"/>
  <c r="AF170" i="1" s="1"/>
  <c r="AC152" i="1"/>
  <c r="AE152" i="1" s="1"/>
  <c r="AG160" i="1"/>
  <c r="AF160" i="1" s="1"/>
  <c r="M185" i="1"/>
  <c r="AC185" i="1" s="1"/>
  <c r="AC190" i="1"/>
  <c r="AC169" i="1"/>
  <c r="AE169" i="1" s="1"/>
  <c r="AC165" i="1"/>
  <c r="AE165" i="1" s="1"/>
  <c r="AG148" i="1"/>
  <c r="AF148" i="1" s="1"/>
  <c r="AG130" i="1"/>
  <c r="AF130" i="1" s="1"/>
  <c r="AG152" i="1"/>
  <c r="AF152" i="1" s="1"/>
  <c r="M155" i="1"/>
  <c r="AC155" i="1" s="1"/>
  <c r="AC160" i="1"/>
  <c r="AC146" i="1"/>
  <c r="AD146" i="1" s="1"/>
  <c r="AC147" i="1"/>
  <c r="AE147" i="1" s="1"/>
  <c r="M161" i="1"/>
  <c r="AC161" i="1" s="1"/>
  <c r="AC166" i="1"/>
  <c r="P37" i="52"/>
  <c r="L31" i="52"/>
  <c r="AB31" i="52" s="1"/>
  <c r="AF31" i="52"/>
  <c r="AE31" i="52" s="1"/>
  <c r="AB32" i="52"/>
  <c r="AB33" i="52"/>
  <c r="AB34" i="52"/>
  <c r="AB35" i="52"/>
  <c r="AB36" i="52"/>
  <c r="AB37" i="52"/>
  <c r="AB39" i="52"/>
  <c r="AB40" i="52"/>
  <c r="AB41" i="52"/>
  <c r="AB42" i="52"/>
  <c r="AB46" i="52"/>
  <c r="AB47" i="52"/>
  <c r="AB48" i="52"/>
  <c r="M143" i="1"/>
  <c r="AC143" i="1" s="1"/>
  <c r="AE143" i="1" s="1"/>
  <c r="AC148" i="1"/>
  <c r="AC145" i="1"/>
  <c r="AG129" i="1"/>
  <c r="AF129" i="1" s="1"/>
  <c r="M149" i="1"/>
  <c r="AC149" i="1" s="1"/>
  <c r="AE149" i="1" s="1"/>
  <c r="AC154" i="1"/>
  <c r="AC140" i="1"/>
  <c r="AE140" i="1" s="1"/>
  <c r="AC151" i="1"/>
  <c r="AG128" i="1"/>
  <c r="AF128" i="1" s="1"/>
  <c r="AC170" i="1"/>
  <c r="AC167" i="1"/>
  <c r="AC171" i="1"/>
  <c r="AC128" i="1"/>
  <c r="AE128" i="1" s="1"/>
  <c r="AC129" i="1"/>
  <c r="AE129" i="1" s="1"/>
  <c r="AC141" i="1"/>
  <c r="AC134" i="1"/>
  <c r="AE134" i="1" s="1"/>
  <c r="AC135" i="1"/>
  <c r="AE135" i="1" s="1"/>
  <c r="M137" i="1"/>
  <c r="AC137" i="1" s="1"/>
  <c r="AE137" i="1" s="1"/>
  <c r="AC138" i="1" s="1"/>
  <c r="AC142" i="1"/>
  <c r="AC139" i="1"/>
  <c r="M125" i="1"/>
  <c r="AC125" i="1" s="1"/>
  <c r="AC130" i="1"/>
  <c r="AC127" i="1"/>
  <c r="M131" i="1"/>
  <c r="AC131" i="1" s="1"/>
  <c r="AE131" i="1" s="1"/>
  <c r="AC132" i="1" s="1"/>
  <c r="AC136" i="1"/>
  <c r="AC133" i="1"/>
  <c r="Y124" i="1"/>
  <c r="V124" i="1"/>
  <c r="Y123" i="1"/>
  <c r="V123" i="1"/>
  <c r="Y122" i="1"/>
  <c r="V122" i="1"/>
  <c r="Y121" i="1"/>
  <c r="V121" i="1"/>
  <c r="Y120" i="1"/>
  <c r="V120" i="1"/>
  <c r="Y119" i="1"/>
  <c r="V119" i="1"/>
  <c r="L119" i="1"/>
  <c r="Y118" i="1"/>
  <c r="V118" i="1"/>
  <c r="Y117" i="1"/>
  <c r="V117" i="1"/>
  <c r="Y116" i="1"/>
  <c r="V116" i="1"/>
  <c r="Y115" i="1"/>
  <c r="V115" i="1"/>
  <c r="Y114" i="1"/>
  <c r="V114" i="1"/>
  <c r="Y113" i="1"/>
  <c r="V113" i="1"/>
  <c r="L113" i="1"/>
  <c r="Y112" i="1"/>
  <c r="V112" i="1"/>
  <c r="Y111" i="1"/>
  <c r="V111" i="1"/>
  <c r="Y110" i="1"/>
  <c r="V110" i="1"/>
  <c r="Y109" i="1"/>
  <c r="V109" i="1"/>
  <c r="L109" i="1"/>
  <c r="Y102" i="1"/>
  <c r="V102" i="1"/>
  <c r="Y101" i="1"/>
  <c r="V101" i="1"/>
  <c r="Y100" i="1"/>
  <c r="V100" i="1"/>
  <c r="Y99" i="1"/>
  <c r="V99" i="1"/>
  <c r="Y98" i="1"/>
  <c r="V98" i="1"/>
  <c r="Y97" i="1"/>
  <c r="V97" i="1"/>
  <c r="L97" i="1"/>
  <c r="Y108" i="1"/>
  <c r="V108" i="1"/>
  <c r="Y107" i="1"/>
  <c r="V107" i="1"/>
  <c r="Y106" i="1"/>
  <c r="Y105" i="1"/>
  <c r="V105" i="1"/>
  <c r="Y104" i="1"/>
  <c r="V104" i="1"/>
  <c r="Y103" i="1"/>
  <c r="V103" i="1"/>
  <c r="L103" i="1"/>
  <c r="Y96" i="1"/>
  <c r="V96" i="1"/>
  <c r="Y95" i="1"/>
  <c r="V95" i="1"/>
  <c r="Y94" i="1"/>
  <c r="V94" i="1"/>
  <c r="Y93" i="1"/>
  <c r="V93" i="1"/>
  <c r="Y92" i="1"/>
  <c r="V92" i="1"/>
  <c r="Y91" i="1"/>
  <c r="V91" i="1"/>
  <c r="L91" i="1"/>
  <c r="Y90" i="1"/>
  <c r="V90" i="1"/>
  <c r="Y89" i="1"/>
  <c r="V89" i="1"/>
  <c r="Y88" i="1"/>
  <c r="V88" i="1"/>
  <c r="Y87" i="1"/>
  <c r="V87" i="1"/>
  <c r="Y86" i="1"/>
  <c r="V86" i="1"/>
  <c r="Y85" i="1"/>
  <c r="V85" i="1"/>
  <c r="L85" i="1"/>
  <c r="Y84" i="1"/>
  <c r="V84" i="1"/>
  <c r="Y83" i="1"/>
  <c r="V83" i="1"/>
  <c r="Y82" i="1"/>
  <c r="V82" i="1"/>
  <c r="Y81" i="1"/>
  <c r="V81" i="1"/>
  <c r="Y80" i="1"/>
  <c r="V80" i="1"/>
  <c r="Y79" i="1"/>
  <c r="V79" i="1"/>
  <c r="L79" i="1"/>
  <c r="Y66" i="1"/>
  <c r="V66" i="1"/>
  <c r="Y65" i="1"/>
  <c r="V65" i="1"/>
  <c r="Y64" i="1"/>
  <c r="V64" i="1"/>
  <c r="Y63" i="1"/>
  <c r="V63" i="1"/>
  <c r="Y62" i="1"/>
  <c r="V62" i="1"/>
  <c r="Y61" i="1"/>
  <c r="V61" i="1"/>
  <c r="L61" i="1"/>
  <c r="Y72" i="1"/>
  <c r="V72" i="1"/>
  <c r="Y71" i="1"/>
  <c r="V71" i="1"/>
  <c r="Y70" i="1"/>
  <c r="V70" i="1"/>
  <c r="Y68" i="1"/>
  <c r="V68" i="1"/>
  <c r="Y67" i="1"/>
  <c r="V67" i="1"/>
  <c r="L67" i="1"/>
  <c r="Y78" i="1"/>
  <c r="V78" i="1"/>
  <c r="Y77" i="1"/>
  <c r="V77" i="1"/>
  <c r="Y76" i="1"/>
  <c r="V76" i="1"/>
  <c r="Y75" i="1"/>
  <c r="V75" i="1"/>
  <c r="Y74" i="1"/>
  <c r="V74" i="1"/>
  <c r="Y73" i="1"/>
  <c r="V73" i="1"/>
  <c r="L73" i="1"/>
  <c r="X24" i="52"/>
  <c r="U24" i="52"/>
  <c r="X23" i="52"/>
  <c r="U23" i="52"/>
  <c r="X22" i="52"/>
  <c r="U22" i="52"/>
  <c r="X21" i="52"/>
  <c r="U21" i="52"/>
  <c r="X20" i="52"/>
  <c r="U20" i="52"/>
  <c r="X19" i="52"/>
  <c r="U19" i="52"/>
  <c r="N19" i="52"/>
  <c r="O19" i="52" s="1"/>
  <c r="K19" i="52"/>
  <c r="X30" i="52"/>
  <c r="U30" i="52"/>
  <c r="X29" i="52"/>
  <c r="U29" i="52"/>
  <c r="X28" i="52"/>
  <c r="U28" i="52"/>
  <c r="X27" i="52"/>
  <c r="U27" i="52"/>
  <c r="X26" i="52"/>
  <c r="U26" i="52"/>
  <c r="X25" i="52"/>
  <c r="U25" i="52"/>
  <c r="N25" i="52"/>
  <c r="O25" i="52" s="1"/>
  <c r="K25" i="52"/>
  <c r="V37" i="1"/>
  <c r="V38" i="1"/>
  <c r="Y42" i="1"/>
  <c r="V42" i="1"/>
  <c r="Y41" i="1"/>
  <c r="V41" i="1"/>
  <c r="Y40" i="1"/>
  <c r="V40" i="1"/>
  <c r="Y39" i="1"/>
  <c r="V39" i="1"/>
  <c r="Y38" i="1"/>
  <c r="Y37" i="1"/>
  <c r="L37" i="1"/>
  <c r="M37" i="1" s="1"/>
  <c r="O117" i="1"/>
  <c r="O118" i="1"/>
  <c r="O70" i="1"/>
  <c r="O114" i="1"/>
  <c r="O104" i="1"/>
  <c r="O124" i="1"/>
  <c r="O106" i="1"/>
  <c r="O111" i="1"/>
  <c r="O93" i="1"/>
  <c r="O77" i="1"/>
  <c r="O80" i="1"/>
  <c r="O123" i="1"/>
  <c r="O83" i="1"/>
  <c r="O92" i="1"/>
  <c r="O75" i="1"/>
  <c r="O88" i="1"/>
  <c r="O40" i="1"/>
  <c r="O116" i="1"/>
  <c r="O100" i="1"/>
  <c r="O112" i="1"/>
  <c r="O99" i="1"/>
  <c r="O89" i="1"/>
  <c r="O82" i="1"/>
  <c r="O102" i="1"/>
  <c r="O74" i="1"/>
  <c r="O107" i="1"/>
  <c r="O95" i="1"/>
  <c r="O87" i="1"/>
  <c r="O66" i="1"/>
  <c r="O84" i="1"/>
  <c r="O65" i="1"/>
  <c r="O38" i="1"/>
  <c r="O76" i="1"/>
  <c r="O110" i="1"/>
  <c r="O86" i="1"/>
  <c r="O41" i="1"/>
  <c r="O108" i="1"/>
  <c r="O101" i="1"/>
  <c r="O98" i="1"/>
  <c r="O71" i="1"/>
  <c r="O78" i="1"/>
  <c r="O62" i="1"/>
  <c r="O96" i="1"/>
  <c r="O105" i="1"/>
  <c r="O69" i="1"/>
  <c r="O94" i="1"/>
  <c r="O90" i="1"/>
  <c r="O39" i="1"/>
  <c r="O115" i="1"/>
  <c r="O42" i="1"/>
  <c r="O64" i="1"/>
  <c r="O68" i="1"/>
  <c r="O120" i="1"/>
  <c r="O81" i="1"/>
  <c r="O121" i="1"/>
  <c r="O72" i="1"/>
  <c r="O63" i="1"/>
  <c r="O122" i="1"/>
  <c r="AG71" i="1" l="1"/>
  <c r="AG80" i="1"/>
  <c r="AF80" i="1" s="1"/>
  <c r="AG82" i="1"/>
  <c r="AF82" i="1" s="1"/>
  <c r="AG84" i="1"/>
  <c r="AF84" i="1" s="1"/>
  <c r="AG93" i="1"/>
  <c r="AF93" i="1" s="1"/>
  <c r="AG95" i="1"/>
  <c r="AF95" i="1" s="1"/>
  <c r="AE43" i="52"/>
  <c r="AF29" i="52"/>
  <c r="AE29" i="52" s="1"/>
  <c r="AF22" i="52"/>
  <c r="AE22" i="52" s="1"/>
  <c r="AF24" i="52"/>
  <c r="AE24" i="52" s="1"/>
  <c r="AF27" i="52"/>
  <c r="AE27" i="52" s="1"/>
  <c r="AG108" i="1"/>
  <c r="AF108" i="1" s="1"/>
  <c r="AG111" i="1"/>
  <c r="AF111" i="1" s="1"/>
  <c r="AG122" i="1"/>
  <c r="AF122" i="1" s="1"/>
  <c r="AG124" i="1"/>
  <c r="AF124" i="1" s="1"/>
  <c r="AG40" i="1"/>
  <c r="AF40" i="1" s="1"/>
  <c r="AG42" i="1"/>
  <c r="AF42" i="1" s="1"/>
  <c r="AG76" i="1"/>
  <c r="AF76" i="1" s="1"/>
  <c r="AG78" i="1"/>
  <c r="AF78" i="1" s="1"/>
  <c r="AG63" i="1"/>
  <c r="AF63" i="1" s="1"/>
  <c r="AG65" i="1"/>
  <c r="AF65" i="1" s="1"/>
  <c r="AG86" i="1"/>
  <c r="AF86" i="1" s="1"/>
  <c r="AG88" i="1"/>
  <c r="AF88" i="1" s="1"/>
  <c r="AG90" i="1"/>
  <c r="AF90" i="1" s="1"/>
  <c r="AG100" i="1"/>
  <c r="AF100" i="1" s="1"/>
  <c r="AG102" i="1"/>
  <c r="AF102" i="1" s="1"/>
  <c r="AG117" i="1"/>
  <c r="AF117" i="1" s="1"/>
  <c r="AG39" i="1"/>
  <c r="AF39" i="1" s="1"/>
  <c r="AG70" i="1"/>
  <c r="AF70" i="1" s="1"/>
  <c r="AG72" i="1"/>
  <c r="AF72" i="1" s="1"/>
  <c r="AG81" i="1"/>
  <c r="AF81" i="1" s="1"/>
  <c r="AG83" i="1"/>
  <c r="AF83" i="1" s="1"/>
  <c r="AG92" i="1"/>
  <c r="AF92" i="1" s="1"/>
  <c r="AG94" i="1"/>
  <c r="AF94" i="1" s="1"/>
  <c r="AG96" i="1"/>
  <c r="AF96" i="1" s="1"/>
  <c r="AG107" i="1"/>
  <c r="AF107" i="1" s="1"/>
  <c r="AG112" i="1"/>
  <c r="AF112" i="1" s="1"/>
  <c r="AG123" i="1"/>
  <c r="AF123" i="1" s="1"/>
  <c r="AG38" i="1"/>
  <c r="AF38" i="1" s="1"/>
  <c r="AG41" i="1"/>
  <c r="AF41" i="1" s="1"/>
  <c r="AG75" i="1"/>
  <c r="AG77" i="1"/>
  <c r="AF77" i="1" s="1"/>
  <c r="AG64" i="1"/>
  <c r="AF64" i="1" s="1"/>
  <c r="AG66" i="1"/>
  <c r="AF66" i="1" s="1"/>
  <c r="AG87" i="1"/>
  <c r="AF87" i="1" s="1"/>
  <c r="AG89" i="1"/>
  <c r="AF89" i="1" s="1"/>
  <c r="AG99" i="1"/>
  <c r="AF99" i="1" s="1"/>
  <c r="AG101" i="1"/>
  <c r="AF101" i="1" s="1"/>
  <c r="AG116" i="1"/>
  <c r="AF116" i="1" s="1"/>
  <c r="AG118" i="1"/>
  <c r="AF118" i="1" s="1"/>
  <c r="AF28" i="52"/>
  <c r="AF30" i="52"/>
  <c r="AE30" i="52" s="1"/>
  <c r="AF21" i="52"/>
  <c r="AE21" i="52" s="1"/>
  <c r="AF23" i="52"/>
  <c r="AE23" i="52" s="1"/>
  <c r="AE49" i="52"/>
  <c r="AG49" i="52" s="1"/>
  <c r="AE48" i="52"/>
  <c r="P25" i="52"/>
  <c r="AD187" i="1"/>
  <c r="AH187" i="1" s="1"/>
  <c r="AE161" i="1"/>
  <c r="AC162" i="1" s="1"/>
  <c r="AD162" i="1" s="1"/>
  <c r="AD161" i="1"/>
  <c r="AD173" i="1"/>
  <c r="P19" i="52"/>
  <c r="AE125" i="1"/>
  <c r="AC126" i="1" s="1"/>
  <c r="AE126" i="1" s="1"/>
  <c r="AD125" i="1"/>
  <c r="AE179" i="1"/>
  <c r="AC180" i="1" s="1"/>
  <c r="AD180" i="1" s="1"/>
  <c r="AD179" i="1"/>
  <c r="AE155" i="1"/>
  <c r="AD155" i="1"/>
  <c r="AC37" i="1"/>
  <c r="AD37" i="1" s="1"/>
  <c r="AC156" i="1"/>
  <c r="AE156" i="1" s="1"/>
  <c r="AC157" i="1" s="1"/>
  <c r="AD177" i="1"/>
  <c r="AH177" i="1" s="1"/>
  <c r="AD182" i="1"/>
  <c r="AH182" i="1" s="1"/>
  <c r="AD176" i="1"/>
  <c r="AH176" i="1" s="1"/>
  <c r="AD169" i="1"/>
  <c r="AH169" i="1" s="1"/>
  <c r="AD174" i="1"/>
  <c r="AE174" i="1"/>
  <c r="AC175" i="1" s="1"/>
  <c r="AE175" i="1" s="1"/>
  <c r="AD140" i="1"/>
  <c r="AH140" i="1" s="1"/>
  <c r="AD172" i="1"/>
  <c r="AH172" i="1" s="1"/>
  <c r="AD153" i="1"/>
  <c r="AH153" i="1" s="1"/>
  <c r="AH146" i="1"/>
  <c r="AD178" i="1"/>
  <c r="AH178" i="1" s="1"/>
  <c r="AE178" i="1"/>
  <c r="AD184" i="1"/>
  <c r="AH184" i="1" s="1"/>
  <c r="AE184" i="1"/>
  <c r="AE183" i="1"/>
  <c r="AD183" i="1"/>
  <c r="AH183" i="1" s="1"/>
  <c r="AD152" i="1"/>
  <c r="AH152" i="1" s="1"/>
  <c r="AE181" i="1"/>
  <c r="AD181" i="1"/>
  <c r="AH181" i="1" s="1"/>
  <c r="AD185" i="1"/>
  <c r="AE185" i="1"/>
  <c r="AC186" i="1" s="1"/>
  <c r="AE186" i="1" s="1"/>
  <c r="AD189" i="1"/>
  <c r="AH189" i="1" s="1"/>
  <c r="AE189" i="1"/>
  <c r="AE190" i="1"/>
  <c r="AD190" i="1"/>
  <c r="AH190" i="1" s="1"/>
  <c r="AE146" i="1"/>
  <c r="AD159" i="1"/>
  <c r="AH159" i="1" s="1"/>
  <c r="AE188" i="1"/>
  <c r="AD188" i="1"/>
  <c r="AH188" i="1" s="1"/>
  <c r="AD165" i="1"/>
  <c r="AH165" i="1" s="1"/>
  <c r="AD160" i="1"/>
  <c r="AH160" i="1" s="1"/>
  <c r="AE160" i="1"/>
  <c r="AD147" i="1"/>
  <c r="AH147" i="1" s="1"/>
  <c r="AD166" i="1"/>
  <c r="AH166" i="1" s="1"/>
  <c r="AE166" i="1"/>
  <c r="AD149" i="1"/>
  <c r="AD143" i="1"/>
  <c r="AC33" i="52"/>
  <c r="AG33" i="52" s="1"/>
  <c r="AD33" i="52"/>
  <c r="AC36" i="52"/>
  <c r="AG36" i="52" s="1"/>
  <c r="AD36" i="52"/>
  <c r="AC32" i="52"/>
  <c r="AG32" i="52" s="1"/>
  <c r="AD32" i="52"/>
  <c r="AC35" i="52"/>
  <c r="AG35" i="52" s="1"/>
  <c r="AD35" i="52"/>
  <c r="AC34" i="52"/>
  <c r="AG34" i="52" s="1"/>
  <c r="AD34" i="52"/>
  <c r="AC31" i="52"/>
  <c r="AG31" i="52" s="1"/>
  <c r="AD31" i="52"/>
  <c r="AC39" i="52"/>
  <c r="AG39" i="52" s="1"/>
  <c r="AD39" i="52"/>
  <c r="AC42" i="52"/>
  <c r="AG42" i="52" s="1"/>
  <c r="AD42" i="52"/>
  <c r="AE28" i="52"/>
  <c r="AC41" i="52"/>
  <c r="AG41" i="52" s="1"/>
  <c r="AD41" i="52"/>
  <c r="AC40" i="52"/>
  <c r="AG40" i="52" s="1"/>
  <c r="AD40" i="52"/>
  <c r="AC37" i="52"/>
  <c r="AG37" i="52" s="1"/>
  <c r="AD37" i="52"/>
  <c r="AB38" i="52" s="1"/>
  <c r="AD38" i="52" s="1"/>
  <c r="AC48" i="52"/>
  <c r="AD48" i="52"/>
  <c r="AC47" i="52"/>
  <c r="AG47" i="52" s="1"/>
  <c r="AD47" i="52"/>
  <c r="AC46" i="52"/>
  <c r="AG46" i="52" s="1"/>
  <c r="AD46" i="52"/>
  <c r="AC43" i="52"/>
  <c r="AD43" i="52"/>
  <c r="AB44" i="52" s="1"/>
  <c r="AC44" i="52" s="1"/>
  <c r="AE145" i="1"/>
  <c r="AD145" i="1"/>
  <c r="AH145" i="1" s="1"/>
  <c r="AD148" i="1"/>
  <c r="AH148" i="1" s="1"/>
  <c r="AE148" i="1"/>
  <c r="AD154" i="1"/>
  <c r="AH154" i="1" s="1"/>
  <c r="AE154" i="1"/>
  <c r="AE151" i="1"/>
  <c r="AD151" i="1"/>
  <c r="AH151" i="1" s="1"/>
  <c r="AD167" i="1"/>
  <c r="AE167" i="1"/>
  <c r="AC168" i="1" s="1"/>
  <c r="AC116" i="1"/>
  <c r="AE116" i="1" s="1"/>
  <c r="AC123" i="1"/>
  <c r="AE123" i="1" s="1"/>
  <c r="AE171" i="1"/>
  <c r="AD171" i="1"/>
  <c r="AH171" i="1" s="1"/>
  <c r="AD170" i="1"/>
  <c r="AH170" i="1" s="1"/>
  <c r="AE170" i="1"/>
  <c r="L25" i="52"/>
  <c r="AB25" i="52" s="1"/>
  <c r="AD137" i="1"/>
  <c r="AD131" i="1"/>
  <c r="AD128" i="1"/>
  <c r="AH128" i="1" s="1"/>
  <c r="AD129" i="1"/>
  <c r="AH129" i="1" s="1"/>
  <c r="AD134" i="1"/>
  <c r="AH134" i="1" s="1"/>
  <c r="AD142" i="1"/>
  <c r="AH142" i="1" s="1"/>
  <c r="AE142" i="1"/>
  <c r="AD135" i="1"/>
  <c r="AH135" i="1" s="1"/>
  <c r="AD138" i="1"/>
  <c r="AE138" i="1"/>
  <c r="AE141" i="1"/>
  <c r="AD141" i="1"/>
  <c r="AH141" i="1" s="1"/>
  <c r="AD139" i="1"/>
  <c r="AH139" i="1" s="1"/>
  <c r="AE139" i="1"/>
  <c r="L19" i="52"/>
  <c r="AB19" i="52" s="1"/>
  <c r="AD130" i="1"/>
  <c r="AH130" i="1" s="1"/>
  <c r="AE130" i="1"/>
  <c r="AE127" i="1"/>
  <c r="AD127" i="1"/>
  <c r="AH127" i="1" s="1"/>
  <c r="AD133" i="1"/>
  <c r="AH133" i="1" s="1"/>
  <c r="AE133" i="1"/>
  <c r="AD132" i="1"/>
  <c r="AE132" i="1"/>
  <c r="AD136" i="1"/>
  <c r="AH136" i="1" s="1"/>
  <c r="AE136" i="1"/>
  <c r="AC64" i="1"/>
  <c r="AE64" i="1" s="1"/>
  <c r="AC122" i="1"/>
  <c r="AE122" i="1" s="1"/>
  <c r="AC117" i="1"/>
  <c r="AE117" i="1" s="1"/>
  <c r="AC111" i="1"/>
  <c r="AE111" i="1" s="1"/>
  <c r="M119" i="1"/>
  <c r="AC119" i="1" s="1"/>
  <c r="AE119" i="1" s="1"/>
  <c r="AC120" i="1" s="1"/>
  <c r="AC124" i="1"/>
  <c r="M113" i="1"/>
  <c r="AC113" i="1" s="1"/>
  <c r="AE113" i="1" s="1"/>
  <c r="AC114" i="1" s="1"/>
  <c r="AC118" i="1"/>
  <c r="AC100" i="1"/>
  <c r="AE100" i="1" s="1"/>
  <c r="AC101" i="1"/>
  <c r="AE101" i="1" s="1"/>
  <c r="AC107" i="1"/>
  <c r="AE107" i="1" s="1"/>
  <c r="M109" i="1"/>
  <c r="AC109" i="1" s="1"/>
  <c r="AC112" i="1"/>
  <c r="M97" i="1"/>
  <c r="AC97" i="1" s="1"/>
  <c r="AC102" i="1"/>
  <c r="AC99" i="1"/>
  <c r="M103" i="1"/>
  <c r="AC103" i="1" s="1"/>
  <c r="AC108" i="1"/>
  <c r="AC65" i="1"/>
  <c r="AE65" i="1" s="1"/>
  <c r="AF71" i="1"/>
  <c r="AC94" i="1"/>
  <c r="AE94" i="1" s="1"/>
  <c r="AC95" i="1"/>
  <c r="AE95" i="1" s="1"/>
  <c r="M91" i="1"/>
  <c r="AC91" i="1" s="1"/>
  <c r="AE91" i="1" s="1"/>
  <c r="AC92" i="1"/>
  <c r="AC96" i="1"/>
  <c r="AC88" i="1"/>
  <c r="AE88" i="1" s="1"/>
  <c r="AC93" i="1"/>
  <c r="AC82" i="1"/>
  <c r="AE82" i="1" s="1"/>
  <c r="AC83" i="1"/>
  <c r="AE83" i="1" s="1"/>
  <c r="AC89" i="1"/>
  <c r="AC70" i="1"/>
  <c r="AE70" i="1" s="1"/>
  <c r="AC71" i="1"/>
  <c r="AE71" i="1" s="1"/>
  <c r="M85" i="1"/>
  <c r="AC85" i="1" s="1"/>
  <c r="AC86" i="1"/>
  <c r="AC90" i="1"/>
  <c r="AC87" i="1"/>
  <c r="M79" i="1"/>
  <c r="AC79" i="1" s="1"/>
  <c r="AC80" i="1"/>
  <c r="AC84" i="1"/>
  <c r="AC81" i="1"/>
  <c r="M61" i="1"/>
  <c r="AC61" i="1" s="1"/>
  <c r="AE61" i="1" s="1"/>
  <c r="AC62" i="1" s="1"/>
  <c r="AC66" i="1"/>
  <c r="AC63" i="1"/>
  <c r="M67" i="1"/>
  <c r="AC67" i="1" s="1"/>
  <c r="AE67" i="1" s="1"/>
  <c r="AC68" i="1" s="1"/>
  <c r="AC72" i="1"/>
  <c r="AC76" i="1"/>
  <c r="AE76" i="1" s="1"/>
  <c r="AC77" i="1"/>
  <c r="M73" i="1"/>
  <c r="AC73" i="1" s="1"/>
  <c r="AC78" i="1"/>
  <c r="AC38" i="1"/>
  <c r="AD38" i="1" s="1"/>
  <c r="AF19" i="52"/>
  <c r="AE19" i="52" s="1"/>
  <c r="AB21" i="52"/>
  <c r="AB22" i="52"/>
  <c r="AB23" i="52"/>
  <c r="AB24" i="52"/>
  <c r="AF25" i="52"/>
  <c r="AE25" i="52" s="1"/>
  <c r="AB27" i="52"/>
  <c r="AB28" i="52"/>
  <c r="AB29" i="52"/>
  <c r="AB30" i="52"/>
  <c r="AC40" i="1"/>
  <c r="AE40" i="1" s="1"/>
  <c r="AC41" i="1"/>
  <c r="AC42" i="1"/>
  <c r="AC39" i="1"/>
  <c r="AG43" i="52" l="1"/>
  <c r="AE37" i="1"/>
  <c r="AF20" i="52"/>
  <c r="AE20" i="52" s="1"/>
  <c r="AF26" i="52"/>
  <c r="AE26" i="52" s="1"/>
  <c r="AG48" i="52"/>
  <c r="AE50" i="52"/>
  <c r="AG50" i="52" s="1"/>
  <c r="AE162" i="1"/>
  <c r="AC163" i="1" s="1"/>
  <c r="AD163" i="1" s="1"/>
  <c r="AD126" i="1"/>
  <c r="AD156" i="1"/>
  <c r="AE180" i="1"/>
  <c r="AD175" i="1"/>
  <c r="AD44" i="52"/>
  <c r="AB45" i="52" s="1"/>
  <c r="AD45" i="52" s="1"/>
  <c r="AC38" i="52"/>
  <c r="AG38" i="52" s="1"/>
  <c r="AE44" i="52"/>
  <c r="AG44" i="52" s="1"/>
  <c r="AE45" i="52"/>
  <c r="AE157" i="1"/>
  <c r="AC158" i="1" s="1"/>
  <c r="AD157" i="1"/>
  <c r="AE168" i="1"/>
  <c r="AD168" i="1"/>
  <c r="AD186" i="1"/>
  <c r="AE38" i="1"/>
  <c r="AD123" i="1"/>
  <c r="AH123" i="1" s="1"/>
  <c r="AH38" i="1"/>
  <c r="AD116" i="1"/>
  <c r="AH116" i="1" s="1"/>
  <c r="AD119" i="1"/>
  <c r="AD122" i="1"/>
  <c r="AH122" i="1" s="1"/>
  <c r="AD117" i="1"/>
  <c r="AH117" i="1" s="1"/>
  <c r="AD94" i="1"/>
  <c r="AH94" i="1" s="1"/>
  <c r="AD64" i="1"/>
  <c r="AH64" i="1" s="1"/>
  <c r="AD111" i="1"/>
  <c r="AH111" i="1" s="1"/>
  <c r="AE103" i="1"/>
  <c r="AC104" i="1" s="1"/>
  <c r="AD104" i="1" s="1"/>
  <c r="AD103" i="1"/>
  <c r="AE97" i="1"/>
  <c r="AC98" i="1" s="1"/>
  <c r="AD98" i="1" s="1"/>
  <c r="AD97" i="1"/>
  <c r="AE109" i="1"/>
  <c r="AC110" i="1" s="1"/>
  <c r="AD110" i="1" s="1"/>
  <c r="AD109" i="1"/>
  <c r="AD113" i="1"/>
  <c r="AD107" i="1"/>
  <c r="AH107" i="1" s="1"/>
  <c r="AD100" i="1"/>
  <c r="AH100" i="1" s="1"/>
  <c r="AD120" i="1"/>
  <c r="AE120" i="1"/>
  <c r="AC121" i="1" s="1"/>
  <c r="AD121" i="1" s="1"/>
  <c r="AD124" i="1"/>
  <c r="AH124" i="1" s="1"/>
  <c r="AE124" i="1"/>
  <c r="AD101" i="1"/>
  <c r="AH101" i="1" s="1"/>
  <c r="AD114" i="1"/>
  <c r="AE114" i="1"/>
  <c r="AC115" i="1" s="1"/>
  <c r="AE115" i="1" s="1"/>
  <c r="AD65" i="1"/>
  <c r="AH65" i="1" s="1"/>
  <c r="AD118" i="1"/>
  <c r="AH118" i="1" s="1"/>
  <c r="AE118" i="1"/>
  <c r="AD112" i="1"/>
  <c r="AH112" i="1" s="1"/>
  <c r="AE112" i="1"/>
  <c r="AD102" i="1"/>
  <c r="AH102" i="1" s="1"/>
  <c r="AE102" i="1"/>
  <c r="AE99" i="1"/>
  <c r="AD99" i="1"/>
  <c r="AH99" i="1" s="1"/>
  <c r="AD70" i="1"/>
  <c r="AH70" i="1" s="1"/>
  <c r="AD108" i="1"/>
  <c r="AH108" i="1" s="1"/>
  <c r="AE108" i="1"/>
  <c r="AD95" i="1"/>
  <c r="AH95" i="1" s="1"/>
  <c r="AD91" i="1"/>
  <c r="AD71" i="1"/>
  <c r="AH71" i="1" s="1"/>
  <c r="AD82" i="1"/>
  <c r="AH82" i="1" s="1"/>
  <c r="AD88" i="1"/>
  <c r="AH88" i="1" s="1"/>
  <c r="AD96" i="1"/>
  <c r="AH96" i="1" s="1"/>
  <c r="AE96" i="1"/>
  <c r="AE93" i="1"/>
  <c r="AD93" i="1"/>
  <c r="AH93" i="1" s="1"/>
  <c r="AD92" i="1"/>
  <c r="AH92" i="1" s="1"/>
  <c r="AE92" i="1"/>
  <c r="AD83" i="1"/>
  <c r="AH83" i="1" s="1"/>
  <c r="AE85" i="1"/>
  <c r="AD85" i="1"/>
  <c r="AE89" i="1"/>
  <c r="AD89" i="1"/>
  <c r="AH89" i="1" s="1"/>
  <c r="AD90" i="1"/>
  <c r="AH90" i="1" s="1"/>
  <c r="AE90" i="1"/>
  <c r="AE87" i="1"/>
  <c r="AD87" i="1"/>
  <c r="AH87" i="1" s="1"/>
  <c r="AD86" i="1"/>
  <c r="AH86" i="1" s="1"/>
  <c r="AE86" i="1"/>
  <c r="AD84" i="1"/>
  <c r="AH84" i="1" s="1"/>
  <c r="AE84" i="1"/>
  <c r="AD80" i="1"/>
  <c r="AH80" i="1" s="1"/>
  <c r="AE80" i="1"/>
  <c r="AE79" i="1"/>
  <c r="AD79" i="1"/>
  <c r="AD81" i="1"/>
  <c r="AH81" i="1" s="1"/>
  <c r="AE81" i="1"/>
  <c r="AD67" i="1"/>
  <c r="AD61" i="1"/>
  <c r="AD63" i="1"/>
  <c r="AH63" i="1" s="1"/>
  <c r="AE63" i="1"/>
  <c r="AD66" i="1"/>
  <c r="AH66" i="1" s="1"/>
  <c r="AE66" i="1"/>
  <c r="AD62" i="1"/>
  <c r="AE62" i="1"/>
  <c r="AD72" i="1"/>
  <c r="AH72" i="1" s="1"/>
  <c r="AE72" i="1"/>
  <c r="AD68" i="1"/>
  <c r="AE68" i="1"/>
  <c r="AD76" i="1"/>
  <c r="AH76" i="1" s="1"/>
  <c r="AE77" i="1"/>
  <c r="AD77" i="1"/>
  <c r="AH77" i="1" s="1"/>
  <c r="AE73" i="1"/>
  <c r="AC74" i="1" s="1"/>
  <c r="AD73" i="1"/>
  <c r="AD78" i="1"/>
  <c r="AH78" i="1" s="1"/>
  <c r="AE78" i="1"/>
  <c r="AF75" i="1"/>
  <c r="AC21" i="52"/>
  <c r="AG21" i="52" s="1"/>
  <c r="AD21" i="52"/>
  <c r="AC24" i="52"/>
  <c r="AG24" i="52" s="1"/>
  <c r="AD24" i="52"/>
  <c r="AC23" i="52"/>
  <c r="AG23" i="52" s="1"/>
  <c r="AD23" i="52"/>
  <c r="AC22" i="52"/>
  <c r="AG22" i="52" s="1"/>
  <c r="AD22" i="52"/>
  <c r="AC19" i="52"/>
  <c r="AG19" i="52" s="1"/>
  <c r="AD19" i="52"/>
  <c r="AB20" i="52" s="1"/>
  <c r="AD20" i="52" s="1"/>
  <c r="AC27" i="52"/>
  <c r="AG27" i="52" s="1"/>
  <c r="AD27" i="52"/>
  <c r="AC30" i="52"/>
  <c r="AG30" i="52" s="1"/>
  <c r="AD30" i="52"/>
  <c r="AC29" i="52"/>
  <c r="AG29" i="52" s="1"/>
  <c r="AD29" i="52"/>
  <c r="AC28" i="52"/>
  <c r="AG28" i="52" s="1"/>
  <c r="AD28" i="52"/>
  <c r="AC25" i="52"/>
  <c r="AG25" i="52" s="1"/>
  <c r="AD25" i="52"/>
  <c r="AB26" i="52" s="1"/>
  <c r="AD26" i="52" s="1"/>
  <c r="AD40" i="1"/>
  <c r="AH40" i="1" s="1"/>
  <c r="AD42" i="1"/>
  <c r="AH42" i="1" s="1"/>
  <c r="AE42" i="1"/>
  <c r="AE41" i="1"/>
  <c r="AD41" i="1"/>
  <c r="AH41" i="1" s="1"/>
  <c r="AD39" i="1"/>
  <c r="AH39" i="1" s="1"/>
  <c r="AE39" i="1"/>
  <c r="AE52" i="52" l="1"/>
  <c r="AG52" i="52" s="1"/>
  <c r="AE51" i="52"/>
  <c r="AG51" i="52" s="1"/>
  <c r="AC26" i="52"/>
  <c r="AG26" i="52" s="1"/>
  <c r="AE163" i="1"/>
  <c r="AC164" i="1" s="1"/>
  <c r="AD164" i="1" s="1"/>
  <c r="AE98" i="1"/>
  <c r="AE158" i="1"/>
  <c r="AD158" i="1"/>
  <c r="AC20" i="52"/>
  <c r="AG20" i="52" s="1"/>
  <c r="AE104" i="1"/>
  <c r="AC105" i="1" s="1"/>
  <c r="AE105" i="1" s="1"/>
  <c r="AC106" i="1" s="1"/>
  <c r="AE106" i="1" s="1"/>
  <c r="AE110" i="1"/>
  <c r="AE121" i="1"/>
  <c r="AD115" i="1"/>
  <c r="AC45" i="52"/>
  <c r="AG45" i="52" s="1"/>
  <c r="AD74" i="1"/>
  <c r="AE74" i="1"/>
  <c r="AC75" i="1" s="1"/>
  <c r="AE164" i="1" l="1"/>
  <c r="AD106" i="1"/>
  <c r="AD105" i="1"/>
  <c r="AD75" i="1"/>
  <c r="AH75" i="1" s="1"/>
  <c r="AE75" i="1"/>
  <c r="Y226" i="1" l="1"/>
  <c r="V226" i="1"/>
  <c r="Y225" i="1"/>
  <c r="V225" i="1"/>
  <c r="Y224" i="1"/>
  <c r="V224" i="1"/>
  <c r="Y223" i="1"/>
  <c r="V223" i="1"/>
  <c r="Y222" i="1"/>
  <c r="V222" i="1"/>
  <c r="Y221" i="1"/>
  <c r="V221" i="1"/>
  <c r="L221" i="1"/>
  <c r="N67" i="52"/>
  <c r="O67" i="52" s="1"/>
  <c r="O226" i="1"/>
  <c r="O222" i="1"/>
  <c r="O223" i="1"/>
  <c r="O224" i="1"/>
  <c r="O225" i="1"/>
  <c r="AG223" i="1" l="1"/>
  <c r="AF223" i="1" s="1"/>
  <c r="AG225" i="1"/>
  <c r="AF225" i="1" s="1"/>
  <c r="AG222" i="1"/>
  <c r="AF222" i="1" s="1"/>
  <c r="AG224" i="1"/>
  <c r="AF224" i="1" s="1"/>
  <c r="AG226" i="1"/>
  <c r="AF226" i="1" s="1"/>
  <c r="AC224" i="1"/>
  <c r="AD224" i="1" s="1"/>
  <c r="AC225" i="1"/>
  <c r="AE225" i="1" s="1"/>
  <c r="M221" i="1"/>
  <c r="AC221" i="1" s="1"/>
  <c r="AC222" i="1"/>
  <c r="AC226" i="1"/>
  <c r="AC223" i="1"/>
  <c r="AE224" i="1" l="1"/>
  <c r="AH224" i="1"/>
  <c r="AD225" i="1"/>
  <c r="AH225" i="1" s="1"/>
  <c r="AE221" i="1"/>
  <c r="AD221" i="1"/>
  <c r="AD222" i="1"/>
  <c r="AH222" i="1" s="1"/>
  <c r="AE222" i="1"/>
  <c r="AD226" i="1"/>
  <c r="AH226" i="1" s="1"/>
  <c r="AE226" i="1"/>
  <c r="AD223" i="1"/>
  <c r="AH223" i="1" s="1"/>
  <c r="AE223" i="1"/>
  <c r="X67" i="52" l="1"/>
  <c r="Y238" i="1" l="1"/>
  <c r="V238" i="1"/>
  <c r="Y237" i="1"/>
  <c r="V237" i="1"/>
  <c r="Y236" i="1"/>
  <c r="V236" i="1"/>
  <c r="Y235" i="1"/>
  <c r="V235" i="1"/>
  <c r="Y234" i="1"/>
  <c r="V234" i="1"/>
  <c r="V233" i="1"/>
  <c r="L233" i="1"/>
  <c r="M233" i="1" s="1"/>
  <c r="O236" i="1"/>
  <c r="O234" i="1"/>
  <c r="O235" i="1"/>
  <c r="O237" i="1"/>
  <c r="O238" i="1"/>
  <c r="AG236" i="1" l="1"/>
  <c r="AF236" i="1" s="1"/>
  <c r="AG238" i="1"/>
  <c r="AF238" i="1" s="1"/>
  <c r="AG237" i="1"/>
  <c r="AF237" i="1" s="1"/>
  <c r="AC233" i="1"/>
  <c r="AC236" i="1"/>
  <c r="AC237" i="1"/>
  <c r="AC238" i="1"/>
  <c r="AE236" i="1" l="1"/>
  <c r="AD236" i="1"/>
  <c r="AH236" i="1" s="1"/>
  <c r="AD238" i="1"/>
  <c r="AH238" i="1" s="1"/>
  <c r="AE238" i="1"/>
  <c r="AE237" i="1"/>
  <c r="AD237" i="1"/>
  <c r="AH237" i="1" s="1"/>
  <c r="AE233" i="1"/>
  <c r="AC234" i="1" s="1"/>
  <c r="AD234" i="1" s="1"/>
  <c r="AD233" i="1"/>
  <c r="AE234" i="1" l="1"/>
  <c r="AC235" i="1" s="1"/>
  <c r="AE235" i="1" l="1"/>
  <c r="AD235" i="1"/>
  <c r="X7" i="52" l="1"/>
  <c r="O61" i="52" l="1"/>
  <c r="N73" i="52"/>
  <c r="O73" i="52" s="1"/>
  <c r="N79" i="52"/>
  <c r="O79" i="52" s="1"/>
  <c r="O85" i="52"/>
  <c r="O91" i="52"/>
  <c r="O97" i="52"/>
  <c r="K61" i="52"/>
  <c r="L61" i="52" s="1"/>
  <c r="K67" i="52"/>
  <c r="K73" i="52"/>
  <c r="K79" i="52"/>
  <c r="K85" i="52"/>
  <c r="K91" i="52"/>
  <c r="K97" i="52"/>
  <c r="P97" i="52" s="1"/>
  <c r="X102" i="52"/>
  <c r="U102" i="52"/>
  <c r="X101" i="52"/>
  <c r="U101" i="52"/>
  <c r="X100" i="52"/>
  <c r="U100" i="52"/>
  <c r="X99" i="52"/>
  <c r="U99" i="52"/>
  <c r="X98" i="52"/>
  <c r="U98" i="52"/>
  <c r="X97" i="52"/>
  <c r="U97" i="52"/>
  <c r="X96" i="52"/>
  <c r="U96" i="52"/>
  <c r="X95" i="52"/>
  <c r="U95" i="52"/>
  <c r="X94" i="52"/>
  <c r="U94" i="52"/>
  <c r="X93" i="52"/>
  <c r="U93" i="52"/>
  <c r="X92" i="52"/>
  <c r="U92" i="52"/>
  <c r="X91" i="52"/>
  <c r="U91" i="52"/>
  <c r="X90" i="52"/>
  <c r="U90" i="52"/>
  <c r="X89" i="52"/>
  <c r="U89" i="52"/>
  <c r="X88" i="52"/>
  <c r="U88" i="52"/>
  <c r="X87" i="52"/>
  <c r="U87" i="52"/>
  <c r="X85" i="52"/>
  <c r="U85" i="52"/>
  <c r="X84" i="52"/>
  <c r="U84" i="52"/>
  <c r="X83" i="52"/>
  <c r="U83" i="52"/>
  <c r="X82" i="52"/>
  <c r="U82" i="52"/>
  <c r="X81" i="52"/>
  <c r="U81" i="52"/>
  <c r="X80" i="52"/>
  <c r="U80" i="52"/>
  <c r="X79" i="52"/>
  <c r="U79" i="52"/>
  <c r="X78" i="52"/>
  <c r="U78" i="52"/>
  <c r="X77" i="52"/>
  <c r="U77" i="52"/>
  <c r="X76" i="52"/>
  <c r="U76" i="52"/>
  <c r="X75" i="52"/>
  <c r="U75" i="52"/>
  <c r="X74" i="52"/>
  <c r="U74" i="52"/>
  <c r="X73" i="52"/>
  <c r="U73" i="52"/>
  <c r="X72" i="52"/>
  <c r="U72" i="52"/>
  <c r="X71" i="52"/>
  <c r="U71" i="52"/>
  <c r="X70" i="52"/>
  <c r="U70" i="52"/>
  <c r="X69" i="52"/>
  <c r="U69" i="52"/>
  <c r="X68" i="52"/>
  <c r="U68" i="52"/>
  <c r="U67" i="52"/>
  <c r="X66" i="52"/>
  <c r="U66" i="52"/>
  <c r="X65" i="52"/>
  <c r="U65" i="52"/>
  <c r="X64" i="52"/>
  <c r="U64" i="52"/>
  <c r="X63" i="52"/>
  <c r="U63" i="52"/>
  <c r="X62" i="52"/>
  <c r="U62" i="52"/>
  <c r="X61" i="52"/>
  <c r="U61" i="52"/>
  <c r="X12" i="52"/>
  <c r="U12" i="52"/>
  <c r="X11" i="52"/>
  <c r="U11" i="52"/>
  <c r="X10" i="52"/>
  <c r="U10" i="52"/>
  <c r="X9" i="52"/>
  <c r="U9" i="52"/>
  <c r="X8" i="52"/>
  <c r="U8" i="52"/>
  <c r="U7" i="52"/>
  <c r="K7" i="52"/>
  <c r="P7" i="52" s="1"/>
  <c r="L19" i="1"/>
  <c r="AF94" i="52" l="1"/>
  <c r="AE94" i="52" s="1"/>
  <c r="AF96" i="52"/>
  <c r="AE96" i="52" s="1"/>
  <c r="AF11" i="52"/>
  <c r="AE11" i="52" s="1"/>
  <c r="AF63" i="52"/>
  <c r="AE63" i="52" s="1"/>
  <c r="AF65" i="52"/>
  <c r="AF9" i="52"/>
  <c r="AF70" i="52"/>
  <c r="AF72" i="52"/>
  <c r="AF76" i="52"/>
  <c r="AF78" i="52"/>
  <c r="AF82" i="52"/>
  <c r="AF84" i="52"/>
  <c r="AF88" i="52"/>
  <c r="AF90" i="52"/>
  <c r="AF100" i="52"/>
  <c r="AF102" i="52"/>
  <c r="AF74" i="52"/>
  <c r="AF73" i="52"/>
  <c r="AF64" i="52"/>
  <c r="AF67" i="52"/>
  <c r="AE67" i="52" s="1"/>
  <c r="AF68" i="52"/>
  <c r="AE68" i="52" s="1"/>
  <c r="AF79" i="52"/>
  <c r="AF80" i="52" s="1"/>
  <c r="AF85" i="52"/>
  <c r="AE85" i="52" s="1"/>
  <c r="AF92" i="52"/>
  <c r="AE92" i="52" s="1"/>
  <c r="AF91" i="52"/>
  <c r="AF97" i="52"/>
  <c r="AF98" i="52"/>
  <c r="AE98" i="52" s="1"/>
  <c r="AF61" i="52"/>
  <c r="AF62" i="52" s="1"/>
  <c r="AE62" i="52" s="1"/>
  <c r="AF66" i="52"/>
  <c r="AE66" i="52" s="1"/>
  <c r="AF69" i="52"/>
  <c r="AE69" i="52" s="1"/>
  <c r="AF71" i="52"/>
  <c r="AF75" i="52"/>
  <c r="AF77" i="52"/>
  <c r="AF81" i="52"/>
  <c r="AF83" i="52"/>
  <c r="AE83" i="52" s="1"/>
  <c r="AF87" i="52"/>
  <c r="AE87" i="52" s="1"/>
  <c r="AF89" i="52"/>
  <c r="AF93" i="52"/>
  <c r="AF95" i="52"/>
  <c r="AE95" i="52" s="1"/>
  <c r="AF99" i="52"/>
  <c r="AF101" i="52"/>
  <c r="AF10" i="52"/>
  <c r="AF12" i="52"/>
  <c r="AE12" i="52" s="1"/>
  <c r="P79" i="52"/>
  <c r="AB68" i="52"/>
  <c r="L67" i="52"/>
  <c r="AB67" i="52" s="1"/>
  <c r="AC67" i="52" s="1"/>
  <c r="P67" i="52"/>
  <c r="AF7" i="52"/>
  <c r="AF8" i="52" s="1"/>
  <c r="P85" i="52"/>
  <c r="P61" i="52"/>
  <c r="P91" i="52"/>
  <c r="P73" i="52"/>
  <c r="L91" i="52"/>
  <c r="AB91" i="52" s="1"/>
  <c r="L73" i="52"/>
  <c r="L97" i="52"/>
  <c r="AB97" i="52" s="1"/>
  <c r="L79" i="52"/>
  <c r="AB79" i="52" s="1"/>
  <c r="AB95" i="52"/>
  <c r="L85" i="52"/>
  <c r="AB90" i="52"/>
  <c r="AE102" i="52"/>
  <c r="AB98" i="52"/>
  <c r="AE79" i="52" l="1"/>
  <c r="AE7" i="52"/>
  <c r="AB83" i="52"/>
  <c r="AB87" i="52"/>
  <c r="AE90" i="52"/>
  <c r="AB11" i="52"/>
  <c r="AB61" i="52"/>
  <c r="AD61" i="52" s="1"/>
  <c r="AB62" i="52" s="1"/>
  <c r="AB66" i="52"/>
  <c r="AB69" i="52"/>
  <c r="AC69" i="52" s="1"/>
  <c r="AE78" i="52"/>
  <c r="AE91" i="52"/>
  <c r="AE97" i="52"/>
  <c r="AB101" i="52"/>
  <c r="AB102" i="52"/>
  <c r="AE10" i="52"/>
  <c r="AE61" i="52"/>
  <c r="AE75" i="52"/>
  <c r="AB75" i="52"/>
  <c r="AE82" i="52"/>
  <c r="AE99" i="52"/>
  <c r="AE101" i="52"/>
  <c r="AD68" i="52" l="1"/>
  <c r="AC68" i="52"/>
  <c r="AD67" i="52"/>
  <c r="AG67" i="52"/>
  <c r="AD101" i="52"/>
  <c r="AC101" i="52"/>
  <c r="AG101" i="52" s="1"/>
  <c r="AG69" i="52" l="1"/>
  <c r="AE9" i="52"/>
  <c r="AB9" i="52"/>
  <c r="AG68" i="52"/>
  <c r="AB10" i="52"/>
  <c r="AC66" i="52"/>
  <c r="AG66" i="52" s="1"/>
  <c r="AD66" i="52"/>
  <c r="AB71" i="52"/>
  <c r="AE71" i="52"/>
  <c r="AB72" i="52"/>
  <c r="AE72" i="52"/>
  <c r="AD69" i="52"/>
  <c r="AE73" i="52"/>
  <c r="AB73" i="52"/>
  <c r="AB74" i="52"/>
  <c r="AD75" i="52"/>
  <c r="AC75" i="52"/>
  <c r="AG75" i="52" s="1"/>
  <c r="AB78" i="52"/>
  <c r="AE81" i="52"/>
  <c r="AB81" i="52"/>
  <c r="AE80" i="52"/>
  <c r="L7" i="52"/>
  <c r="AB7" i="52" s="1"/>
  <c r="AE8" i="52"/>
  <c r="AD11" i="52"/>
  <c r="AC11" i="52"/>
  <c r="AC61" i="52"/>
  <c r="AG61" i="52" s="1"/>
  <c r="AB64" i="52"/>
  <c r="AE64" i="52"/>
  <c r="AE74" i="52"/>
  <c r="AD62" i="52"/>
  <c r="AC62" i="52"/>
  <c r="AG62" i="52" s="1"/>
  <c r="AB65" i="52"/>
  <c r="AE65" i="52"/>
  <c r="AD102" i="52"/>
  <c r="AC102" i="52"/>
  <c r="AG102" i="52" s="1"/>
  <c r="AD79" i="52"/>
  <c r="AB80" i="52" s="1"/>
  <c r="AC79" i="52"/>
  <c r="AG79" i="52" s="1"/>
  <c r="AB82" i="52"/>
  <c r="AB85" i="52"/>
  <c r="AE89" i="52"/>
  <c r="AB89" i="52"/>
  <c r="AD90" i="52"/>
  <c r="AC90" i="52"/>
  <c r="AG90" i="52" s="1"/>
  <c r="AB12" i="52"/>
  <c r="AB63" i="52"/>
  <c r="AE70" i="52"/>
  <c r="AB70" i="52"/>
  <c r="AE84" i="52"/>
  <c r="AB84" i="52"/>
  <c r="AD97" i="52"/>
  <c r="AC97" i="52"/>
  <c r="AG97" i="52" s="1"/>
  <c r="AE77" i="52"/>
  <c r="AB77" i="52"/>
  <c r="AE76" i="52"/>
  <c r="AB76" i="52"/>
  <c r="AD83" i="52"/>
  <c r="AC83" i="52"/>
  <c r="AG83" i="52" s="1"/>
  <c r="AC87" i="52"/>
  <c r="AG87" i="52" s="1"/>
  <c r="AD87" i="52"/>
  <c r="AD91" i="52"/>
  <c r="AC91" i="52"/>
  <c r="AG91" i="52" s="1"/>
  <c r="AB94" i="52"/>
  <c r="AD95" i="52"/>
  <c r="AC95" i="52"/>
  <c r="AG95" i="52" s="1"/>
  <c r="AE100" i="52"/>
  <c r="AB100" i="52"/>
  <c r="AE88" i="52"/>
  <c r="AB88" i="52"/>
  <c r="AE93" i="52"/>
  <c r="AB93" i="52"/>
  <c r="AD98" i="52"/>
  <c r="AC98" i="52"/>
  <c r="AG98" i="52" s="1"/>
  <c r="AB92" i="52"/>
  <c r="AB96" i="52"/>
  <c r="AB99" i="52"/>
  <c r="AD7" i="52" l="1"/>
  <c r="AB8" i="52" s="1"/>
  <c r="AC8" i="52" s="1"/>
  <c r="AC7" i="52"/>
  <c r="AG11" i="52"/>
  <c r="AD100" i="52"/>
  <c r="AC100" i="52"/>
  <c r="AG100" i="52" s="1"/>
  <c r="AD94" i="52"/>
  <c r="AC94" i="52"/>
  <c r="AG94" i="52" s="1"/>
  <c r="AD82" i="52"/>
  <c r="AC82" i="52"/>
  <c r="AG82" i="52" s="1"/>
  <c r="AD65" i="52"/>
  <c r="AC65" i="52"/>
  <c r="AG65" i="52" s="1"/>
  <c r="AD10" i="52"/>
  <c r="AC10" i="52"/>
  <c r="AC96" i="52"/>
  <c r="AG96" i="52" s="1"/>
  <c r="AD96" i="52"/>
  <c r="AC88" i="52"/>
  <c r="AG88" i="52" s="1"/>
  <c r="AD88" i="52"/>
  <c r="AD77" i="52"/>
  <c r="AC77" i="52"/>
  <c r="AG77" i="52" s="1"/>
  <c r="AC63" i="52"/>
  <c r="AG63" i="52" s="1"/>
  <c r="AD63" i="52"/>
  <c r="AD64" i="52"/>
  <c r="AC64" i="52"/>
  <c r="AG64" i="52" s="1"/>
  <c r="AC81" i="52"/>
  <c r="AG81" i="52" s="1"/>
  <c r="AD81" i="52"/>
  <c r="AC71" i="52"/>
  <c r="AG71" i="52" s="1"/>
  <c r="AD71" i="52"/>
  <c r="AC9" i="52"/>
  <c r="AD9" i="52"/>
  <c r="AC76" i="52"/>
  <c r="AG76" i="52" s="1"/>
  <c r="AD76" i="52"/>
  <c r="AC84" i="52"/>
  <c r="AG84" i="52" s="1"/>
  <c r="AD84" i="52"/>
  <c r="AC70" i="52"/>
  <c r="AG70" i="52" s="1"/>
  <c r="AD70" i="52"/>
  <c r="AC80" i="52"/>
  <c r="AG80" i="52" s="1"/>
  <c r="AD80" i="52"/>
  <c r="AD78" i="52"/>
  <c r="AC78" i="52"/>
  <c r="AG78" i="52" s="1"/>
  <c r="AD73" i="52"/>
  <c r="AC73" i="52"/>
  <c r="AG73" i="52" s="1"/>
  <c r="AD72" i="52"/>
  <c r="AC72" i="52"/>
  <c r="AG72" i="52" s="1"/>
  <c r="AC99" i="52"/>
  <c r="AG99" i="52" s="1"/>
  <c r="AD99" i="52"/>
  <c r="AC89" i="52"/>
  <c r="AG89" i="52" s="1"/>
  <c r="AD89" i="52"/>
  <c r="AC92" i="52"/>
  <c r="AG92" i="52" s="1"/>
  <c r="AD92" i="52"/>
  <c r="AD93" i="52"/>
  <c r="AC93" i="52"/>
  <c r="AG93" i="52" s="1"/>
  <c r="AC12" i="52"/>
  <c r="AD12" i="52"/>
  <c r="AC85" i="52"/>
  <c r="AG85" i="52" s="1"/>
  <c r="AD85" i="52"/>
  <c r="AD74" i="52"/>
  <c r="AC74" i="52"/>
  <c r="AG74" i="52" s="1"/>
  <c r="AG10" i="52" l="1"/>
  <c r="AG9" i="52"/>
  <c r="AG12" i="52"/>
  <c r="Y12" i="1"/>
  <c r="V12" i="1"/>
  <c r="Y11" i="1"/>
  <c r="V11" i="1"/>
  <c r="Y10" i="1"/>
  <c r="V10" i="1"/>
  <c r="Y9" i="1"/>
  <c r="V9" i="1"/>
  <c r="AG10" i="1" s="1"/>
  <c r="Y8" i="1"/>
  <c r="V8" i="1"/>
  <c r="Y7" i="1"/>
  <c r="V7" i="1"/>
  <c r="L7" i="1"/>
  <c r="Y24" i="1"/>
  <c r="V24" i="1"/>
  <c r="Y23" i="1"/>
  <c r="V23" i="1"/>
  <c r="Y22" i="1"/>
  <c r="V22" i="1"/>
  <c r="Y21" i="1"/>
  <c r="V21" i="1"/>
  <c r="Y20" i="1"/>
  <c r="V20" i="1"/>
  <c r="Y19" i="1"/>
  <c r="V19" i="1"/>
  <c r="M19" i="1"/>
  <c r="AG12" i="1" l="1"/>
  <c r="AG9" i="1"/>
  <c r="AF9" i="1" s="1"/>
  <c r="AG11" i="1"/>
  <c r="AG23" i="1"/>
  <c r="AG24" i="1"/>
  <c r="AC10" i="1"/>
  <c r="AE10" i="1" s="1"/>
  <c r="O20" i="1"/>
  <c r="O22" i="1"/>
  <c r="O24" i="1"/>
  <c r="O12" i="1"/>
  <c r="O23" i="1"/>
  <c r="O9" i="1"/>
  <c r="O11" i="1"/>
  <c r="O21" i="1"/>
  <c r="O10" i="1"/>
  <c r="O8" i="1"/>
  <c r="AF11" i="1" l="1"/>
  <c r="AC11" i="1"/>
  <c r="AE11" i="1" s="1"/>
  <c r="AF23" i="1"/>
  <c r="AF10" i="1"/>
  <c r="AF24" i="1"/>
  <c r="AF12" i="1"/>
  <c r="AD10" i="1"/>
  <c r="M7" i="1"/>
  <c r="AC12" i="1"/>
  <c r="AC9" i="1"/>
  <c r="AC19" i="1"/>
  <c r="AC23" i="1"/>
  <c r="AC24" i="1"/>
  <c r="AC7" i="1" l="1"/>
  <c r="AD7" i="1" s="1"/>
  <c r="AD11" i="1"/>
  <c r="AH11" i="1" s="1"/>
  <c r="AH10" i="1"/>
  <c r="AD12" i="1"/>
  <c r="AH12" i="1" s="1"/>
  <c r="AE12" i="1"/>
  <c r="AD9" i="1"/>
  <c r="AH9" i="1" s="1"/>
  <c r="AE9" i="1"/>
  <c r="AE23" i="1"/>
  <c r="AD23" i="1"/>
  <c r="AH23" i="1" s="1"/>
  <c r="AD24" i="1"/>
  <c r="AH24" i="1" s="1"/>
  <c r="AE24" i="1"/>
  <c r="AE19" i="1"/>
  <c r="AC20" i="1" s="1"/>
  <c r="AD20" i="1" s="1"/>
  <c r="AD19" i="1"/>
  <c r="V281" i="1"/>
  <c r="V282" i="1"/>
  <c r="V283" i="1"/>
  <c r="V284" i="1"/>
  <c r="V285" i="1"/>
  <c r="V286" i="1"/>
  <c r="V227" i="1"/>
  <c r="V228" i="1"/>
  <c r="V229" i="1"/>
  <c r="V230" i="1"/>
  <c r="V231" i="1"/>
  <c r="V232" i="1"/>
  <c r="AG232" i="1" l="1"/>
  <c r="AF232" i="1" s="1"/>
  <c r="AG284" i="1"/>
  <c r="AE7" i="1"/>
  <c r="AC8" i="1" s="1"/>
  <c r="AD8" i="1" s="1"/>
  <c r="AG228" i="1"/>
  <c r="AG230" i="1"/>
  <c r="AF230" i="1" s="1"/>
  <c r="AG286" i="1"/>
  <c r="AG282" i="1"/>
  <c r="AG231" i="1"/>
  <c r="AF231" i="1" s="1"/>
  <c r="AG283" i="1"/>
  <c r="AG229" i="1"/>
  <c r="AF229" i="1" s="1"/>
  <c r="AG285" i="1"/>
  <c r="AE20" i="1"/>
  <c r="AC21" i="1" s="1"/>
  <c r="AC228" i="1"/>
  <c r="AC229" i="1"/>
  <c r="AC230" i="1"/>
  <c r="AC231" i="1"/>
  <c r="AC232" i="1"/>
  <c r="Y239" i="1"/>
  <c r="Y240" i="1"/>
  <c r="Y241" i="1"/>
  <c r="Y242" i="1"/>
  <c r="Y243" i="1"/>
  <c r="Y244" i="1"/>
  <c r="Y257" i="1"/>
  <c r="Y258" i="1"/>
  <c r="Y259" i="1"/>
  <c r="Y260" i="1"/>
  <c r="Y261" i="1"/>
  <c r="Y262" i="1"/>
  <c r="Y281" i="1"/>
  <c r="Y282" i="1"/>
  <c r="Y283" i="1"/>
  <c r="Y284" i="1"/>
  <c r="Y285" i="1"/>
  <c r="Y286" i="1"/>
  <c r="Y227" i="1"/>
  <c r="Y228" i="1"/>
  <c r="Y229" i="1"/>
  <c r="Y230" i="1"/>
  <c r="Y231" i="1"/>
  <c r="Y232" i="1"/>
  <c r="L257" i="1"/>
  <c r="L281" i="1"/>
  <c r="L227" i="1"/>
  <c r="L239" i="1"/>
  <c r="AE8" i="1" l="1"/>
  <c r="AD21" i="1"/>
  <c r="AE21" i="1"/>
  <c r="AC22" i="1" s="1"/>
  <c r="AE230" i="1"/>
  <c r="AD230" i="1"/>
  <c r="AH230" i="1" s="1"/>
  <c r="AD232" i="1"/>
  <c r="AH232" i="1" s="1"/>
  <c r="AE232" i="1"/>
  <c r="AE228" i="1"/>
  <c r="AD228" i="1"/>
  <c r="AH228" i="1" s="1"/>
  <c r="AE229" i="1"/>
  <c r="AD229" i="1"/>
  <c r="AH229" i="1" s="1"/>
  <c r="AD231" i="1"/>
  <c r="AH231" i="1" s="1"/>
  <c r="AE231" i="1"/>
  <c r="M227" i="1"/>
  <c r="AC227" i="1" s="1"/>
  <c r="O228" i="1"/>
  <c r="O230" i="1"/>
  <c r="O231" i="1"/>
  <c r="O232" i="1"/>
  <c r="O229" i="1"/>
  <c r="AE22" i="1" l="1"/>
  <c r="AD22" i="1"/>
  <c r="AE227" i="1"/>
  <c r="AD227" i="1"/>
  <c r="O282" i="1"/>
  <c r="O283" i="1"/>
  <c r="O261" i="1"/>
  <c r="O242" i="1"/>
  <c r="O243" i="1"/>
  <c r="O244" i="1"/>
  <c r="O262" i="1"/>
  <c r="O286" i="1"/>
  <c r="O241" i="1"/>
  <c r="O260" i="1"/>
  <c r="O259" i="1"/>
  <c r="O240" i="1"/>
  <c r="O258" i="1"/>
  <c r="O285" i="1"/>
  <c r="O284" i="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281" i="1" l="1"/>
  <c r="AC281" i="1" s="1"/>
  <c r="V262" i="1"/>
  <c r="V261" i="1"/>
  <c r="V260" i="1"/>
  <c r="V259" i="1"/>
  <c r="V258" i="1"/>
  <c r="V257" i="1"/>
  <c r="M257" i="1"/>
  <c r="V244" i="1"/>
  <c r="V243" i="1"/>
  <c r="V242" i="1"/>
  <c r="V241" i="1"/>
  <c r="V240" i="1"/>
  <c r="V239" i="1"/>
  <c r="M239" i="1"/>
  <c r="AG242" i="1" l="1"/>
  <c r="AG261" i="1"/>
  <c r="AG241" i="1"/>
  <c r="AG260" i="1"/>
  <c r="AG243" i="1"/>
  <c r="AG258" i="1"/>
  <c r="AG262" i="1"/>
  <c r="AG244" i="1"/>
  <c r="AG259" i="1"/>
  <c r="AC239" i="1"/>
  <c r="AC241" i="1"/>
  <c r="AC260" i="1"/>
  <c r="AC286" i="1"/>
  <c r="AC243" i="1"/>
  <c r="AC262" i="1"/>
  <c r="AC284" i="1"/>
  <c r="AC242" i="1"/>
  <c r="AC261" i="1"/>
  <c r="AC283" i="1"/>
  <c r="AC282" i="1"/>
  <c r="AC257" i="1"/>
  <c r="AC258" i="1"/>
  <c r="AC244" i="1"/>
  <c r="AC259" i="1"/>
  <c r="AC285" i="1"/>
  <c r="AD239" i="1" l="1"/>
  <c r="AE239" i="1"/>
  <c r="AC240" i="1" s="1"/>
  <c r="AE240" i="1" s="1"/>
  <c r="AD241" i="1" s="1"/>
  <c r="AD281" i="1"/>
  <c r="AE281" i="1"/>
  <c r="AE282" i="1" s="1"/>
  <c r="AD257" i="1"/>
  <c r="AE257" i="1"/>
  <c r="AD282" i="1" l="1"/>
  <c r="AD240" i="1"/>
  <c r="AE283" i="1"/>
  <c r="AD283" i="1"/>
  <c r="AE241"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284" i="1" l="1"/>
  <c r="AE284" i="1"/>
  <c r="AD258" i="1"/>
  <c r="AE258" i="1"/>
  <c r="AD259" i="1" s="1"/>
  <c r="AD243" i="1"/>
  <c r="AE259" i="1" l="1"/>
  <c r="AE260" i="1" s="1"/>
  <c r="AD285" i="1"/>
  <c r="AE285" i="1"/>
  <c r="AD242" i="1"/>
  <c r="AE242" i="1"/>
  <c r="AE243" i="1"/>
  <c r="AD260" i="1" l="1"/>
  <c r="AD286" i="1"/>
  <c r="AE286" i="1"/>
  <c r="AE261" i="1"/>
  <c r="AD261" i="1"/>
  <c r="AD244" i="1"/>
  <c r="AE244" i="1"/>
  <c r="AD262" i="1" l="1"/>
  <c r="AE262" i="1"/>
  <c r="AF258" i="1" l="1"/>
  <c r="AF282" i="1"/>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F241" i="1"/>
  <c r="AF283"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H258" i="1"/>
  <c r="K10" i="19"/>
  <c r="Q40" i="19"/>
  <c r="K30" i="19"/>
  <c r="AI50" i="19"/>
  <c r="AI20" i="19"/>
  <c r="K50" i="19"/>
  <c r="AI40" i="19"/>
  <c r="W40" i="19"/>
  <c r="K20" i="19"/>
  <c r="AC10" i="19"/>
  <c r="AI10" i="19"/>
  <c r="AC20" i="19"/>
  <c r="AI30" i="19"/>
  <c r="AC30" i="19"/>
  <c r="W30" i="19"/>
  <c r="Q20" i="19"/>
  <c r="K23" i="19"/>
  <c r="AI43" i="19"/>
  <c r="AC43" i="19"/>
  <c r="AC53" i="19"/>
  <c r="W43" i="19"/>
  <c r="K13" i="19"/>
  <c r="Q53" i="19"/>
  <c r="AI53" i="19"/>
  <c r="K33" i="19"/>
  <c r="K43" i="19"/>
  <c r="AI33" i="19"/>
  <c r="AC33" i="19"/>
  <c r="AH282"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F259" i="1"/>
  <c r="R40" i="19" l="1"/>
  <c r="AD10" i="19"/>
  <c r="X40" i="19"/>
  <c r="AJ10" i="19"/>
  <c r="R50" i="19"/>
  <c r="X10" i="19"/>
  <c r="R30" i="19"/>
  <c r="AH259" i="1"/>
  <c r="L10" i="19"/>
  <c r="L50" i="19"/>
  <c r="AJ20" i="19"/>
  <c r="AJ40" i="19"/>
  <c r="AD30" i="19"/>
  <c r="R20" i="19"/>
  <c r="AD50" i="19"/>
  <c r="AJ30" i="19"/>
  <c r="AJ50" i="19"/>
  <c r="X30" i="19"/>
  <c r="AD20" i="19"/>
  <c r="L40" i="19"/>
  <c r="X50" i="19"/>
  <c r="X20" i="19"/>
  <c r="AD40" i="19"/>
  <c r="R10" i="19"/>
  <c r="L30" i="19"/>
  <c r="L20" i="19"/>
  <c r="AF284" i="1"/>
  <c r="AJ43" i="19"/>
  <c r="AD33" i="19"/>
  <c r="X33" i="19"/>
  <c r="X13" i="19"/>
  <c r="AD43" i="19"/>
  <c r="L43" i="19"/>
  <c r="AH283"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F242" i="1"/>
  <c r="AF243" i="1"/>
  <c r="AF244" i="1"/>
  <c r="AF260"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H241" i="1"/>
  <c r="AD9" i="19"/>
  <c r="AJ49" i="19"/>
  <c r="L39" i="19"/>
  <c r="R19" i="19"/>
  <c r="AJ39" i="19"/>
  <c r="AJ29" i="19"/>
  <c r="AJ19" i="19"/>
  <c r="AJ9" i="19"/>
  <c r="AD49" i="19"/>
  <c r="L19" i="19"/>
  <c r="L29" i="19"/>
  <c r="R49" i="19"/>
  <c r="AF261" i="1" l="1"/>
  <c r="AF262" i="1"/>
  <c r="AG39" i="19"/>
  <c r="AG29" i="19"/>
  <c r="AM19" i="19"/>
  <c r="O39" i="19"/>
  <c r="AH244"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H26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H243"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H242" i="1"/>
  <c r="M9" i="19"/>
  <c r="Y29" i="19"/>
  <c r="AF285" i="1"/>
  <c r="AF286"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H284"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H28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H285"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H26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H26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H12" i="18" l="1"/>
  <c r="AH20" i="18"/>
  <c r="V12" i="18"/>
  <c r="AB20" i="18"/>
  <c r="J20" i="18"/>
  <c r="P44" i="18"/>
  <c r="V28" i="18"/>
  <c r="J28" i="18"/>
  <c r="J44" i="18"/>
  <c r="AB12" i="18"/>
  <c r="AH44" i="18"/>
  <c r="P20" i="18"/>
  <c r="AB28" i="18"/>
  <c r="AB36" i="18"/>
  <c r="P28" i="18"/>
  <c r="P36" i="18"/>
  <c r="AH28" i="18"/>
  <c r="J12" i="18"/>
  <c r="AB44" i="18"/>
  <c r="V36" i="18"/>
  <c r="AH36" i="18"/>
  <c r="P12" i="18"/>
  <c r="V44" i="18"/>
  <c r="V20" i="18"/>
  <c r="J36" i="18"/>
  <c r="AF22" i="18"/>
  <c r="AF30" i="18"/>
  <c r="Z6" i="18"/>
  <c r="T14" i="18"/>
  <c r="N6" i="18"/>
  <c r="Z22" i="18"/>
  <c r="AL38" i="18"/>
  <c r="AF6" i="18"/>
  <c r="T30" i="18"/>
  <c r="AF14" i="18"/>
  <c r="N14" i="18"/>
  <c r="AF38" i="18"/>
  <c r="T38" i="18"/>
  <c r="N38" i="18"/>
  <c r="AL6" i="18"/>
  <c r="T22" i="18"/>
  <c r="AL30" i="18"/>
  <c r="Z14" i="18"/>
  <c r="Z30" i="18"/>
  <c r="AL14" i="18"/>
  <c r="AL22" i="18"/>
  <c r="Z38" i="18"/>
  <c r="N30" i="18"/>
  <c r="N22" i="18"/>
  <c r="T6" i="18"/>
  <c r="Z42" i="18"/>
  <c r="AF26" i="18"/>
  <c r="AF18" i="18"/>
  <c r="N34" i="18"/>
  <c r="T18" i="18"/>
  <c r="Z10" i="18"/>
  <c r="Z26" i="18"/>
  <c r="AF34" i="18"/>
  <c r="N18" i="18"/>
  <c r="AL34" i="18"/>
  <c r="AF10" i="18"/>
  <c r="AF42" i="18"/>
  <c r="T26" i="18"/>
  <c r="N42" i="18"/>
  <c r="N26" i="18"/>
  <c r="T10" i="18"/>
  <c r="T34" i="18"/>
  <c r="Z18" i="18"/>
  <c r="AL18" i="18"/>
  <c r="T42" i="18"/>
  <c r="AL10" i="18"/>
  <c r="N10" i="18"/>
  <c r="AL42" i="18"/>
  <c r="Z34" i="18"/>
  <c r="AL26" i="18"/>
  <c r="AB38" i="18"/>
  <c r="J6" i="18"/>
  <c r="AH30" i="18"/>
  <c r="AH14" i="18"/>
  <c r="J30" i="18"/>
  <c r="P30" i="18"/>
  <c r="J22" i="18"/>
  <c r="AH38" i="18"/>
  <c r="P38" i="18"/>
  <c r="AH22" i="18"/>
  <c r="V38" i="18"/>
  <c r="J14" i="18"/>
  <c r="AB6" i="18"/>
  <c r="P6" i="18"/>
  <c r="P14" i="18"/>
  <c r="AB22" i="18"/>
  <c r="J38" i="18"/>
  <c r="P22" i="18"/>
  <c r="V22" i="18"/>
  <c r="V30" i="18"/>
  <c r="AH6" i="18"/>
  <c r="AB30" i="18"/>
  <c r="V14" i="18"/>
  <c r="AB14" i="18"/>
  <c r="V6" i="18"/>
  <c r="P18" i="19" l="1"/>
  <c r="P38" i="19"/>
  <c r="J28" i="19"/>
  <c r="AH38" i="19"/>
  <c r="J48" i="19"/>
  <c r="P48" i="19"/>
  <c r="V28" i="19"/>
  <c r="AB18" i="19"/>
  <c r="AB8" i="19"/>
  <c r="J8" i="19"/>
  <c r="P28" i="19"/>
  <c r="J18" i="19"/>
  <c r="AH8" i="19"/>
  <c r="AB28" i="19"/>
  <c r="AB48" i="19"/>
  <c r="V38" i="19"/>
  <c r="V8" i="19"/>
  <c r="AH28" i="19"/>
  <c r="AH48" i="19"/>
  <c r="AB38" i="19"/>
  <c r="AH18" i="19"/>
  <c r="V48" i="19"/>
  <c r="V18" i="19"/>
  <c r="P8" i="19"/>
  <c r="J38" i="19"/>
  <c r="V25" i="19"/>
  <c r="P45" i="19"/>
  <c r="AH15" i="19"/>
  <c r="J45" i="19"/>
  <c r="V45" i="19"/>
  <c r="V15" i="19"/>
  <c r="V35" i="19"/>
  <c r="P25" i="19"/>
  <c r="J15" i="19"/>
  <c r="J35" i="19"/>
  <c r="J55" i="19"/>
  <c r="P35" i="19"/>
  <c r="AB45" i="19"/>
  <c r="AH25" i="19"/>
  <c r="AH45" i="19"/>
  <c r="AB55" i="19"/>
  <c r="AH35" i="19"/>
  <c r="AH55" i="19"/>
  <c r="J25" i="19"/>
  <c r="V55" i="19"/>
  <c r="AB15" i="19"/>
  <c r="AB35" i="19"/>
  <c r="AB25" i="19"/>
  <c r="P55" i="19"/>
  <c r="P15" i="19"/>
  <c r="P16" i="19" l="1"/>
  <c r="AH36" i="19"/>
  <c r="AC18" i="19"/>
  <c r="W38" i="19"/>
  <c r="AC8" i="19"/>
  <c r="AI28" i="19"/>
  <c r="W18" i="19"/>
  <c r="K38" i="19"/>
  <c r="AI8" i="19"/>
  <c r="W48" i="19"/>
  <c r="Q48" i="19"/>
  <c r="Q38" i="19"/>
  <c r="AC38" i="19"/>
  <c r="AI38" i="19"/>
  <c r="Q28" i="19"/>
  <c r="W28" i="19"/>
  <c r="K18" i="19"/>
  <c r="AI48" i="19"/>
  <c r="K8" i="19"/>
  <c r="W8" i="19"/>
  <c r="AC28" i="19"/>
  <c r="Q8" i="19"/>
  <c r="AI18" i="19"/>
  <c r="K48" i="19"/>
  <c r="K28" i="19"/>
  <c r="AC48" i="19"/>
  <c r="Q18" i="19"/>
  <c r="AH26" i="19"/>
  <c r="J16" i="19"/>
  <c r="AB16" i="19"/>
  <c r="P26" i="19"/>
  <c r="J46" i="19"/>
  <c r="V6" i="19"/>
  <c r="J26" i="19"/>
  <c r="AH16" i="19"/>
  <c r="AH6" i="19"/>
  <c r="P6" i="19"/>
  <c r="AB36" i="19"/>
  <c r="AB46" i="19"/>
  <c r="V36" i="19"/>
  <c r="AH46" i="19"/>
  <c r="V16" i="19"/>
  <c r="V46" i="19"/>
  <c r="J36" i="19"/>
  <c r="AB26" i="19"/>
  <c r="P36" i="19"/>
  <c r="P46" i="19"/>
  <c r="AB6" i="19"/>
  <c r="J6" i="19"/>
  <c r="V26" i="19"/>
  <c r="K46" i="19" l="1"/>
  <c r="AI36" i="19"/>
  <c r="AC46" i="19"/>
  <c r="AC26" i="19"/>
  <c r="AC6" i="19"/>
  <c r="AC36" i="19"/>
  <c r="AI46" i="19"/>
  <c r="AC16" i="19"/>
  <c r="Q46" i="19"/>
  <c r="AI26" i="19"/>
  <c r="K16" i="19"/>
  <c r="W36" i="19"/>
  <c r="W26" i="19"/>
  <c r="W6" i="19"/>
  <c r="Q36" i="19"/>
  <c r="AI16" i="19"/>
  <c r="AI6" i="19"/>
  <c r="W46" i="19"/>
  <c r="K26" i="19"/>
  <c r="Q26" i="19"/>
  <c r="K36" i="19"/>
  <c r="W16" i="19"/>
  <c r="Q16" i="19"/>
  <c r="K6" i="19"/>
  <c r="Q6" i="19"/>
  <c r="X16" i="19" l="1"/>
  <c r="R36" i="19"/>
  <c r="AD36" i="19"/>
  <c r="AD16" i="19"/>
  <c r="AJ36" i="19"/>
  <c r="L26" i="19"/>
  <c r="AD46" i="19"/>
  <c r="R6" i="19"/>
  <c r="AJ46" i="19"/>
  <c r="AJ26" i="19"/>
  <c r="X36" i="19"/>
  <c r="R46" i="19"/>
  <c r="R26" i="19"/>
  <c r="R16" i="19"/>
  <c r="L46" i="19"/>
  <c r="AD26" i="19"/>
  <c r="X46" i="19"/>
  <c r="AD6" i="19"/>
  <c r="AJ16" i="19"/>
  <c r="L36" i="19"/>
  <c r="X6" i="19"/>
  <c r="AJ6" i="19"/>
  <c r="L16" i="19"/>
  <c r="X26" i="19"/>
  <c r="L6" i="19"/>
  <c r="AK46" i="19"/>
  <c r="AK16" i="19"/>
  <c r="M16" i="19"/>
  <c r="Y6" i="19"/>
  <c r="M46" i="19"/>
  <c r="S6" i="19"/>
  <c r="AE16" i="19"/>
  <c r="AK26" i="19"/>
  <c r="AE46" i="19"/>
  <c r="S36" i="19"/>
  <c r="M26" i="19"/>
  <c r="Y46" i="19"/>
  <c r="AK36" i="19"/>
  <c r="Y26" i="19"/>
  <c r="AE36" i="19"/>
  <c r="M36" i="19"/>
  <c r="S46" i="19"/>
  <c r="S26" i="19"/>
  <c r="AK6" i="19"/>
  <c r="Y16" i="19"/>
  <c r="M6" i="19"/>
  <c r="AE26" i="19"/>
  <c r="S16" i="19"/>
  <c r="AE6" i="19"/>
  <c r="Y36" i="19"/>
  <c r="B223" i="13"/>
  <c r="B222" i="13"/>
  <c r="O215" i="1" l="1"/>
  <c r="P215" i="1" s="1"/>
  <c r="O55" i="1"/>
  <c r="P55" i="1" s="1"/>
  <c r="Q55" i="1" s="1"/>
  <c r="AG55" i="1" s="1"/>
  <c r="O49" i="1"/>
  <c r="P49" i="1" s="1"/>
  <c r="O31" i="1"/>
  <c r="P31" i="1" s="1"/>
  <c r="O13" i="1"/>
  <c r="P13" i="1" s="1"/>
  <c r="Q13" i="1" s="1"/>
  <c r="AG13" i="1" s="1"/>
  <c r="O25" i="1"/>
  <c r="O43" i="1"/>
  <c r="P43" i="1" s="1"/>
  <c r="O287" i="1"/>
  <c r="P287" i="1" s="1"/>
  <c r="R287" i="1" s="1"/>
  <c r="O149" i="1"/>
  <c r="P149" i="1" s="1"/>
  <c r="O143" i="1"/>
  <c r="P143" i="1" s="1"/>
  <c r="O209" i="1"/>
  <c r="O119" i="1"/>
  <c r="P119" i="1" s="1"/>
  <c r="O227" i="1"/>
  <c r="P227" i="1" s="1"/>
  <c r="O269" i="1"/>
  <c r="P269" i="1" s="1"/>
  <c r="O197" i="1"/>
  <c r="P197" i="1" s="1"/>
  <c r="O125" i="1"/>
  <c r="P125" i="1" s="1"/>
  <c r="O103" i="1"/>
  <c r="P103" i="1" s="1"/>
  <c r="O61" i="1"/>
  <c r="O203" i="1"/>
  <c r="P203" i="1" s="1"/>
  <c r="O263" i="1"/>
  <c r="P263" i="1" s="1"/>
  <c r="O173" i="1"/>
  <c r="P173" i="1" s="1"/>
  <c r="O79" i="1"/>
  <c r="O109" i="1"/>
  <c r="P109" i="1" s="1"/>
  <c r="O221" i="1"/>
  <c r="P221" i="1" s="1"/>
  <c r="O191" i="1"/>
  <c r="P191" i="1" s="1"/>
  <c r="O245" i="1"/>
  <c r="P245" i="1" s="1"/>
  <c r="O161" i="1"/>
  <c r="P161" i="1" s="1"/>
  <c r="O91" i="1"/>
  <c r="P91" i="1" s="1"/>
  <c r="O233" i="1"/>
  <c r="P233" i="1" s="1"/>
  <c r="O251" i="1"/>
  <c r="P251" i="1" s="1"/>
  <c r="O185" i="1"/>
  <c r="P185" i="1" s="1"/>
  <c r="O97" i="1"/>
  <c r="P97" i="1" s="1"/>
  <c r="O67" i="1"/>
  <c r="P67" i="1" s="1"/>
  <c r="O19" i="1"/>
  <c r="P19" i="1" s="1"/>
  <c r="O275" i="1"/>
  <c r="P275" i="1" s="1"/>
  <c r="O167" i="1"/>
  <c r="P167" i="1" s="1"/>
  <c r="O137" i="1"/>
  <c r="P137" i="1" s="1"/>
  <c r="O85" i="1"/>
  <c r="P85" i="1" s="1"/>
  <c r="O131" i="1"/>
  <c r="P131" i="1" s="1"/>
  <c r="O155" i="1"/>
  <c r="P155" i="1" s="1"/>
  <c r="O73" i="1"/>
  <c r="P73" i="1" s="1"/>
  <c r="O179" i="1"/>
  <c r="P179" i="1" s="1"/>
  <c r="O37" i="1"/>
  <c r="P37" i="1" s="1"/>
  <c r="O113" i="1"/>
  <c r="P113" i="1" s="1"/>
  <c r="O7" i="1"/>
  <c r="P7" i="1" s="1"/>
  <c r="O281" i="1"/>
  <c r="O257" i="1"/>
  <c r="O239" i="1"/>
  <c r="AG7" i="52"/>
  <c r="Q215" i="1" l="1"/>
  <c r="AG215" i="1" s="1"/>
  <c r="AF215" i="1" s="1"/>
  <c r="AH215" i="1" s="1"/>
  <c r="R215" i="1"/>
  <c r="R55" i="1"/>
  <c r="AF55" i="1"/>
  <c r="AH55" i="1" s="1"/>
  <c r="AG56" i="1"/>
  <c r="Q49" i="1"/>
  <c r="AG49" i="1" s="1"/>
  <c r="AF49" i="1" s="1"/>
  <c r="AH49" i="1" s="1"/>
  <c r="R49" i="1"/>
  <c r="Q31" i="1"/>
  <c r="AG31" i="1" s="1"/>
  <c r="AF31" i="1" s="1"/>
  <c r="AH31" i="1" s="1"/>
  <c r="R31" i="1"/>
  <c r="R13" i="1"/>
  <c r="Q25" i="1"/>
  <c r="AG25" i="1" s="1"/>
  <c r="R25" i="1"/>
  <c r="AF13" i="1"/>
  <c r="AH13" i="1" s="1"/>
  <c r="R43" i="1"/>
  <c r="Q43" i="1"/>
  <c r="AG44" i="1" s="1"/>
  <c r="Q287" i="1"/>
  <c r="AG287" i="1" s="1"/>
  <c r="AF287" i="1" s="1"/>
  <c r="AH287" i="1" s="1"/>
  <c r="Q143" i="1"/>
  <c r="AG143" i="1" s="1"/>
  <c r="R143" i="1"/>
  <c r="Q269" i="1"/>
  <c r="AG269" i="1" s="1"/>
  <c r="R269" i="1"/>
  <c r="AD38" i="18"/>
  <c r="AJ30" i="18"/>
  <c r="L6" i="18"/>
  <c r="X22" i="18"/>
  <c r="AD30" i="18"/>
  <c r="AD22" i="18"/>
  <c r="R38" i="18"/>
  <c r="R14" i="18"/>
  <c r="X6" i="18"/>
  <c r="L14" i="18"/>
  <c r="AJ22" i="18"/>
  <c r="L38" i="18"/>
  <c r="R6" i="18"/>
  <c r="X38" i="18"/>
  <c r="L30" i="18"/>
  <c r="R22" i="18"/>
  <c r="R30" i="18"/>
  <c r="X14" i="18"/>
  <c r="L22" i="18"/>
  <c r="AJ14" i="18"/>
  <c r="AJ6" i="18"/>
  <c r="AJ38" i="18"/>
  <c r="X30" i="18"/>
  <c r="AD14" i="18"/>
  <c r="AD6" i="18"/>
  <c r="Q37" i="1"/>
  <c r="R37" i="1"/>
  <c r="Q131" i="1"/>
  <c r="AG131" i="1" s="1"/>
  <c r="AG132" i="1" s="1"/>
  <c r="R131" i="1"/>
  <c r="Q19" i="1"/>
  <c r="AG19" i="1" s="1"/>
  <c r="R19" i="1"/>
  <c r="Q263" i="1"/>
  <c r="AG263" i="1" s="1"/>
  <c r="R263" i="1"/>
  <c r="Q227" i="1"/>
  <c r="AG227" i="1" s="1"/>
  <c r="AF227" i="1" s="1"/>
  <c r="AH227" i="1" s="1"/>
  <c r="R227" i="1"/>
  <c r="Q275" i="1"/>
  <c r="AG275" i="1" s="1"/>
  <c r="R275" i="1"/>
  <c r="AH16" i="18"/>
  <c r="R239" i="1"/>
  <c r="AH8" i="18"/>
  <c r="AB40" i="18"/>
  <c r="AB24" i="18"/>
  <c r="AH40" i="18"/>
  <c r="AB32" i="18"/>
  <c r="P32" i="18"/>
  <c r="P40" i="18"/>
  <c r="Q239" i="1"/>
  <c r="AG239" i="1" s="1"/>
  <c r="AG240" i="1" s="1"/>
  <c r="J24" i="18"/>
  <c r="J16" i="18"/>
  <c r="V16" i="18"/>
  <c r="V8" i="18"/>
  <c r="J32" i="18"/>
  <c r="J8" i="18"/>
  <c r="J40" i="18"/>
  <c r="AH32" i="18"/>
  <c r="AB16" i="18"/>
  <c r="V24" i="18"/>
  <c r="AB8" i="18"/>
  <c r="P24" i="18"/>
  <c r="P16" i="18"/>
  <c r="V32" i="18"/>
  <c r="AH24" i="18"/>
  <c r="P8" i="18"/>
  <c r="V40" i="18"/>
  <c r="Q67" i="1"/>
  <c r="AG67" i="1" s="1"/>
  <c r="AG68" i="1" s="1"/>
  <c r="R67" i="1"/>
  <c r="Q161" i="1"/>
  <c r="AG161" i="1" s="1"/>
  <c r="AG162" i="1" s="1"/>
  <c r="AG163" i="1" s="1"/>
  <c r="AG164" i="1" s="1"/>
  <c r="R161" i="1"/>
  <c r="Q203" i="1"/>
  <c r="AG203" i="1" s="1"/>
  <c r="AG204" i="1" s="1"/>
  <c r="R203" i="1"/>
  <c r="Q91" i="1"/>
  <c r="AG91" i="1" s="1"/>
  <c r="AF91" i="1" s="1"/>
  <c r="AH91" i="1" s="1"/>
  <c r="R91" i="1"/>
  <c r="R24" i="18"/>
  <c r="X32" i="18"/>
  <c r="R16" i="18"/>
  <c r="AD8" i="18"/>
  <c r="AJ8" i="18"/>
  <c r="AD16" i="18"/>
  <c r="L24" i="18"/>
  <c r="Q257" i="1"/>
  <c r="AG257" i="1" s="1"/>
  <c r="AF257" i="1" s="1"/>
  <c r="L40" i="18"/>
  <c r="R32" i="18"/>
  <c r="R8" i="18"/>
  <c r="AD32" i="18"/>
  <c r="X8" i="18"/>
  <c r="R257" i="1"/>
  <c r="L16" i="18"/>
  <c r="L8" i="18"/>
  <c r="AJ40" i="18"/>
  <c r="AD40" i="18"/>
  <c r="AD24" i="18"/>
  <c r="AJ32" i="18"/>
  <c r="X40" i="18"/>
  <c r="AJ24" i="18"/>
  <c r="X24" i="18"/>
  <c r="R40" i="18"/>
  <c r="X16" i="18"/>
  <c r="AJ16" i="18"/>
  <c r="L32" i="18"/>
  <c r="Q179" i="1"/>
  <c r="AG179" i="1" s="1"/>
  <c r="AG180" i="1" s="1"/>
  <c r="R179" i="1"/>
  <c r="Q97" i="1"/>
  <c r="AG97" i="1" s="1"/>
  <c r="AG98" i="1" s="1"/>
  <c r="R97" i="1"/>
  <c r="Q245" i="1"/>
  <c r="AG245" i="1" s="1"/>
  <c r="AG246" i="1" s="1"/>
  <c r="AG247" i="1" s="1"/>
  <c r="AG248" i="1" s="1"/>
  <c r="R245" i="1"/>
  <c r="Q155" i="1"/>
  <c r="R155" i="1"/>
  <c r="Q191" i="1"/>
  <c r="AG191" i="1" s="1"/>
  <c r="AG192" i="1" s="1"/>
  <c r="R191" i="1"/>
  <c r="Q61" i="1"/>
  <c r="AG61" i="1" s="1"/>
  <c r="AG62" i="1" s="1"/>
  <c r="R61" i="1"/>
  <c r="Q119" i="1"/>
  <c r="AG119" i="1" s="1"/>
  <c r="AG120" i="1" s="1"/>
  <c r="AG121" i="1" s="1"/>
  <c r="R119" i="1"/>
  <c r="AD34" i="18"/>
  <c r="R42" i="18"/>
  <c r="AJ18" i="18"/>
  <c r="R34" i="18"/>
  <c r="AJ42" i="18"/>
  <c r="L42" i="18"/>
  <c r="Q281" i="1"/>
  <c r="AG281" i="1" s="1"/>
  <c r="AF281" i="1" s="1"/>
  <c r="AJ10" i="18"/>
  <c r="X10" i="18"/>
  <c r="L10" i="18"/>
  <c r="X18" i="18"/>
  <c r="X34" i="18"/>
  <c r="AJ26" i="18"/>
  <c r="AD26" i="18"/>
  <c r="R26" i="18"/>
  <c r="L18" i="18"/>
  <c r="X42" i="18"/>
  <c r="AD10" i="18"/>
  <c r="X26" i="18"/>
  <c r="R281" i="1"/>
  <c r="R10" i="18"/>
  <c r="R18" i="18"/>
  <c r="AD42" i="18"/>
  <c r="AD18" i="18"/>
  <c r="L34" i="18"/>
  <c r="L26" i="18"/>
  <c r="AJ34" i="18"/>
  <c r="Q85" i="1"/>
  <c r="AG85" i="1" s="1"/>
  <c r="AF85" i="1" s="1"/>
  <c r="AH85" i="1" s="1"/>
  <c r="R85" i="1"/>
  <c r="Q185" i="1"/>
  <c r="AG185" i="1" s="1"/>
  <c r="AG186" i="1" s="1"/>
  <c r="R185" i="1"/>
  <c r="Q221" i="1"/>
  <c r="AG221" i="1" s="1"/>
  <c r="AF221" i="1" s="1"/>
  <c r="AH221" i="1" s="1"/>
  <c r="R221" i="1"/>
  <c r="Q103" i="1"/>
  <c r="AG103" i="1" s="1"/>
  <c r="AG104" i="1" s="1"/>
  <c r="AG105" i="1" s="1"/>
  <c r="AG106" i="1" s="1"/>
  <c r="R103" i="1"/>
  <c r="Q149" i="1"/>
  <c r="AG149" i="1" s="1"/>
  <c r="R149" i="1"/>
  <c r="J26" i="18"/>
  <c r="P18" i="18"/>
  <c r="AB26" i="18"/>
  <c r="V26" i="18"/>
  <c r="P10" i="18"/>
  <c r="AB34" i="18"/>
  <c r="J42" i="18"/>
  <c r="V42" i="18"/>
  <c r="V10" i="18"/>
  <c r="J18" i="18"/>
  <c r="P42" i="18"/>
  <c r="AB18" i="18"/>
  <c r="AH18" i="18"/>
  <c r="J34" i="18"/>
  <c r="P34" i="18"/>
  <c r="V34" i="18"/>
  <c r="J10" i="18"/>
  <c r="AH10" i="18"/>
  <c r="AH42" i="18"/>
  <c r="AH26" i="18"/>
  <c r="AH34" i="18"/>
  <c r="AB42" i="18"/>
  <c r="P26" i="18"/>
  <c r="AB10" i="18"/>
  <c r="V18" i="18"/>
  <c r="Q137" i="1"/>
  <c r="AG137" i="1" s="1"/>
  <c r="R137" i="1"/>
  <c r="Q251" i="1"/>
  <c r="AG251" i="1" s="1"/>
  <c r="AG252" i="1" s="1"/>
  <c r="R251" i="1"/>
  <c r="Q109" i="1"/>
  <c r="AG109" i="1" s="1"/>
  <c r="AG110" i="1" s="1"/>
  <c r="R109" i="1"/>
  <c r="Q125" i="1"/>
  <c r="R125" i="1"/>
  <c r="Q209" i="1"/>
  <c r="AG209" i="1" s="1"/>
  <c r="AF209" i="1" s="1"/>
  <c r="AH209" i="1" s="1"/>
  <c r="R209" i="1"/>
  <c r="Q113" i="1"/>
  <c r="AG113" i="1" s="1"/>
  <c r="AG114" i="1" s="1"/>
  <c r="AG115" i="1" s="1"/>
  <c r="R113" i="1"/>
  <c r="Q173" i="1"/>
  <c r="AG173" i="1" s="1"/>
  <c r="AG174" i="1" s="1"/>
  <c r="AG175" i="1" s="1"/>
  <c r="R173" i="1"/>
  <c r="AL8" i="18"/>
  <c r="AL40" i="18"/>
  <c r="AF32" i="18"/>
  <c r="Z24" i="18"/>
  <c r="Z32" i="18"/>
  <c r="N16" i="18"/>
  <c r="Z16" i="18"/>
  <c r="T16" i="18"/>
  <c r="AL32" i="18"/>
  <c r="T8" i="18"/>
  <c r="T40" i="18"/>
  <c r="N8" i="18"/>
  <c r="T24" i="18"/>
  <c r="AF40" i="18"/>
  <c r="AL16" i="18"/>
  <c r="Z40" i="18"/>
  <c r="AF8" i="18"/>
  <c r="AF16" i="18"/>
  <c r="AF24" i="18"/>
  <c r="T32" i="18"/>
  <c r="N32" i="18"/>
  <c r="Z8" i="18"/>
  <c r="AL24" i="18"/>
  <c r="N40" i="18"/>
  <c r="N24" i="18"/>
  <c r="Q7" i="1"/>
  <c r="AG7" i="1" s="1"/>
  <c r="AG8" i="1" s="1"/>
  <c r="R7" i="1"/>
  <c r="Q73" i="1"/>
  <c r="AG73" i="1" s="1"/>
  <c r="R73" i="1"/>
  <c r="R167" i="1"/>
  <c r="Q167" i="1"/>
  <c r="AG167" i="1" s="1"/>
  <c r="Q233" i="1"/>
  <c r="AG233" i="1" s="1"/>
  <c r="AG234" i="1" s="1"/>
  <c r="AG235" i="1" s="1"/>
  <c r="R233" i="1"/>
  <c r="Q79" i="1"/>
  <c r="AG79" i="1" s="1"/>
  <c r="AF79" i="1" s="1"/>
  <c r="AH79" i="1" s="1"/>
  <c r="R79" i="1"/>
  <c r="Q197" i="1"/>
  <c r="AG197" i="1" s="1"/>
  <c r="AF197" i="1" s="1"/>
  <c r="AH197" i="1" s="1"/>
  <c r="R197" i="1"/>
  <c r="AD8" i="52"/>
  <c r="AF137" i="1" l="1"/>
  <c r="AH137" i="1" s="1"/>
  <c r="AG138" i="1"/>
  <c r="AF138" i="1" s="1"/>
  <c r="AH138" i="1" s="1"/>
  <c r="AF56" i="1"/>
  <c r="AH56" i="1" s="1"/>
  <c r="AG57" i="1"/>
  <c r="AF57" i="1" s="1"/>
  <c r="AH57" i="1" s="1"/>
  <c r="AG37" i="1"/>
  <c r="AF37" i="1" s="1"/>
  <c r="AH37" i="1" s="1"/>
  <c r="AG32" i="1"/>
  <c r="AF263" i="1"/>
  <c r="AH263" i="1" s="1"/>
  <c r="AG264" i="1"/>
  <c r="AF25" i="1"/>
  <c r="AH25" i="1" s="1"/>
  <c r="AG26" i="1"/>
  <c r="AF73" i="1"/>
  <c r="AH73" i="1" s="1"/>
  <c r="AG74" i="1"/>
  <c r="AF74" i="1" s="1"/>
  <c r="AH74" i="1" s="1"/>
  <c r="AG43" i="1"/>
  <c r="AF43" i="1" s="1"/>
  <c r="AH43" i="1" s="1"/>
  <c r="AF44" i="1"/>
  <c r="AH44" i="1" s="1"/>
  <c r="AG155" i="1"/>
  <c r="AG156" i="1" s="1"/>
  <c r="AG157" i="1"/>
  <c r="AG158" i="1" s="1"/>
  <c r="AG20" i="1"/>
  <c r="AG21" i="1" s="1"/>
  <c r="AG22" i="1" s="1"/>
  <c r="AF131" i="1"/>
  <c r="AH131" i="1" s="1"/>
  <c r="AF132" i="1"/>
  <c r="AH132" i="1" s="1"/>
  <c r="AF251" i="1"/>
  <c r="AH251" i="1" s="1"/>
  <c r="AF252" i="1"/>
  <c r="AH252" i="1" s="1"/>
  <c r="AF113" i="1"/>
  <c r="AH113" i="1" s="1"/>
  <c r="AH33" i="19"/>
  <c r="AH23" i="19"/>
  <c r="J53" i="19"/>
  <c r="AH281" i="1"/>
  <c r="AB13" i="19"/>
  <c r="AB53" i="19"/>
  <c r="V43" i="19"/>
  <c r="V53" i="19"/>
  <c r="P43" i="19"/>
  <c r="V23" i="19"/>
  <c r="P23" i="19"/>
  <c r="V33" i="19"/>
  <c r="AB33" i="19"/>
  <c r="J43" i="19"/>
  <c r="P53" i="19"/>
  <c r="P33" i="19"/>
  <c r="AB43" i="19"/>
  <c r="AH13" i="19"/>
  <c r="J33" i="19"/>
  <c r="AH43" i="19"/>
  <c r="J23" i="19"/>
  <c r="P13" i="19"/>
  <c r="AB23" i="19"/>
  <c r="AH53" i="19"/>
  <c r="V13" i="19"/>
  <c r="J13" i="19"/>
  <c r="AF119" i="1"/>
  <c r="AH119" i="1" s="1"/>
  <c r="AF179" i="1"/>
  <c r="AH179" i="1" s="1"/>
  <c r="AF180" i="1"/>
  <c r="AH180" i="1" s="1"/>
  <c r="J32" i="19"/>
  <c r="AB32" i="19"/>
  <c r="P12" i="19"/>
  <c r="J12" i="19"/>
  <c r="V52" i="19"/>
  <c r="P22" i="19"/>
  <c r="J22" i="19"/>
  <c r="V32" i="19"/>
  <c r="AB12" i="19"/>
  <c r="J42" i="19"/>
  <c r="AB22" i="19"/>
  <c r="AB52" i="19"/>
  <c r="V42" i="19"/>
  <c r="AH32" i="19"/>
  <c r="AH52" i="19"/>
  <c r="J52" i="19"/>
  <c r="P52" i="19"/>
  <c r="V12" i="19"/>
  <c r="AH12" i="19"/>
  <c r="AH42" i="19"/>
  <c r="P32" i="19"/>
  <c r="P42" i="19"/>
  <c r="AH22" i="19"/>
  <c r="AB42" i="19"/>
  <c r="V22" i="19"/>
  <c r="AF61" i="1"/>
  <c r="AH61" i="1" s="1"/>
  <c r="AF62" i="1"/>
  <c r="AH62" i="1" s="1"/>
  <c r="AF245" i="1"/>
  <c r="AH245" i="1" s="1"/>
  <c r="AF8" i="1"/>
  <c r="AH8" i="1" s="1"/>
  <c r="AF7" i="1"/>
  <c r="AH7" i="1" s="1"/>
  <c r="AF203" i="1"/>
  <c r="AH203" i="1" s="1"/>
  <c r="AF204" i="1"/>
  <c r="AH204" i="1" s="1"/>
  <c r="AF233" i="1"/>
  <c r="AH233" i="1" s="1"/>
  <c r="AF103" i="1"/>
  <c r="AH103" i="1" s="1"/>
  <c r="AF161" i="1"/>
  <c r="AH161" i="1" s="1"/>
  <c r="AF240" i="1"/>
  <c r="AF239" i="1"/>
  <c r="AF167" i="1"/>
  <c r="AH167" i="1" s="1"/>
  <c r="AG168" i="1"/>
  <c r="AF168" i="1" s="1"/>
  <c r="AH168" i="1" s="1"/>
  <c r="V21" i="19"/>
  <c r="AH51" i="19"/>
  <c r="J31" i="19"/>
  <c r="J21" i="19"/>
  <c r="P31" i="19"/>
  <c r="P41" i="19"/>
  <c r="V41" i="19"/>
  <c r="AH41" i="19"/>
  <c r="P21" i="19"/>
  <c r="P51" i="19"/>
  <c r="AB21" i="19"/>
  <c r="AB51" i="19"/>
  <c r="AB11" i="19"/>
  <c r="J51" i="19"/>
  <c r="AH21" i="19"/>
  <c r="V51" i="19"/>
  <c r="P11" i="19"/>
  <c r="AH11" i="19"/>
  <c r="AB41" i="19"/>
  <c r="AB31" i="19"/>
  <c r="AH31" i="19"/>
  <c r="J41" i="19"/>
  <c r="V31" i="19"/>
  <c r="V11" i="19"/>
  <c r="J11" i="19"/>
  <c r="AG125" i="1"/>
  <c r="AF125" i="1" s="1"/>
  <c r="AH125" i="1" s="1"/>
  <c r="AG126" i="1"/>
  <c r="AF126" i="1" s="1"/>
  <c r="AH126" i="1" s="1"/>
  <c r="AF191" i="1"/>
  <c r="AH191" i="1" s="1"/>
  <c r="AF192" i="1"/>
  <c r="AH192" i="1" s="1"/>
  <c r="AF97" i="1"/>
  <c r="AH97" i="1" s="1"/>
  <c r="AF98" i="1"/>
  <c r="AH98" i="1" s="1"/>
  <c r="P50" i="19"/>
  <c r="AB20" i="19"/>
  <c r="J20" i="19"/>
  <c r="P20" i="19"/>
  <c r="J30" i="19"/>
  <c r="J10" i="19"/>
  <c r="V10" i="19"/>
  <c r="AB30" i="19"/>
  <c r="AB50" i="19"/>
  <c r="V20" i="19"/>
  <c r="AB10" i="19"/>
  <c r="V40" i="19"/>
  <c r="AH20" i="19"/>
  <c r="V50" i="19"/>
  <c r="AB40" i="19"/>
  <c r="J50" i="19"/>
  <c r="V30" i="19"/>
  <c r="P10" i="19"/>
  <c r="AH40" i="19"/>
  <c r="AH30" i="19"/>
  <c r="J40" i="19"/>
  <c r="AH10" i="19"/>
  <c r="P30" i="19"/>
  <c r="AH257" i="1"/>
  <c r="P40" i="19"/>
  <c r="AH50" i="19"/>
  <c r="AF67" i="1"/>
  <c r="AH67" i="1" s="1"/>
  <c r="AF68" i="1"/>
  <c r="AH68" i="1" s="1"/>
  <c r="AF173" i="1"/>
  <c r="AH173" i="1" s="1"/>
  <c r="AF109" i="1"/>
  <c r="AH109" i="1" s="1"/>
  <c r="AF143" i="1"/>
  <c r="AH143" i="1" s="1"/>
  <c r="AF275" i="1"/>
  <c r="AH275" i="1" s="1"/>
  <c r="AF276" i="1"/>
  <c r="AH276" i="1" s="1"/>
  <c r="AF19" i="1"/>
  <c r="AH19" i="1" s="1"/>
  <c r="AF149" i="1"/>
  <c r="AH149" i="1" s="1"/>
  <c r="AF185" i="1"/>
  <c r="AH185" i="1" s="1"/>
  <c r="AF186" i="1"/>
  <c r="AH186" i="1" s="1"/>
  <c r="AF269" i="1"/>
  <c r="AH269" i="1" s="1"/>
  <c r="AG270" i="1"/>
  <c r="AF270" i="1" s="1"/>
  <c r="AH270" i="1" s="1"/>
  <c r="AG8" i="52"/>
  <c r="AG45" i="1" l="1"/>
  <c r="AF45" i="1" s="1"/>
  <c r="AH45" i="1" s="1"/>
  <c r="AF32" i="1"/>
  <c r="AH32" i="1" s="1"/>
  <c r="AG33" i="1"/>
  <c r="AF33" i="1" s="1"/>
  <c r="AH33" i="1" s="1"/>
  <c r="AF264" i="1"/>
  <c r="AH264" i="1" s="1"/>
  <c r="AG265" i="1"/>
  <c r="AF26" i="1"/>
  <c r="AH26" i="1" s="1"/>
  <c r="AG27" i="1"/>
  <c r="AG46" i="1"/>
  <c r="AF46" i="1" s="1"/>
  <c r="AH46" i="1" s="1"/>
  <c r="AF155" i="1"/>
  <c r="AH155" i="1" s="1"/>
  <c r="AF20" i="1"/>
  <c r="AH20" i="1" s="1"/>
  <c r="AF110" i="1"/>
  <c r="AH110" i="1" s="1"/>
  <c r="AF162" i="1"/>
  <c r="AH162" i="1" s="1"/>
  <c r="AH7" i="19"/>
  <c r="J47" i="19"/>
  <c r="P47" i="19"/>
  <c r="AB37" i="19"/>
  <c r="P7" i="19"/>
  <c r="J7" i="19"/>
  <c r="J17" i="19"/>
  <c r="V17" i="19"/>
  <c r="AH37" i="19"/>
  <c r="V27" i="19"/>
  <c r="P17" i="19"/>
  <c r="AB27" i="19"/>
  <c r="AH17" i="19"/>
  <c r="AH27" i="19"/>
  <c r="AB47" i="19"/>
  <c r="P37" i="19"/>
  <c r="V37" i="19"/>
  <c r="AB7" i="19"/>
  <c r="AB17" i="19"/>
  <c r="AH47" i="19"/>
  <c r="J27" i="19"/>
  <c r="J37" i="19"/>
  <c r="V7" i="19"/>
  <c r="P27" i="19"/>
  <c r="V47" i="19"/>
  <c r="AF174" i="1"/>
  <c r="AH174" i="1" s="1"/>
  <c r="AF175" i="1"/>
  <c r="AH175" i="1" s="1"/>
  <c r="AF156" i="1"/>
  <c r="AH156" i="1" s="1"/>
  <c r="AF120" i="1"/>
  <c r="AH120" i="1" s="1"/>
  <c r="AF121" i="1"/>
  <c r="AH121" i="1" s="1"/>
  <c r="AF104" i="1"/>
  <c r="AH104" i="1" s="1"/>
  <c r="AH19" i="19"/>
  <c r="AH9" i="19"/>
  <c r="AB19" i="19"/>
  <c r="AH49" i="19"/>
  <c r="J49" i="19"/>
  <c r="P9" i="19"/>
  <c r="AH239" i="1"/>
  <c r="V39" i="19"/>
  <c r="J9" i="19"/>
  <c r="P29" i="19"/>
  <c r="AB39" i="19"/>
  <c r="J19" i="19"/>
  <c r="P39" i="19"/>
  <c r="V19" i="19"/>
  <c r="AB9" i="19"/>
  <c r="AB29" i="19"/>
  <c r="V9" i="19"/>
  <c r="J29" i="19"/>
  <c r="V49" i="19"/>
  <c r="V29" i="19"/>
  <c r="AB49" i="19"/>
  <c r="AH29" i="19"/>
  <c r="P49" i="19"/>
  <c r="P19" i="19"/>
  <c r="J39" i="19"/>
  <c r="AH39" i="19"/>
  <c r="AF234" i="1"/>
  <c r="AH234" i="1" s="1"/>
  <c r="AF235" i="1"/>
  <c r="AH235" i="1" s="1"/>
  <c r="AF246" i="1"/>
  <c r="AH246" i="1" s="1"/>
  <c r="AF114" i="1"/>
  <c r="AH114" i="1" s="1"/>
  <c r="AF115" i="1"/>
  <c r="AH115" i="1" s="1"/>
  <c r="AH240" i="1"/>
  <c r="AC39" i="19"/>
  <c r="Q9" i="19"/>
  <c r="W39" i="19"/>
  <c r="K39" i="19"/>
  <c r="AC19" i="19"/>
  <c r="W29" i="19"/>
  <c r="AC29" i="19"/>
  <c r="W9" i="19"/>
  <c r="AI9" i="19"/>
  <c r="Q49" i="19"/>
  <c r="AC9" i="19"/>
  <c r="K9" i="19"/>
  <c r="Q29" i="19"/>
  <c r="Q39" i="19"/>
  <c r="AC49" i="19"/>
  <c r="W19" i="19"/>
  <c r="K29" i="19"/>
  <c r="K49" i="19"/>
  <c r="AI19" i="19"/>
  <c r="K19" i="19"/>
  <c r="W49" i="19"/>
  <c r="Q19" i="19"/>
  <c r="AI29" i="19"/>
  <c r="AI39" i="19"/>
  <c r="AI49" i="19"/>
  <c r="AF265" i="1" l="1"/>
  <c r="AH265" i="1" s="1"/>
  <c r="AG266" i="1"/>
  <c r="AF27" i="1"/>
  <c r="AH27" i="1" s="1"/>
  <c r="AG28" i="1"/>
  <c r="AF28" i="1" s="1"/>
  <c r="AH28" i="1" s="1"/>
  <c r="AF21" i="1"/>
  <c r="AH21" i="1" s="1"/>
  <c r="AF22" i="1"/>
  <c r="AH22" i="1" s="1"/>
  <c r="AF157" i="1"/>
  <c r="AH157" i="1" s="1"/>
  <c r="AF158" i="1"/>
  <c r="AH158" i="1" s="1"/>
  <c r="AF247" i="1"/>
  <c r="AH247" i="1" s="1"/>
  <c r="AF248" i="1"/>
  <c r="AH248" i="1" s="1"/>
  <c r="AF105" i="1"/>
  <c r="AH105" i="1" s="1"/>
  <c r="AF106" i="1"/>
  <c r="AH106" i="1" s="1"/>
  <c r="AF163" i="1"/>
  <c r="AH163" i="1" s="1"/>
  <c r="AF164" i="1"/>
  <c r="AH164" i="1" s="1"/>
  <c r="L37" i="19"/>
  <c r="AD47" i="19"/>
  <c r="R27" i="19"/>
  <c r="AD37" i="19"/>
  <c r="X47" i="19"/>
  <c r="AJ37" i="19"/>
  <c r="AJ47" i="19"/>
  <c r="X27" i="19"/>
  <c r="R17" i="19"/>
  <c r="AJ27" i="19"/>
  <c r="X17" i="19"/>
  <c r="X37" i="19"/>
  <c r="L47" i="19"/>
  <c r="L7" i="19"/>
  <c r="L27" i="19"/>
  <c r="X7" i="19"/>
  <c r="R7" i="19"/>
  <c r="AJ17" i="19"/>
  <c r="R47" i="19"/>
  <c r="AJ7" i="19"/>
  <c r="AD7" i="19"/>
  <c r="AD27" i="19"/>
  <c r="R37" i="19"/>
  <c r="L17" i="19"/>
  <c r="AD17" i="19"/>
  <c r="AC27" i="19"/>
  <c r="K17" i="19"/>
  <c r="Q27" i="19"/>
  <c r="W27" i="19"/>
  <c r="W17" i="19"/>
  <c r="AC7" i="19"/>
  <c r="AC17" i="19"/>
  <c r="Q47" i="19"/>
  <c r="Q37" i="19"/>
  <c r="AI27" i="19"/>
  <c r="Q17" i="19"/>
  <c r="AI7" i="19"/>
  <c r="AC37" i="19"/>
  <c r="AI17" i="19"/>
  <c r="AC47" i="19"/>
  <c r="AI37" i="19"/>
  <c r="K27" i="19"/>
  <c r="K37" i="19"/>
  <c r="W37" i="19"/>
  <c r="W47" i="19"/>
  <c r="W7" i="19"/>
  <c r="K7" i="19"/>
  <c r="AI47" i="19"/>
  <c r="K47" i="19"/>
  <c r="Q7" i="19"/>
  <c r="AF266" i="1" l="1"/>
  <c r="AH266" i="1" s="1"/>
  <c r="AG267" i="1"/>
  <c r="AF267" i="1" s="1"/>
  <c r="AH267" i="1" s="1"/>
</calcChain>
</file>

<file path=xl/comments1.xml><?xml version="1.0" encoding="utf-8"?>
<comments xmlns="http://schemas.openxmlformats.org/spreadsheetml/2006/main">
  <authors>
    <author>Usuario</author>
    <author>luisa</author>
  </authors>
  <commentList>
    <comment ref="F3" authorId="0" shapeId="0">
      <text>
        <r>
          <rPr>
            <b/>
            <sz val="9"/>
            <color indexed="81"/>
            <rFont val="Tahoma"/>
            <family val="2"/>
          </rPr>
          <t>Usuario:</t>
        </r>
        <r>
          <rPr>
            <sz val="9"/>
            <color indexed="81"/>
            <rFont val="Tahoma"/>
            <family val="2"/>
          </rPr>
          <t xml:space="preserve">
INCLUIR EL FACTOR RELACIONADO CON CADA CAUSA</t>
        </r>
      </text>
    </comment>
    <comment ref="H3" authorId="0" shapeId="0">
      <text>
        <r>
          <rPr>
            <b/>
            <sz val="12"/>
            <color indexed="81"/>
            <rFont val="Tahoma"/>
            <family val="2"/>
          </rPr>
          <t>Usuario:</t>
        </r>
        <r>
          <rPr>
            <sz val="12"/>
            <color indexed="81"/>
            <rFont val="Tahoma"/>
            <family val="2"/>
          </rPr>
          <t xml:space="preserve">
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Para los Riesgos Fiscales la redacción inicia con POSIBILIDAD DE + Efecto Dañoso + sobre bienes públicos ó sobre recursos públicos ó sobre intereses patrimoniales de naturaleza pública (Qué) + Causa Inmediata (Comó) + Causa Raíz (Por qué)
Ejemplo: Posibilidad de efecto dañosos sobre bienes públicos por pérdida, extravió o hurto de bienes muebles de la entidad a causa de la omisión en la aplicación del procedimiento para el ingreso y salida de bienes del almacén.</t>
        </r>
      </text>
    </comment>
    <comment ref="J3" authorId="0" shapeId="0">
      <text>
        <r>
          <rPr>
            <b/>
            <sz val="9"/>
            <color indexed="81"/>
            <rFont val="Tahoma"/>
            <family val="2"/>
          </rPr>
          <t>Usuario:</t>
        </r>
        <r>
          <rPr>
            <sz val="9"/>
            <color indexed="81"/>
            <rFont val="Tahoma"/>
            <family val="2"/>
          </rPr>
          <t xml:space="preserve">
Consecuencia: los efectos o situaciones resultantes de la materialización del riesgo que impactan en el proceso, la entidad, sus grupos de valor y demás partes interesadas.</t>
        </r>
      </text>
    </comment>
    <comment ref="K3" authorId="1" shapeId="0">
      <text>
        <r>
          <rPr>
            <sz val="9"/>
            <color indexed="81"/>
            <rFont val="Arial Narrow"/>
            <family val="2"/>
          </rPr>
          <t>Número de veces que se ejecuta la actividad durante el año</t>
        </r>
        <r>
          <rPr>
            <sz val="9"/>
            <color indexed="81"/>
            <rFont val="Tahoma"/>
            <family val="2"/>
          </rPr>
          <t xml:space="preserve">
</t>
        </r>
      </text>
    </comment>
    <comment ref="T3" authorId="0" shapeId="0">
      <text>
        <r>
          <rPr>
            <b/>
            <sz val="9"/>
            <color indexed="81"/>
            <rFont val="Tahoma"/>
            <family val="2"/>
          </rPr>
          <t>Usuario:</t>
        </r>
        <r>
          <rPr>
            <sz val="9"/>
            <color indexed="81"/>
            <rFont val="Tahoma"/>
            <family val="2"/>
          </rPr>
          <t xml:space="preserve">
La estructura para la descripción del control debe contar con los siguientes variables: responsable de ejecutar el control, acción mediante verbos y el complemento (como se realiza al actividad de control, evidencia, periodicidad, y observaciones o desviaciones de aplicar el control)</t>
        </r>
      </text>
    </comment>
    <comment ref="F5" authorId="0" shapeId="0">
      <text>
        <r>
          <rPr>
            <b/>
            <sz val="9"/>
            <color indexed="81"/>
            <rFont val="Tahoma"/>
            <family val="2"/>
          </rPr>
          <t>Usuario:</t>
        </r>
        <r>
          <rPr>
            <sz val="9"/>
            <color indexed="81"/>
            <rFont val="Tahoma"/>
            <family val="2"/>
          </rPr>
          <t xml:space="preserve">
Recursos Financieros-Económicos: Presupuesto de funcionamiento, recursos de inversión, infraestructura, capacidad instalada.
Planeación: Se refiere al accionar que tiene que ver con políticas, planes, programas y proyectos al interior de la entidad.
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Procesos: Eventos relacionados con errores en las actividades que deben realizar los servidores de la organización. Falta de procedimientos, errores de grabación, autorización, errores en cálculos para pagos internos y externos y falta de capacidad.
Tecnología: Eventos relacionados con la infraestructura tecnológica de la entidad. Daños de quipos, caída de aplicaciones, caída de redes, errores en programas.
Infraestructura: Eventos relacionados con la infraestructura física de la entidad. Derrumbes, incendios, inundaciones, daños a activos fijos.
Coordinación y Comunicación: Canales utilizados y su efectividad, así como adecuado y oportuno flujo de la información necesaria para el desarrollo de las operaciones.
Otro: Se refiere a una categoría diferente a las mencionadas anteriormente.
</t>
        </r>
      </text>
    </comment>
    <comment ref="G5" authorId="0" shapeId="0">
      <text>
        <r>
          <rPr>
            <b/>
            <sz val="9"/>
            <color indexed="81"/>
            <rFont val="Tahoma"/>
            <family val="2"/>
          </rPr>
          <t>Usuario:</t>
        </r>
        <r>
          <rPr>
            <sz val="9"/>
            <color indexed="81"/>
            <rFont val="Tahoma"/>
            <family val="2"/>
          </rPr>
          <t xml:space="preserve">
Económico: Disponibilidad de capital, liquidez, mercados financieros, desempleo, competencia.   
Legal y reglamentario: Se refiere a todo lo establecido por la ley o que esté conforme con ella.
Ambiental: emisiones y residuos, energía, catástrofes naturales, desarrollo sostenible.
Político: Cambios de gobierno, políticas públicas, regulación.
Sociales y Culturales: Demografía, responsabilidad social, orden público, atentados, vandalismo, asalto a la oficina.
Tecnológico: Avances en tecnología, acceso a sistemas de información externos, gobierno digital, suplantación de identidad, virus informáticos.
Otro: Se refiere a una categoría diferente a las mencionadas anteriormente.
</t>
        </r>
      </text>
    </comment>
  </commentList>
</comments>
</file>

<file path=xl/comments10.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1.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2.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3.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4.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5.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6.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7.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18.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2.xml><?xml version="1.0" encoding="utf-8"?>
<comments xmlns="http://schemas.openxmlformats.org/spreadsheetml/2006/main">
  <authors>
    <author>Usuario</author>
    <author>luisa</author>
  </authors>
  <commentList>
    <comment ref="E3" authorId="0" shapeId="0">
      <text>
        <r>
          <rPr>
            <b/>
            <sz val="9"/>
            <color indexed="81"/>
            <rFont val="Tahoma"/>
            <family val="2"/>
          </rPr>
          <t>Usuario:</t>
        </r>
        <r>
          <rPr>
            <sz val="9"/>
            <color indexed="81"/>
            <rFont val="Tahoma"/>
            <family val="2"/>
          </rPr>
          <t xml:space="preserve">
INCLUIR EL FACTOR RELACIONADO CON CADA CAUSA</t>
        </r>
      </text>
    </comment>
    <comment ref="G3" authorId="0" shapeId="0">
      <text>
        <r>
          <rPr>
            <b/>
            <sz val="12"/>
            <color indexed="81"/>
            <rFont val="Tahoma"/>
            <family val="2"/>
          </rPr>
          <t>Usuario:</t>
        </r>
        <r>
          <rPr>
            <sz val="12"/>
            <color indexed="81"/>
            <rFont val="Tahoma"/>
            <family val="2"/>
          </rPr>
          <t xml:space="preserve">
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Para los Riesgos Fiscales la redacción inicia con POSIBILIDAD DE + Efecto Dañoso + sobre bienes públicos o sobre recursos públicos o sobre intereses patrimoniales de naturaleza pública (Qué) + Causa Inmediata (Comó) + Causa Raíz (Por qué)
Ejemplo: Posibilidad de efecto dañosos sobre bienes públicos por pérdida, extravió o hurto de bienes muebles de la entidad a causa de la omisión en la aplicación del procedimiento para el ingreso y salida de bienes del almacén.</t>
        </r>
      </text>
    </comment>
    <comment ref="I3" authorId="0" shapeId="0">
      <text>
        <r>
          <rPr>
            <b/>
            <sz val="9"/>
            <color indexed="81"/>
            <rFont val="Tahoma"/>
            <family val="2"/>
          </rPr>
          <t>Usuario:</t>
        </r>
        <r>
          <rPr>
            <sz val="9"/>
            <color indexed="81"/>
            <rFont val="Tahoma"/>
            <family val="2"/>
          </rPr>
          <t xml:space="preserve">
Consecuencia: los efectos o situaciones resultantes de la materialización del riesgo que impactan en el proceso, la entidad, sus grupos de valor y demás partes interesadas.</t>
        </r>
      </text>
    </comment>
    <comment ref="J3" authorId="1" shapeId="0">
      <text>
        <r>
          <rPr>
            <sz val="9"/>
            <color indexed="81"/>
            <rFont val="Arial Narrow"/>
            <family val="2"/>
          </rPr>
          <t>Número de veces que se ejecuta la actividad durante el año</t>
        </r>
        <r>
          <rPr>
            <sz val="9"/>
            <color indexed="81"/>
            <rFont val="Tahoma"/>
            <family val="2"/>
          </rPr>
          <t xml:space="preserve">
</t>
        </r>
      </text>
    </comment>
    <comment ref="R3" authorId="0" shapeId="0">
      <text>
        <r>
          <rPr>
            <b/>
            <sz val="9"/>
            <color indexed="81"/>
            <rFont val="Tahoma"/>
            <family val="2"/>
          </rPr>
          <t>Usuario:</t>
        </r>
        <r>
          <rPr>
            <sz val="9"/>
            <color indexed="81"/>
            <rFont val="Tahoma"/>
            <family val="2"/>
          </rPr>
          <t xml:space="preserve">
La estructura para la descripción del control debe contar con los siguientes variables: responsable de ejecutar el control, acción mediante verbos y el complemento (como se realiza al actividad de control, evidencia, periodicidad, y observaciones o desviaciones de aplicar el control)</t>
        </r>
      </text>
    </comment>
    <comment ref="AM3" authorId="0" shapeId="0">
      <text>
        <r>
          <rPr>
            <b/>
            <sz val="9"/>
            <color indexed="81"/>
            <rFont val="Tahoma"/>
            <charset val="1"/>
          </rPr>
          <t>Usuario:</t>
        </r>
        <r>
          <rPr>
            <sz val="9"/>
            <color indexed="81"/>
            <rFont val="Tahoma"/>
            <charset val="1"/>
          </rPr>
          <t xml:space="preserve">
(es un pequeño resumen de la gestión realizada sobre el control, en el periodo a reportar)</t>
        </r>
      </text>
    </comment>
    <comment ref="AO3" authorId="0" shapeId="0">
      <text>
        <r>
          <rPr>
            <b/>
            <sz val="9"/>
            <color indexed="81"/>
            <rFont val="Tahoma"/>
            <charset val="1"/>
          </rPr>
          <t>Usuario:</t>
        </r>
        <r>
          <rPr>
            <sz val="9"/>
            <color indexed="81"/>
            <rFont val="Tahoma"/>
            <charset val="1"/>
          </rPr>
          <t xml:space="preserve">
Responder SI ó NO</t>
        </r>
      </text>
    </comment>
    <comment ref="E5" authorId="0" shapeId="0">
      <text>
        <r>
          <rPr>
            <b/>
            <sz val="9"/>
            <color indexed="81"/>
            <rFont val="Tahoma"/>
            <family val="2"/>
          </rPr>
          <t>Usuario:</t>
        </r>
        <r>
          <rPr>
            <sz val="9"/>
            <color indexed="81"/>
            <rFont val="Tahoma"/>
            <family val="2"/>
          </rPr>
          <t xml:space="preserve">
Recursos Financieros-Económicos: Presupuesto de funcionamiento, recursos de inversión, infraestructura, capacidad instalada.
Planeación: Se refiere al accionar que tiene que ver con políticas, planes, programas y proyectos al interior de la entidad.
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Procesos: Eventos relacionados con errores en las actividades que deben realizar los servidores de la organización. Falta de procedimientos, errores de grabación, autorización, errores en cálculos para pagos internos y externos y falta de capacidad.
Tecnología: Eventos relacionados con la infraestructura tecnológica de la entidad. Daños de quipos, caída de aplicaciones, caída de redes, errores en programas.
Infraestructura: Eventos relacionados con la infraestructura física de la entidad. Derrumbes, incendios, inundaciones, daños a activos fijos.
Coordinación y Comunicación: Canales utilizados y su efectividad, así como adecuado y oportuno flujo de la información necesaria para el desarrollo de las operaciones.
Otro: Se refiere a una categoría diferente a las mencionadas anteriormente.
</t>
        </r>
      </text>
    </comment>
    <comment ref="F5" authorId="0" shapeId="0">
      <text>
        <r>
          <rPr>
            <b/>
            <sz val="9"/>
            <color indexed="81"/>
            <rFont val="Tahoma"/>
            <family val="2"/>
          </rPr>
          <t>Usuario:</t>
        </r>
        <r>
          <rPr>
            <sz val="9"/>
            <color indexed="81"/>
            <rFont val="Tahoma"/>
            <family val="2"/>
          </rPr>
          <t xml:space="preserve">
Económico: Disponibilidad de capital, liquidez, mercados financieros, desempleo, competencia.   
Legal y reglamentario: Se refiere a todo lo establecido por la ley o que esté conforme con ella.
Ambiental: emisiones y residuos, energía, catástrofes naturales, desarrollo sostenible.
Político: Cambios de gobierno, políticas públicas, regulación.
Sociales y Culturales: Demografía, responsabilidad social, orden público, atentados, vandalismo, asalto a la oficina.
Tecnológico: Avances en tecnología, acceso a sistemas de información externos, gobierno digital, suplantación de identidad, virus informáticos.
Otro: Se refiere a una categoría diferente a las mencionadas anteriormente.
</t>
        </r>
      </text>
    </comment>
  </commentList>
</comments>
</file>

<file path=xl/comments3.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4.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5.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6.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7.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8.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comments9.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<sst xmlns="http://schemas.openxmlformats.org/spreadsheetml/2006/main" count="3718" uniqueCount="1102">
  <si>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</si>
  <si>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</si>
  <si>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</si>
  <si>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</si>
  <si>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</si>
  <si>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</si>
  <si>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</si>
  <si>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</si>
  <si>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</si>
  <si>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</si>
  <si>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</si>
  <si>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</si>
  <si>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</si>
  <si>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</si>
  <si>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</si>
  <si>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</si>
  <si>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</si>
  <si>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</si>
  <si>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</si>
  <si>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</si>
  <si>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</si>
  <si>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</si>
  <si>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</si>
  <si>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</si>
  <si>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Calificación</t>
  </si>
  <si>
    <t>Tratamiento</t>
  </si>
  <si>
    <t>Reducir</t>
  </si>
  <si>
    <t>Aceptar</t>
  </si>
  <si>
    <t>Evitar</t>
  </si>
  <si>
    <t>Estado</t>
  </si>
  <si>
    <t>Finalizado</t>
  </si>
  <si>
    <t>En curso</t>
  </si>
  <si>
    <t>Causa Raíz</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</si>
  <si>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</si>
  <si>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</si>
  <si>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</si>
  <si>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</si>
  <si>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</si>
  <si>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</si>
  <si>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</si>
  <si>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</si>
  <si>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</si>
  <si>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</si>
  <si>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</si>
  <si>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</si>
  <si>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</si>
  <si>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</si>
  <si>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</si>
  <si>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</si>
  <si>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</si>
  <si>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</si>
  <si>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</si>
  <si>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</si>
  <si>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</si>
  <si>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</si>
  <si>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</si>
  <si>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</si>
  <si>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</si>
  <si>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</si>
  <si>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</si>
  <si>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</si>
  <si>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</si>
  <si>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</si>
  <si>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</si>
  <si>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</si>
  <si>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</si>
  <si>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</si>
  <si>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</si>
  <si>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</si>
  <si>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</si>
  <si>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</si>
  <si>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</si>
  <si>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</si>
  <si>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</si>
  <si>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</si>
  <si>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</si>
  <si>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</si>
  <si>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</si>
  <si>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</si>
  <si>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</si>
  <si>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</si>
  <si>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</si>
  <si>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</si>
  <si>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</si>
  <si>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</si>
  <si>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</si>
  <si>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</si>
  <si>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</si>
  <si>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</si>
  <si>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</si>
  <si>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</si>
  <si>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</si>
  <si>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</si>
  <si>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</si>
  <si>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</si>
  <si>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</si>
  <si>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</si>
  <si>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</si>
  <si>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</si>
  <si>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</si>
  <si>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</si>
  <si>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</si>
  <si>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</si>
  <si>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</si>
  <si>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</si>
  <si>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</si>
  <si>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</si>
  <si>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</si>
  <si>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</si>
  <si>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Económico y Reputacional</t>
  </si>
  <si>
    <t>Probabilidad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</si>
  <si>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</si>
  <si>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</si>
  <si>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</si>
  <si>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</si>
  <si>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</si>
  <si>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</si>
  <si>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</si>
  <si>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</si>
  <si>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</si>
  <si>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</si>
  <si>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</si>
  <si>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</si>
  <si>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</si>
  <si>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</si>
  <si>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</si>
  <si>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</si>
  <si>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</si>
  <si>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</si>
  <si>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</si>
  <si>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</si>
  <si>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</si>
  <si>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</si>
  <si>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</si>
  <si>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</si>
  <si>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</si>
  <si>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</si>
  <si>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</si>
  <si>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</si>
  <si>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</si>
  <si>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</si>
  <si>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</si>
  <si>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</si>
  <si>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</si>
  <si>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</si>
  <si>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</si>
  <si>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</si>
  <si>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</si>
  <si>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</si>
  <si>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</si>
  <si>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</si>
  <si>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</si>
  <si>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</si>
  <si>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</si>
  <si>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</si>
  <si>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</si>
  <si>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</si>
  <si>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</si>
  <si>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</si>
  <si>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</si>
  <si>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</si>
  <si>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</si>
  <si>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</si>
  <si>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</si>
  <si>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</si>
  <si>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</si>
  <si>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</si>
  <si>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</si>
  <si>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</si>
  <si>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</si>
  <si>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</si>
  <si>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</si>
  <si>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</si>
  <si>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</si>
  <si>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</si>
  <si>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</si>
  <si>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</si>
  <si>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</si>
  <si>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</si>
  <si>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</si>
  <si>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PROCESO</t>
  </si>
  <si>
    <t>RESPONSABLE</t>
  </si>
  <si>
    <t>ACCIONES A TOMAR</t>
  </si>
  <si>
    <t>PROBABILIDAD</t>
  </si>
  <si>
    <t xml:space="preserve">RIESGO </t>
  </si>
  <si>
    <t>PLAN DE MANEJO DEL RIESGO</t>
  </si>
  <si>
    <t xml:space="preserve">IDENTIFICACIÓN DEL RIESGO </t>
  </si>
  <si>
    <t>Responder afirmativamente de DOCE a DIECINUEVE preguntas genera un impacto CATASTRÒFICO</t>
  </si>
  <si>
    <t>Responder afirmativamente de SEIS a ONCE preguntas genera un impacto MAYOR</t>
  </si>
  <si>
    <t>Responder afirmativamente de UNO a CINCO pregunta(s) genera un impacto MODERADO</t>
  </si>
  <si>
    <t>TOTAL</t>
  </si>
  <si>
    <t>CALIFICACIÓN DE IMPACTO</t>
  </si>
  <si>
    <t>NIVEL</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</si>
  <si>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</si>
  <si>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</si>
  <si>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</si>
  <si>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</si>
  <si>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</si>
  <si>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</si>
  <si>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</si>
  <si>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Dar lugar a procesos disciplinarios</t>
  </si>
  <si>
    <t>Dar lugar a proceso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</si>
  <si>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</si>
  <si>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</si>
  <si>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</si>
  <si>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 de la entidad</t>
  </si>
  <si>
    <t>Generar pérdida de recursos económicos</t>
  </si>
  <si>
    <t>Generar pérdida de confianza de la entidad, afectando su reputación</t>
  </si>
  <si>
    <t>Afectar el cumplimiento de la misión del sector a la que pertenece la entidad</t>
  </si>
  <si>
    <t>Afectar el cumplimiento de la misión de la entidad</t>
  </si>
  <si>
    <t>Afectar el cumplimiento de metas y objetivos de la dependencia</t>
  </si>
  <si>
    <t>Afectar al grupo de funcionarios del proceso</t>
  </si>
  <si>
    <t>No</t>
  </si>
  <si>
    <t>Si el riesgo de corrupción se materializa podría…</t>
  </si>
  <si>
    <t>RESPUESTA</t>
  </si>
  <si>
    <t>PREGUNTA</t>
  </si>
  <si>
    <t>Riesgo:</t>
  </si>
  <si>
    <t>FORMATO PARA DETERMINAR EL IMPACTO EN RIESGOS DE CORRUPCIÓN</t>
  </si>
  <si>
    <t>EXTREMA</t>
  </si>
  <si>
    <t>ALTA</t>
  </si>
  <si>
    <t>MODERADA</t>
  </si>
  <si>
    <t>BAJA</t>
  </si>
  <si>
    <t>CASI SEGURO</t>
  </si>
  <si>
    <t>PROBABLE</t>
  </si>
  <si>
    <t>POSIBLE</t>
  </si>
  <si>
    <t>IMPROBABLE</t>
  </si>
  <si>
    <t>RARO</t>
  </si>
  <si>
    <t>DÉBIL
menor a 85</t>
  </si>
  <si>
    <t xml:space="preserve">MODERADO
entre 86 y 95 </t>
  </si>
  <si>
    <t>DÉBIL = 0
débil + débil</t>
  </si>
  <si>
    <t xml:space="preserve">FUERTE
entre 96 y 100 </t>
  </si>
  <si>
    <t>DÉBIL = 0
débil + moderado</t>
  </si>
  <si>
    <t>RANGO DE CALIFICACIÒN DEL DISEÑO DEL CONTROL</t>
  </si>
  <si>
    <t>Corrupción</t>
  </si>
  <si>
    <t>DÉBIL = 0
débil + fuerte</t>
  </si>
  <si>
    <t>DÉBIL = 0
moderado + débil</t>
  </si>
  <si>
    <t>MODERADO = 50
moderado + moderado</t>
  </si>
  <si>
    <t>Casi Seguro</t>
  </si>
  <si>
    <t>MODERADO =50
moderado + fuerte</t>
  </si>
  <si>
    <t>Probable</t>
  </si>
  <si>
    <t>DÉBIL = 0
fuerte + débil</t>
  </si>
  <si>
    <t>DÉBIL
(no se ejecuta)</t>
  </si>
  <si>
    <t>DÉBIL
menor a 50</t>
  </si>
  <si>
    <t>Posible</t>
  </si>
  <si>
    <t xml:space="preserve">MODERADO = 50
fuerte + moderado </t>
  </si>
  <si>
    <t>MODERADO
(algunas veces)</t>
  </si>
  <si>
    <t>MODERADO
entre 50 y 99</t>
  </si>
  <si>
    <t>Improbable</t>
  </si>
  <si>
    <t>FUERTE = 100
fuerte + fuerte</t>
  </si>
  <si>
    <t>FUERTE
(siempre se ejecuta)</t>
  </si>
  <si>
    <t>FUERTE
igual a 100</t>
  </si>
  <si>
    <t>Rara vez</t>
  </si>
  <si>
    <t>TIPO DE CONTROL</t>
  </si>
  <si>
    <t xml:space="preserve">SOLIDEZ INDIVIDUAL DE CADA CONTROL: FUERTE: 100
 MODERADO 50 
DEBIL 0 </t>
  </si>
  <si>
    <t xml:space="preserve">RANGO DE CALIFICACIÓN DE LA EJECUCIÓN  </t>
  </si>
  <si>
    <t>CALIFICACIÓN DE LA SOLIDES DEL CONJUNTO DE CONTROLES</t>
  </si>
  <si>
    <t>TRATAMIENTO DEL RIESGO</t>
  </si>
  <si>
    <t>CLASIFICACIÓN DEL RIESGO</t>
  </si>
  <si>
    <t>DESCRIPCIÓN DEL CONTROL</t>
  </si>
  <si>
    <t>ZONA DE RIESGO INHERENTE</t>
  </si>
  <si>
    <t>IMPACTO INHERENTE</t>
  </si>
  <si>
    <t xml:space="preserve"> CRITERIOS DE IMPACTO</t>
  </si>
  <si>
    <t>PROBABILIDAD INHERENTE</t>
  </si>
  <si>
    <t>FRECUENCIA CON LA CUAL SE REALIZA LA ACTIVIDAD</t>
  </si>
  <si>
    <t>EVALUACIÓN DEL RIESGO - NIVEL DEL RIESGO RESIDUAL</t>
  </si>
  <si>
    <t>EVALUACIÓN DEL RIESGO - VALORACIÓN DE LOS CONTROLES</t>
  </si>
  <si>
    <t>ANÁLISIS DEL RIESGO INHERENTE</t>
  </si>
  <si>
    <t>VERIFICACIÓN DE CONTROLES ESTABLECIDOS</t>
  </si>
  <si>
    <t>Asignación del responsable</t>
  </si>
  <si>
    <t xml:space="preserve">Segregación y autoridad del responsable </t>
  </si>
  <si>
    <t xml:space="preserve">Propósito </t>
  </si>
  <si>
    <t>Qué pasa con las observaciones o desviaciones</t>
  </si>
  <si>
    <t>Evidencia de la ejecución del control</t>
  </si>
  <si>
    <t>DIRECCIONAMIENTO ESTRATEGICO</t>
  </si>
  <si>
    <t>SISTEMA INTEGRADO DE GESTIÓN</t>
  </si>
  <si>
    <t>COMUNICACIONES</t>
  </si>
  <si>
    <t>EVALUACIÓN, CONTROL Y SEGUIMIENTO</t>
  </si>
  <si>
    <t>GESTIÓN AMBIENTAL Y DESARROLLO RURAL</t>
  </si>
  <si>
    <t>PARTICIPACIÓN Y EDUCACION AMBIENTAL</t>
  </si>
  <si>
    <t>PLANEACION AMBIENTAL</t>
  </si>
  <si>
    <t>GESTIÓN DOCUMENTAL</t>
  </si>
  <si>
    <t>GESTIÓN JURÍDICA</t>
  </si>
  <si>
    <t>GESTIÓN FINANCIERA</t>
  </si>
  <si>
    <t>GESTIÓN ADMINISTRATIVA</t>
  </si>
  <si>
    <t>GESTIÓN TECNOLÓGICA</t>
  </si>
  <si>
    <t>GESTIÓN DEL TALENTO HUMANO</t>
  </si>
  <si>
    <t>GESTIÓN DISCIPLINARIA</t>
  </si>
  <si>
    <t>METROLOGÍA MONITOREO Y MODELACIÓN</t>
  </si>
  <si>
    <t>GESTIÓN CONTRACTUAL</t>
  </si>
  <si>
    <t>SERVICIO A LA CIUDADANÍA</t>
  </si>
  <si>
    <t>CONTROL Y MEJORA</t>
  </si>
  <si>
    <t>SI o NO</t>
  </si>
  <si>
    <t>SI</t>
  </si>
  <si>
    <t>NO</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</si>
  <si>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</si>
  <si>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Teniendo en cuenta que ingresó la información de PROBABILIDAD e IMPACTO, la matriz automáticamente hará el cálculo para la zona de riesgo inherente (Columna O)</t>
  </si>
  <si>
    <t>Esta casilla no se diligencia, depende de la selección en la columna S.</t>
  </si>
  <si>
    <t xml:space="preserve">La matriz automáticamente hará el cálculo para el control analizado (Columna U) </t>
  </si>
  <si>
    <t>Matriz Mapa de Riesgos de Corrupción</t>
  </si>
  <si>
    <t>Ejemplo.</t>
  </si>
  <si>
    <t>MATRIZ DE DEFINICIÓN DE RIESGOS DE CORRUPCIÓN</t>
  </si>
  <si>
    <t xml:space="preserve">Acción u Omisión </t>
  </si>
  <si>
    <t xml:space="preserve">Uso del poder Desviar la gestión de lo público </t>
  </si>
  <si>
    <t>Beneficio particular</t>
  </si>
  <si>
    <t>Posibilidad de recibir o solicitar cualquier dádiva o beneficio a nombre propio o de un tercero con el fin de favorecer a un privado</t>
  </si>
  <si>
    <t>x</t>
  </si>
  <si>
    <t>Causa / Vulnerabilidad</t>
  </si>
  <si>
    <t>Consecuencia</t>
  </si>
  <si>
    <t>Teniendo en cuenta que ingresó la información de PROBABILIDAD e IMPACTO, la matriz automáticamente hará el cálculo para la zona de riesgo inherente (Columna J)</t>
  </si>
  <si>
    <t>Tipo de Control Establecido</t>
  </si>
  <si>
    <t>Periodicidad</t>
  </si>
  <si>
    <t>Cómo se realiza la actividad de control</t>
  </si>
  <si>
    <t>Puntaje</t>
  </si>
  <si>
    <t>El resultado de cada variable de diseño, a excepción de la evidencia, va a afectar la calificación del diseño del control, ya que deben cumplirse todas las variables para que un control se evalúe como bien diseñado.
La matriz automáticamente hará el cálculo, acorde con la verificación del control o controles definidos con sus atributos  (Columnas T - U).</t>
  </si>
  <si>
    <t>Rango de Calificación de la Ejecución del Control</t>
  </si>
  <si>
    <t>Rango de calificación</t>
  </si>
  <si>
    <t>Acciones para fortalecer el control</t>
  </si>
  <si>
    <t>Calificación de la solidez del control</t>
  </si>
  <si>
    <t>De acuerdo a la solidez del conjunto de los controles, este disminuirá el cuadrante de  probabilidad asociado al riesgo.</t>
  </si>
  <si>
    <t>Tratándose de riesgos de corrupción únicamente hay disminución de probabilidad. Es decir, para el impacto no opera el desplazamiento.</t>
  </si>
  <si>
    <t>Opciones de manejo</t>
  </si>
  <si>
    <t xml:space="preserve">Esta casilla dependerá del tratamiento establecido,  se deben diligenciar las acciones que se adelantarán como complemento a los controles establecidos, no necesariamente son controles adicionales.  </t>
  </si>
  <si>
    <t>Plan de Contingencia</t>
  </si>
  <si>
    <t xml:space="preserve">En caso de materialización de riesgo se debe establecer acción a seguir y responsable de su ejecución </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</si>
  <si>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</si>
  <si>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t xml:space="preserve">Son los efectos ocasionados por la ocurrencia de un riesgo que afecta el proceso o el procedimiento. Consecuencias imagen institucional deteriorada, daño a los recursos públicos, desconfianza del ciudadano y espacios de generación de actos de corrupción complejos. </t>
  </si>
  <si>
    <t>La solidez del conjunto de controles se obtiene calculando el promedio aritmético simple de los controles por cada riesgo.
La matriz automáticamente hará el cálculo  (Columnas AA). 
En la columna AB se desplegara una lista con las opciones:
Fuerte El promedio de la solidez individual de cada control
al sumarlos y ponderarlos es igual a 100.
Moderado El promedio de la solidez individual de cada control al sumarlos y ponderarlos está entre 50 y 99.
Débil El promedio de la solidez individual de cada control al sumarlos y ponderarlos es menor a 50.</t>
  </si>
  <si>
    <t>Seguridad de la Información</t>
  </si>
  <si>
    <t>IMPACTO</t>
  </si>
  <si>
    <t>MATRIZ DE CALOR (NIVELES DE SEVERIDAD DEL RIESGO)</t>
  </si>
  <si>
    <t>FRECUENCIA</t>
  </si>
  <si>
    <t>AFECTACIÓN ECONÓMICA</t>
  </si>
  <si>
    <t>REPUTACIONAL</t>
  </si>
  <si>
    <t xml:space="preserve">La actividad que conlleva el riesgo se ejecuta
como máximos 2 veces por año </t>
  </si>
  <si>
    <t>Leve</t>
  </si>
  <si>
    <t>Afectación menor a 10 SMLMV</t>
  </si>
  <si>
    <t>El riesgo afecta la imagen de algún área de la
organización.</t>
  </si>
  <si>
    <t>Muy Alta 100%</t>
  </si>
  <si>
    <t>ALTO</t>
  </si>
  <si>
    <t>EXTREMO</t>
  </si>
  <si>
    <t>La actividad que conlleva el riesgo se ejecuta de
3 a 24 veces por año</t>
  </si>
  <si>
    <t>Entre 10 y 50 SMLMV</t>
  </si>
  <si>
    <t>El riesgo afecta la imagen de la entidad
internamente, de conocimiento general nivel interno, de junta directiva y accionistas y/o de
proveedores</t>
  </si>
  <si>
    <t>Alta 80%</t>
  </si>
  <si>
    <t>MODERADO</t>
  </si>
  <si>
    <t xml:space="preserve">La actividad que conlleva el riesgo se ejecuta de
24 a 500 veces por año </t>
  </si>
  <si>
    <t>El riesgo afecta la imagen de la entidad con algunos usuarios de relevancia frente al logro de los objetivos.</t>
  </si>
  <si>
    <t>Media 60%</t>
  </si>
  <si>
    <t>La actividad que conlleva el riesgo se ejecuta
mínimo 500 veces al año y máximo 5000 veces
por año</t>
  </si>
  <si>
    <t>Entre 100 y 500 SMLMV</t>
  </si>
  <si>
    <t>El riesgo afecta la imagen de la entidad con efecto publicitario sostenido a nivel de sector administrativo, nivel departamental o municipal.</t>
  </si>
  <si>
    <t>Baja 40%</t>
  </si>
  <si>
    <t>BAJO</t>
  </si>
  <si>
    <t xml:space="preserve">La actividad que conlleva el riesgo se ejecuta más
de 5000 veces por año </t>
  </si>
  <si>
    <t>Mayor a 500 SMLMV</t>
  </si>
  <si>
    <t>El riesgo afecta la imagen de la entidad a nivel nacional, con efecto publicitario sostenido a nivel país.</t>
  </si>
  <si>
    <t>Muy Baja 20%</t>
  </si>
  <si>
    <t>Tipo de Riesgo</t>
  </si>
  <si>
    <t>Menor 40%</t>
  </si>
  <si>
    <t>Pérdida de confidencialidad</t>
  </si>
  <si>
    <t>EFICIENCIA DEL CONTROL</t>
  </si>
  <si>
    <t>Pérdida de integridad</t>
  </si>
  <si>
    <t>Pérdida de disponibilidad</t>
  </si>
  <si>
    <t>IMPLEMENTACIÓN</t>
  </si>
  <si>
    <t>Clasificación del riesgo</t>
  </si>
  <si>
    <t>Con registro</t>
  </si>
  <si>
    <t>Ejecución y administración de procesos</t>
  </si>
  <si>
    <t>Sin documentar</t>
  </si>
  <si>
    <t>Sin registro</t>
  </si>
  <si>
    <t>Fraude externo</t>
  </si>
  <si>
    <t>Mitigar</t>
  </si>
  <si>
    <t>Fraude interno</t>
  </si>
  <si>
    <t>Transferir</t>
  </si>
  <si>
    <t>Fallas tecnológicas</t>
  </si>
  <si>
    <t>Relaciones laborales</t>
  </si>
  <si>
    <t>Usuarios, productos y prácticas</t>
  </si>
  <si>
    <t>Daños a activos fijos</t>
  </si>
  <si>
    <t>Eventos externos</t>
  </si>
  <si>
    <t>Procesos</t>
  </si>
  <si>
    <t>CATEGORÍAS DE ACTIVOS</t>
  </si>
  <si>
    <t>Bases de Datos</t>
  </si>
  <si>
    <t>bd</t>
  </si>
  <si>
    <t>Datos / Información</t>
  </si>
  <si>
    <t>di</t>
  </si>
  <si>
    <t>Equipos Auxiliares</t>
  </si>
  <si>
    <t>ea</t>
  </si>
  <si>
    <t>Hardware / Infraestructura</t>
  </si>
  <si>
    <t>hw</t>
  </si>
  <si>
    <t>Instalaciones</t>
  </si>
  <si>
    <t>ip</t>
  </si>
  <si>
    <t>Personas</t>
  </si>
  <si>
    <t>Redes de Comunicaciones</t>
  </si>
  <si>
    <t>_rc</t>
  </si>
  <si>
    <t>Servicios</t>
  </si>
  <si>
    <t>si</t>
  </si>
  <si>
    <t xml:space="preserve">Software / Aplicaciones Informáticas </t>
  </si>
  <si>
    <t>sw</t>
  </si>
  <si>
    <t>Soportes de Información</t>
  </si>
  <si>
    <t>sa</t>
  </si>
  <si>
    <t>SOFTWARE / APLICACIONES INFORMÁTICAS [SW]</t>
  </si>
  <si>
    <t>Consolidado de Amenazas</t>
  </si>
  <si>
    <t>Vulnerabilidades por tipo de activo</t>
  </si>
  <si>
    <t>[A01] Acceso no autorizado</t>
  </si>
  <si>
    <t>Descripción Amenazas</t>
  </si>
  <si>
    <t>Ausencia o insuficiencia de pruebas de calidad de software</t>
  </si>
  <si>
    <t>[A02] Negación de las acciones realizadas</t>
  </si>
  <si>
    <t>Aceptación de Defectos conocidos en el software</t>
  </si>
  <si>
    <t>[A03] Interceptación no autorizada</t>
  </si>
  <si>
    <t>Ausencia o debilidad en el manejo de la sesiones de acceso</t>
  </si>
  <si>
    <t>[A04] Alteración o modificación no autorizadas</t>
  </si>
  <si>
    <t>Errores de programación en el sistema</t>
  </si>
  <si>
    <t>[A05] Destrucción o eliminación no autorizada</t>
  </si>
  <si>
    <t>Ausencia de registros de auditoria</t>
  </si>
  <si>
    <t>[A06] Divulgación no autorizada</t>
  </si>
  <si>
    <t>Ausencia de soporte, mantenimiento o actualización</t>
  </si>
  <si>
    <t>[A07] Sabotaje (daño intencional)</t>
  </si>
  <si>
    <t>Interfaz de usuario compleja</t>
  </si>
  <si>
    <t>[A08] Hurto, Robo o Pérdida</t>
  </si>
  <si>
    <t>Ausencia de manuales de uso y configuración</t>
  </si>
  <si>
    <t>[A09] Acto de vandalismo o ataque destructivo</t>
  </si>
  <si>
    <t>[A10] Abuso en los privilegios de acceso</t>
  </si>
  <si>
    <t>Instalación y/o configuración incorrecta o por defecto</t>
  </si>
  <si>
    <t>[A12] Uso no previsto o inadecuado</t>
  </si>
  <si>
    <t>Ausencia de validaciones para el registro de información</t>
  </si>
  <si>
    <t>[A11] Daño por fuego, agua, polvo, vibraciones o suciedad</t>
  </si>
  <si>
    <t>[A14] Error en el uso</t>
  </si>
  <si>
    <t>Ausencia de mecanismos de identificación y autenticación de usuario</t>
  </si>
  <si>
    <t>[A16] Fuga o interceptación</t>
  </si>
  <si>
    <t>Ausencia de pruebas de seguridad</t>
  </si>
  <si>
    <t>[A13] Daño por condiciones ambientales inadecuadas</t>
  </si>
  <si>
    <t>[A17] Error por mantenimiento o actualización</t>
  </si>
  <si>
    <t>Software nuevo o inmaduro</t>
  </si>
  <si>
    <t xml:space="preserve">[A20] Alteración de funcionalidades </t>
  </si>
  <si>
    <t>Especificaciones de desarrollo incompletas o incorrectas</t>
  </si>
  <si>
    <t>[A15] Engaño o manipulación (Ingeniería social)</t>
  </si>
  <si>
    <t>[A21] Infección por software dañino o malicioso</t>
  </si>
  <si>
    <t>Ausencia de control de cambios o versionamiento adecuado</t>
  </si>
  <si>
    <t>[A22] Falla o mal funcionamiento</t>
  </si>
  <si>
    <t>Ausencia de manejo de roles y perfiles</t>
  </si>
  <si>
    <t>[A23] Falla o Error en la instalación, administración o custodia</t>
  </si>
  <si>
    <t>Falta de implementación de políticas de desarrollo seguro</t>
  </si>
  <si>
    <t>[A18] Agotamiento de recursos o capacidades</t>
  </si>
  <si>
    <t>[A24] Denegación de acceso o inaccesibilidad</t>
  </si>
  <si>
    <t>Ausencia de copias de respaldo de las configuraciones</t>
  </si>
  <si>
    <t>[A19] Degradación o deterioro</t>
  </si>
  <si>
    <t>[A25] Comportamiento inesperado o anormal</t>
  </si>
  <si>
    <t>[A27] Cambio o ajuste no controlado</t>
  </si>
  <si>
    <t>[A29] Error o falla en el monitoreo</t>
  </si>
  <si>
    <t>[A32] Suplantación de la identidad</t>
  </si>
  <si>
    <t>HARDWARE/ INFRAESTRUCTURA [HW]</t>
  </si>
  <si>
    <t>Ausencia o debilidades en los controles de acceso</t>
  </si>
  <si>
    <t>Ausencia de procedimientos para el transporte o traslado de equipos</t>
  </si>
  <si>
    <t>[A26] Ocupación no autorizada o invasión de espacio</t>
  </si>
  <si>
    <t>Ausencia de esquemas de reemplazo o actualización</t>
  </si>
  <si>
    <t>Ausencia de esquemas de monitoreo y control</t>
  </si>
  <si>
    <t>[A28] Redireccionamiento no autorizado</t>
  </si>
  <si>
    <t>Uso o manejo inadecuado de los equipos</t>
  </si>
  <si>
    <t>Mantenimientos Insuficientes</t>
  </si>
  <si>
    <t xml:space="preserve">[A30] Extorsión o amenazas </t>
  </si>
  <si>
    <t>Instalaciones o configuraciones fallidas o por defecto</t>
  </si>
  <si>
    <t>[A31] Desastres naturales</t>
  </si>
  <si>
    <t>Ausencia de controles de cambios en las configuraciones</t>
  </si>
  <si>
    <t>Ubicación o almacenamiento en lugares inseguros</t>
  </si>
  <si>
    <t>[A33] Corte del suministro eléctrico</t>
  </si>
  <si>
    <t>Falta de controles para la disposición final</t>
  </si>
  <si>
    <t>[A34] Interrupción de suministros esenciales</t>
  </si>
  <si>
    <t>Ausencia de mecanismos de monitoreo y control ambiental</t>
  </si>
  <si>
    <t>[A35] Daño o destrucción no intencional</t>
  </si>
  <si>
    <t xml:space="preserve">Fallas en los servicios de suministros </t>
  </si>
  <si>
    <t>Desconocimiento de los procedimientos de control y cambio</t>
  </si>
  <si>
    <t>Ausencia de mecanismos de continuidad</t>
  </si>
  <si>
    <t>Ausencia de planes y pruebas de continuidad</t>
  </si>
  <si>
    <t>SERVICIOS [SI]</t>
  </si>
  <si>
    <t>Ausencia de pruebas de envío o recepción de mensajes</t>
  </si>
  <si>
    <t>Líneas de comunicación sin protección</t>
  </si>
  <si>
    <t>Tráfico sensible sin protección</t>
  </si>
  <si>
    <t>Conexión deficiente de los cables.</t>
  </si>
  <si>
    <t>Punto único de falla</t>
  </si>
  <si>
    <t>Ausencia de identificación y autentificación de emisor y receptor</t>
  </si>
  <si>
    <t>Arquitectura insegura del servicio</t>
  </si>
  <si>
    <t>Transferencia de contraseñas en claro</t>
  </si>
  <si>
    <t>Gestión inadecuada del servicio (Tolerancia a fallas en el enrutamiento)</t>
  </si>
  <si>
    <t>Conexiones de red públicas o sin protección</t>
  </si>
  <si>
    <t>Falta de separación de Redes</t>
  </si>
  <si>
    <t>Utilización de Protocolos inseguros de comunicación</t>
  </si>
  <si>
    <t>Ausencia de sistemas de monitoreo y control</t>
  </si>
  <si>
    <t>Falta de conciencia acerca de la seguridad</t>
  </si>
  <si>
    <t>Ausencia de pruebas funcionales o de stress</t>
  </si>
  <si>
    <t>SOPORTES DE INFORMACIÓN [SA]</t>
  </si>
  <si>
    <t>Ausencia de esquemas de reemplazo periódico.</t>
  </si>
  <si>
    <t>Susceptibilidad a la humedad, el polvo y la suciedad.</t>
  </si>
  <si>
    <t>Almacenamiento sin protección</t>
  </si>
  <si>
    <t>Falta de cuidado en la disposición final</t>
  </si>
  <si>
    <t>Almacenamiento desprotegido de datos o información</t>
  </si>
  <si>
    <t>Ausencia de controles contra códigos maliciosos</t>
  </si>
  <si>
    <t>Ausencia de copias de  respaldos</t>
  </si>
  <si>
    <t>Falta de estándares y controles para el uso dispositivos</t>
  </si>
  <si>
    <t>Desconocimiento de las recomendaciones o guías de uso</t>
  </si>
  <si>
    <t>EQUIPOS AUXILIARES [EA]</t>
  </si>
  <si>
    <t xml:space="preserve"> Falta de estándares y controles para el uso de elementos</t>
  </si>
  <si>
    <t>Ausencia de pruebas  de funcionamiento</t>
  </si>
  <si>
    <t>Obsolescencia de los equipos o las tecnologías</t>
  </si>
  <si>
    <t>INSTALACIONES Y PERSONAL [IP]</t>
  </si>
  <si>
    <t>Uso inadecuado o descuidado de las instalaciones o recintos</t>
  </si>
  <si>
    <t>Ubicación en un área susceptible a inundaciones, suciedad</t>
  </si>
  <si>
    <t>Red energética inestable</t>
  </si>
  <si>
    <t>Ausencia de protección física de la edificación,  puertas y ventanas</t>
  </si>
  <si>
    <t>Ausencia o indisponibilidad del personal</t>
  </si>
  <si>
    <t>Debilidades en los procedimientos  de contratación</t>
  </si>
  <si>
    <t>Entrenamiento insuficiente en seguridad</t>
  </si>
  <si>
    <t>Trabajo no supervisado del personal externo o de limpieza</t>
  </si>
  <si>
    <t>Ausencia de mecanismos de monitoreo y control</t>
  </si>
  <si>
    <t>Falta de segregación de funciones</t>
  </si>
  <si>
    <t>Ausencia de implementación de perímetros de seguridad</t>
  </si>
  <si>
    <t>Ausencia de procesos disciplinarios</t>
  </si>
  <si>
    <t>Ausencia de control de acceso físico en las instalaciones o recintos</t>
  </si>
  <si>
    <t>DATOS O INFORMACIÓN [DI]</t>
  </si>
  <si>
    <t>Ausencia de requisitos de seguridad con terceros</t>
  </si>
  <si>
    <t xml:space="preserve">Ausencia de acuerdos o cláusulas de confidencialidad </t>
  </si>
  <si>
    <t>Disposición insegura de datos o información</t>
  </si>
  <si>
    <t>Ausencia de copias de respaldo</t>
  </si>
  <si>
    <t>Falta de revisión periódica de las medidas de seguridad</t>
  </si>
  <si>
    <t xml:space="preserve">Tratamiento inadecuado de datos o información </t>
  </si>
  <si>
    <t>Ausencia de lecciones aprendidas sobre incidentes de seguridad</t>
  </si>
  <si>
    <t xml:space="preserve">No corrección de vulnerabilidades conocidas </t>
  </si>
  <si>
    <t>Copias no controladas ni autorizadas de datos o información</t>
  </si>
  <si>
    <t>Ausencia de métodos de cifrado</t>
  </si>
  <si>
    <t>Ausencia de Controles de acceso</t>
  </si>
  <si>
    <t>Habilitación de servicios o accesos innecesarios</t>
  </si>
  <si>
    <t>Desconocimiento de políticas y procedimientos</t>
  </si>
  <si>
    <t>Clasificación inadecuada de la información</t>
  </si>
  <si>
    <t>REDES DE COMUNICACIÓN [RC]</t>
  </si>
  <si>
    <t>BASES DE DATOS [BD]</t>
  </si>
  <si>
    <t>El archivo contiene las siguientes hojas:
- Hoja 1 Contexto 
- Hoja 2 Instructivo R. Gestión
- Hoja 3 R. Gestión: Encontrará el Mapa Final con la totalidad de la estructura para la identificación y valoración de los riesgos por proceso.
- Hoja 4 Instructivo R. Corrupción
- Hoja 5 R. Corrupción:  Encontrará el Mapa Final con la totalidad de la estructura para la identificación y valoración de estos riesgos por proceso.
- Hoja 6 Impacto Corrupción: Formato con el cuestionario para determinar el impacto en riesgos de corrupción</t>
  </si>
  <si>
    <t>Utilice la lista de despliegue que se encuentra parametrizada, le aparecerán las opciones: i) Daños Activos Físicos, ii) Ejecución y Administración de procesos, iii) Fraude Externo, iv) Fraude Interno, v) Fallas Tecnológicas,  vi) Ambiental vii) Relaciones Laborales, viii) 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</si>
  <si>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 (Columnas H-J)</t>
  </si>
  <si>
    <t>Utilice la lista de despliegue que se encuentra parametrizada, le aparecerán las opciones de la tabla de Impacto en la Hoja 6 del presente documento. La matriz automáticamente hará el cálculo para el nivel de impacto inherente (Columnas M-N)</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</si>
  <si>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</si>
  <si>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</si>
  <si>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</si>
  <si>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</si>
  <si>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</si>
  <si>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</si>
  <si>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</si>
  <si>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</si>
  <si>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Es necesario que en la descripción del riesgo concurran los componentes de su definición, así:
ACCIÓN U OMISIÓN + USO DEL PODER + DESVIACIÓN DE LA GESTIÓN DE LO PÚBLICO + EL BENEFICIO PRIVADO. 
Los riesgos de corrupción se establecen sobre procesos.
El riesgo debe estar descrito de manera clara y precisa. Su redacción no debe dar lugar a ambigüedades o confusiones con la causa generadora de los mismos.
Con el fin de facilitar la identificación de riesgos de corrupción y evitar que se presenten confusiones entre un riesgo de gestión y uno de corrupción, se sugiere la utilización de la matriz de definición de riesgo de corrupción, que incorpora cada uno de los componentes de su definición.
De acuerdo con la siguiente matriz, si se marca con una X en la descripción del  riesgo que aparece en cada casilla quiere decir que se trata de un riesgo de corrupción:</t>
  </si>
  <si>
    <t xml:space="preserve">Análisis del Riesgo de Corrupción
Combinación Probabilidad / Impacto
Probabilidad: 5 niveles: Rara vez, Improbables, Posible, Probables. Casi seguro.
Impacto: 3 niveles: 
El Impacto se determinara mediante el diligenciamiento del formato que contiene 19 preguntas. </t>
  </si>
  <si>
    <t xml:space="preserve">Permite definir un consecutivo de riesgos.
Una entidad puede ir en el riesgo 150, pero tener 70 riesgos, lo que permite llevar una traza de los riesgos. Esta información la debe administrar la oficina asesora de planeación o gerencia de riesgos.  Cuando un riesgo salga del mapa no existirá otro riesgo con el mismo número. </t>
  </si>
  <si>
    <t>Debe contar con una redacción clara y concreta del riesgo identificado,  tener en cuenta la estructura de alto nivel establecida en al guía, es necesario que en la descripción del riesgo concurran los componentes de su definición, así: ACCIÓN U OMISIÓN + USO DEL PODER + DESVIACIÓN DE LA GESTIÓN DE LO PÚBLICO + EL BENEFICIO PRIVADO.</t>
  </si>
  <si>
    <t>El impacto se debe analizar y calificar a partir de las consecuencias identificadas en la fase de descripción del riesgo, diligenciando el cuestionario en sus 19 pregunta</t>
  </si>
  <si>
    <t>Evaluación del  Riesgo Inherente</t>
  </si>
  <si>
    <t>Utilice la lista de despliegue que se encuentra parametrizada, le aparecerán las opciones: i)Preventivo, ii)Detectivo</t>
  </si>
  <si>
    <t>¿Existe un responsable asignado a la ejecución del control?
Utilice la lista de despliegue que se encuentra parametrizada, le aparecerán las opciones: Asignado 15; No Asignado 0</t>
  </si>
  <si>
    <t>¿El responsable tiene la autoridad y adecua-da segregación de funciones en la ejecución del control?
Utilice la lista de despliegue que se encuentra parametrizada, le aparecerán las opciones: Adecuado 15, Inadecuado 0</t>
  </si>
  <si>
    <t>¿La oportunidad en que se ejecuta el control ayuda a prevenir la mitigación del riesgo o a detectar la materialización del riesgo de manera oportuna?
Utilice la lista de despliegue que se encuentra parametrizada, le aparecerán las opciones: Oportuna 15. Inoportuna 0</t>
  </si>
  <si>
    <t>¿Las actividades que se desarrollan en el control realmente buscan por si sola prevenir o detectar las causas que pueden dar origen al riesgo, Ej.: verificar, validar, cotejar, comparar, revisar, etc.?
Utilice la lista de despliegue que se encuentra parametrizada, le aparecerán las opciones: Prevenir 15, Detectar 10, No es un control 0</t>
  </si>
  <si>
    <t>¿La fuente de información que se utiliza en el desarrollo del control es información confiable que permita mitigar el riesgo?
Utilice la lista de despliegue que se encuentra parametrizada, le aparecerán las opciones: Confiable 15, No confiable 0</t>
  </si>
  <si>
    <t>¿Las observaciones, desviaciones o diferencias identificadas como resultados de la ejecución del control son investigadas y resueltas de manera oportuna?
Utilice la lista de despliegue que se encuentra parametrizada, le aparecerán las opciones: Se investigan y resuelven oportunamente 15, No se investigan y resuelven oportunamente  0</t>
  </si>
  <si>
    <t>¿Se deja evidencia o rastro de la ejecución del control que permita a cualquier tercero con la evidencia llegar a la misma conclusión?
Utilice la lista de despliegue que se encuentra parametrizada, le aparecerán las opciones: Completa 10,  Incompleta 5, No existe 0</t>
  </si>
  <si>
    <t>Aunque un control esté bien diseñado, este debe ejecutarse de manera  consistente,  debe asegurarse por parte de la primera línea de defensa que el control se ejecute.
Utilice la lista de despliegue que se encuentra parametrizada, le aparecerán las opciones: Fuerte: El control se ejecuta de manera consistente por parte del responsable. Moderado: El control se ejecuta algunas veces por parte del responsable. Débil: El control no se ejecuta por parte del responsable.</t>
  </si>
  <si>
    <t>Evaluación de la Solidez del Control</t>
  </si>
  <si>
    <t>Se determina si se debe establecer acción o acciones para fortalecer el control
Utilice la lista de despliegue que se encuentra parametrizada, le aparecerán las opciones: Si. NO</t>
  </si>
  <si>
    <t>Evaluación del  Riesgo Residual</t>
  </si>
  <si>
    <t>Utilice la lista de despliegue que se encuentra parametrizada, le aparecerán las opciones: i)Aceptar, ii)Evitar, iii)Reducir, iv) Compartir o Transferir.</t>
  </si>
  <si>
    <t>Para la gestión de riesgos de corrupción, continúan vigentes los lineamientos contenidos en la versión 4 de la Guía para la administración del riesgo y el diseño de controles en entidades públicas de 2018. Por lo anterior es necesario que para formular el mapa de riesgos de corrupción, se remita a dicho documento. Para mayor facilidad, a continuación se transcriben algunos de las pautas señaladas en la Guía para la administración del riesgo y el diseño de controles en entidades públicas de 2018, que reiterando sigue vigente. El formato cuenta con celdas parametrizadas y permite contar con los respectivos mapas de calor para riesgo inherente y riesgo residual.</t>
  </si>
  <si>
    <t xml:space="preserve">Antes de iniciar con el diligenciamiento de la información en la matriz, se requiere definir que es RIESGO DE CORRUPCIÓN
Definición de riesgo de corrupción: Es la posibilidad de que, por acción u omisión, se use el poder para desviar la gestión de lo público hacia un beneficio privado.
“Esto implica que las prácticas corruptas son realizadas por actores públicos y/o privados con poder e incidencia en la toma de decisiones y la administración de los bienes públicos” (Conpes N° 167 de 2013). 
</t>
  </si>
  <si>
    <t>Descripción del riesgo</t>
  </si>
  <si>
    <t>Identificar los puntos sensibles en  el proceso, analizar las debilidades que pueden ser causas de hechos de corrupción en las actividades internas de la entidad, así como las amenazas del entorno,  se pueden identificar a partir de los componentes de oportunidad, presión y responsabilidad.
₋ Oportunidad: Las variables que inciden en la oportunidad para la corrupción debido a las fallas de los procedimientos y ausencia de controles en el desarrollo de los trámites,
₋ Presión: Los factores de la dimensión de presión donde es necesario identificar que actores corruptos externos a la entidad inciden.
₋ Responsabilidad: Las fallas éticas y de compromiso con lo público que afectan un desarrollo objetivo e imparcial en el manejo y regulación de los recursos públicos.</t>
  </si>
  <si>
    <t>La calificación de la solidez de cada control será considerada tendiendo en cuenta la calificación del diseño o ejecución con menor calificación entre fuerte, moderado y débil
Utilice la lista de despliegue que se encuentra parametrizada, en la columna X</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</si>
  <si>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1"/>
        <color theme="9" tint="-0.249977111117893"/>
        <rFont val="Arial"/>
        <family val="2"/>
      </rPr>
      <t>Guía para la Administración del Riesgo y el diseño de controles V5</t>
    </r>
    <r>
      <rPr>
        <sz val="11"/>
        <rFont val="Arial"/>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</si>
  <si>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proceso, su objetivo, alcance, actividades clave, considere los lineamientos establecidos en el </t>
    </r>
    <r>
      <rPr>
        <sz val="11"/>
        <color theme="9" tint="-0.249977111117893"/>
        <rFont val="Arial"/>
        <family val="2"/>
      </rPr>
      <t>Paso 2: identificación del riesgo</t>
    </r>
    <r>
      <rPr>
        <sz val="11"/>
        <rFont val="Arial"/>
        <family val="2"/>
      </rPr>
      <t xml:space="preserve">, donde se explica ampliamente las bases para adelantar este análisis.
Así mismo, considere en el </t>
    </r>
    <r>
      <rPr>
        <sz val="11"/>
        <color theme="9" tint="-0.249977111117893"/>
        <rFont val="Arial"/>
        <family val="2"/>
      </rPr>
      <t>Paso 3: valoración del riesgo</t>
    </r>
    <r>
      <rPr>
        <sz val="11"/>
        <rFont val="Arial"/>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sz val="11"/>
        <color theme="9" tint="-0.249977111117893"/>
        <rFont val="Arial"/>
        <family val="2"/>
      </rPr>
      <t>NOTA:</t>
    </r>
    <r>
      <rPr>
        <sz val="11"/>
        <rFont val="Arial"/>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</si>
  <si>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1"/>
        <color theme="9" tint="-0.249977111117893"/>
        <rFont val="Arial"/>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</si>
  <si>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11"/>
        <color theme="9" tint="-0.249977111117893"/>
        <rFont val="Arial"/>
        <family val="2"/>
      </rPr>
      <t>Responsable de ejecutar el control + Acción + Complemento</t>
    </r>
  </si>
  <si>
    <r>
      <t xml:space="preserve">ATRIBUTOS EFICIENCIA
</t>
    </r>
    <r>
      <rPr>
        <sz val="11"/>
        <rFont val="Arial"/>
        <family val="2"/>
      </rPr>
      <t>Tipo</t>
    </r>
  </si>
  <si>
    <r>
      <t xml:space="preserve">ATRIBUTOS EFICIENCIA
</t>
    </r>
    <r>
      <rPr>
        <sz val="11"/>
        <rFont val="Arial"/>
        <family val="2"/>
      </rPr>
      <t>Implementación</t>
    </r>
  </si>
  <si>
    <r>
      <t xml:space="preserve">ATRIBUTOS EFICIENCIA
</t>
    </r>
    <r>
      <rPr>
        <sz val="11"/>
        <rFont val="Arial"/>
        <family val="2"/>
      </rPr>
      <t>Calificación</t>
    </r>
  </si>
  <si>
    <r>
      <t xml:space="preserve">ATRIBUTOS INFORMATIVOS
</t>
    </r>
    <r>
      <rPr>
        <sz val="11"/>
        <rFont val="Arial"/>
        <family val="2"/>
      </rPr>
      <t>Documentación</t>
    </r>
  </si>
  <si>
    <r>
      <t xml:space="preserve">ATRIBUTOS INFORMATIVOS
</t>
    </r>
    <r>
      <rPr>
        <sz val="11"/>
        <rFont val="Arial"/>
        <family val="2"/>
      </rPr>
      <t>Frecuencia</t>
    </r>
  </si>
  <si>
    <r>
      <t xml:space="preserve">ATRIBUTOS INFORMATIVOS
</t>
    </r>
    <r>
      <rPr>
        <sz val="11"/>
        <rFont val="Arial"/>
        <family val="2"/>
      </rPr>
      <t>Registro</t>
    </r>
  </si>
  <si>
    <r>
      <t>La matriz automáticamente hará el cálculo, acorde con el control o controles definidos con sus atributos analizados, lo que permitirá establecer el</t>
    </r>
    <r>
      <rPr>
        <b/>
        <sz val="11"/>
        <color theme="9" tint="-0.249977111117893"/>
        <rFont val="Arial"/>
        <family val="2"/>
      </rPr>
      <t xml:space="preserve"> nivel de riesgo inherente</t>
    </r>
    <r>
      <rPr>
        <sz val="11"/>
        <rFont val="Arial"/>
        <family val="2"/>
      </rPr>
      <t xml:space="preserve"> (Columnas Z- AA -AB- AC-AD).</t>
    </r>
  </si>
  <si>
    <r>
      <t xml:space="preserve">Plan de Acción
</t>
    </r>
    <r>
      <rPr>
        <sz val="11"/>
        <rFont val="Arial"/>
        <family val="2"/>
      </rPr>
      <t xml:space="preserve">Responsable, fecha implementación, fecha seguimiento, seguimiento. </t>
    </r>
  </si>
  <si>
    <r>
      <t xml:space="preserve"> -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</si>
  <si>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</si>
  <si>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 </t>
    </r>
    <r>
      <rPr>
        <b/>
        <sz val="11"/>
        <rFont val="Arial Narrow"/>
        <family val="2"/>
      </rPr>
      <t xml:space="preserve"> Hoja 5 Tabla de probabilidad: </t>
    </r>
    <r>
      <rPr>
        <sz val="11"/>
        <rFont val="Arial Narrow"/>
        <family val="2"/>
      </rPr>
      <t>Tabla referente para todos los cálculos (no se diligencia)</t>
    </r>
  </si>
  <si>
    <r>
      <t xml:space="preserve"> - </t>
    </r>
    <r>
      <rPr>
        <b/>
        <sz val="11"/>
        <rFont val="Arial Narrow"/>
        <family val="2"/>
      </rPr>
      <t xml:space="preserve"> Hoja 6 Tabla de Impacto: </t>
    </r>
    <r>
      <rPr>
        <sz val="11"/>
        <rFont val="Arial Narrow"/>
        <family val="2"/>
      </rPr>
      <t>Tabla referente para todos los cálculos (no se diligencia)</t>
    </r>
  </si>
  <si>
    <r>
      <t xml:space="preserve"> - </t>
    </r>
    <r>
      <rPr>
        <b/>
        <sz val="11"/>
        <rFont val="Arial Narrow"/>
        <family val="2"/>
      </rPr>
      <t xml:space="preserve"> Hoja 7 Tabla de Valoración de Controles: </t>
    </r>
    <r>
      <rPr>
        <sz val="11"/>
        <rFont val="Arial Narrow"/>
        <family val="2"/>
      </rPr>
      <t>Tabla referente para todos los cálculos (no se diligencia)</t>
    </r>
  </si>
  <si>
    <r>
      <t xml:space="preserve">La entidad debe implementar controles orientados a reducir, mitigar o eliminar los riesgos que se puedan presentar. Defina el control (es) considerando la estructura explicada en la guía: </t>
    </r>
    <r>
      <rPr>
        <b/>
        <sz val="11"/>
        <color theme="9" tint="-0.249977111117893"/>
        <rFont val="Arial"/>
        <family val="2"/>
      </rPr>
      <t>Responsable de ejecutar el control + Acción + Complemento</t>
    </r>
    <r>
      <rPr>
        <sz val="11"/>
        <rFont val="Arial"/>
        <family val="2"/>
      </rPr>
      <t xml:space="preserve"> </t>
    </r>
  </si>
  <si>
    <r>
      <t xml:space="preserve">Plan de Manejo de Riesgos
</t>
    </r>
    <r>
      <rPr>
        <sz val="11"/>
        <rFont val="Arial"/>
        <family val="2"/>
      </rPr>
      <t>Accione a tomar, Responsable, fecha de cumplimiento, producto evidencia del cumplimiento</t>
    </r>
  </si>
  <si>
    <t>Matriz de Administración de Riesgos</t>
  </si>
  <si>
    <t>GESTIÓN ESTRATÉGICA</t>
  </si>
  <si>
    <t>GESTIÓN DE PROCESOS</t>
  </si>
  <si>
    <t>GESTIÓN DE PROYECTOS</t>
  </si>
  <si>
    <t>GESTIÓN DE COMUNICACIONES</t>
  </si>
  <si>
    <t>GESTIÓN DE RELACIONAMIENTO E INTERNACIONALIZACIÓN</t>
  </si>
  <si>
    <t>MERCADEO ESTRATÉGICO</t>
  </si>
  <si>
    <t>GESTIÓN DE SERVICIO AL CIUDADANO</t>
  </si>
  <si>
    <t>GESTIÓN ESTRATÉGICA DE PERSONAS</t>
  </si>
  <si>
    <t>GESTIÓN ESTRATÉGICA DE TECNOLOGÍA</t>
  </si>
  <si>
    <t>INVESTIGACIÓN E INNOVACIÓN APLICADA</t>
  </si>
  <si>
    <t>PROSPECTIVA</t>
  </si>
  <si>
    <t>GESTIÓN DE INFORMACIÓN DEL TERRITORIO</t>
  </si>
  <si>
    <t>FORMACIÓN DE SOCIOS ESTRATÉGICOS</t>
  </si>
  <si>
    <t>GESTIÓN DE REGULACIÓN</t>
  </si>
  <si>
    <t>GESTIÓN DE GESTIÓN DE HABILITACIÓN</t>
  </si>
  <si>
    <t>GESTIÓN CATASTRAL</t>
  </si>
  <si>
    <t>GESTIÓN AGROLOGICA</t>
  </si>
  <si>
    <t>GESTIÓN CARTOGRÁFICA</t>
  </si>
  <si>
    <t>GESTIÓN GEODÉSICA</t>
  </si>
  <si>
    <t>GESTIÓN DEL CONOCIMIENTO GEOGRÁFICO</t>
  </si>
  <si>
    <t>GESTIÓN VALUATORIA</t>
  </si>
  <si>
    <t>GESTIÓN PRESUPUESTAL, CONTABLE Y FINANCIERA</t>
  </si>
  <si>
    <t>GESTIÓN DE BIENES Y SERVICIOS</t>
  </si>
  <si>
    <t>GESTIÓN DE SERVICIOS TECNOLÓGICOS</t>
  </si>
  <si>
    <t>EVALUACIÓN Y SEGUIMIENTO</t>
  </si>
  <si>
    <t>No.</t>
  </si>
  <si>
    <t>PROCESO / SUBPROCESO</t>
  </si>
  <si>
    <t>OBJETIVO ESTRÁTEGICO RELACIONADO</t>
  </si>
  <si>
    <t>OBJETIVOS ESTRATÉGICOS</t>
  </si>
  <si>
    <t>Objetivo 1. Capital humano y socios estratégicos competentes</t>
  </si>
  <si>
    <t xml:space="preserve">Objetivo 2. Modelo de Gestión Integrado </t>
  </si>
  <si>
    <t>Objetivo 3. Gobernanza del dato y la información de valor público</t>
  </si>
  <si>
    <t>Objetivo 4. Regulación y política pública con enfoque territorial</t>
  </si>
  <si>
    <t>Objetivo 5. Gestión del Conocimiento para la Innovación aplicada</t>
  </si>
  <si>
    <t>Objetivo 6. Automatización, Integración e Interoperabilidad para el territorio</t>
  </si>
  <si>
    <t>Objetivo 7. Posicionamiento Institucional</t>
  </si>
  <si>
    <t>CAUSAS</t>
  </si>
  <si>
    <t>Legal y reglamentario</t>
  </si>
  <si>
    <t>Político</t>
  </si>
  <si>
    <t>Tecnológico</t>
  </si>
  <si>
    <t>Recursos Financieros-Económicos</t>
  </si>
  <si>
    <t>EXTERNO:</t>
  </si>
  <si>
    <t>INTERNO:</t>
  </si>
  <si>
    <t xml:space="preserve">Económico: Disponibilidad de capital, liquidez, mercados financieros, desempleo, competencia.   </t>
  </si>
  <si>
    <t>Ambiental</t>
  </si>
  <si>
    <t>Planeación</t>
  </si>
  <si>
    <t>Talento Humano</t>
  </si>
  <si>
    <t>Coordinación y Comunicación</t>
  </si>
  <si>
    <t>Otro Interno</t>
  </si>
  <si>
    <t>Legal y reglamentario: Se refiere a todo lo establecido por la ley o que esté conforme con ella.</t>
  </si>
  <si>
    <t>Ambiental: emisiones y residuos, energía, catástrofes naturales, desarrollo sostenible.</t>
  </si>
  <si>
    <t>Político: Cambios de gobierno, políticas públicas, regulación.</t>
  </si>
  <si>
    <t>Sociales y Culturales: Demografía, responsabilidad social, orden público, atentados, vandalismo, asalto a la oficina.</t>
  </si>
  <si>
    <t>Tecnológico: Avances en tecnología, acceso a sistemas de información externos, gobierno digital, suplantación de identidad, virus informáticos.</t>
  </si>
  <si>
    <t>Otro: Se refiere a una categoría diferente a las mencionadas anteriormente.</t>
  </si>
  <si>
    <t>Sociales y Culturales</t>
  </si>
  <si>
    <t>Recursos Financieros-Económicos: Presupuesto de funcionamiento, recursos de inversión, infraestructura, capacidad instalada.</t>
  </si>
  <si>
    <t>Planeación: Se refiere al accionar que tiene que ver con políticas, planes, programas y proyectos al interior de la entidad.</t>
  </si>
  <si>
    <t xml:space="preserve">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t>
  </si>
  <si>
    <t>Procesos: Eventos relacionados con errores en las actividades que deben realizar los servidores de la organización. Falta de procedimientos, errores de grabación, autorización, errores en cálculos para pagos internos y externos y falta de capacidad.</t>
  </si>
  <si>
    <t>Tecnología: Eventos relacionados con la infraestructura tecnológica de la entidad. Daños de quipos, caída de aplicaciones, caída de redes, errores en programas.</t>
  </si>
  <si>
    <t>Infraestructura</t>
  </si>
  <si>
    <t>Infraestructura: Eventos relacionados con la infraestructura física de la entidad. Derrumbes, incendios, inundaciones, daños a activos fijos.</t>
  </si>
  <si>
    <t>Coordinación y Comunicación: Canales utilizados y su efectividad, así como adecuado y oportuno flujo de la información necesaria para el desarrollo de las operaciones.</t>
  </si>
  <si>
    <t>FACTORES DE RIESGO</t>
  </si>
  <si>
    <t xml:space="preserve">Ejecución y administración de procesos </t>
  </si>
  <si>
    <t xml:space="preserve">Fraude externo </t>
  </si>
  <si>
    <t xml:space="preserve">Fallas tecnológicas </t>
  </si>
  <si>
    <t xml:space="preserve">Relaciones laborales </t>
  </si>
  <si>
    <t xml:space="preserve">Usuarios, productos y prácticas </t>
  </si>
  <si>
    <t xml:space="preserve">Eventos externos </t>
  </si>
  <si>
    <t>Fiscal</t>
  </si>
  <si>
    <t xml:space="preserve"> Otro Externo</t>
  </si>
  <si>
    <r>
      <t>Tecnología</t>
    </r>
    <r>
      <rPr>
        <sz val="10"/>
        <color theme="1"/>
        <rFont val="Arial Narrow"/>
        <family val="2"/>
      </rPr>
      <t/>
    </r>
  </si>
  <si>
    <t>IMPACTO PARA LA ENTIDAD</t>
  </si>
  <si>
    <t>INTERNAS</t>
  </si>
  <si>
    <t>EXTERNAS</t>
  </si>
  <si>
    <t>CONSECUENCIAS</t>
  </si>
  <si>
    <t>Aplicabilidad territorial</t>
  </si>
  <si>
    <t>META DEL CONTROL</t>
  </si>
  <si>
    <t>Meta Anual del Control</t>
  </si>
  <si>
    <t>PRODUCTO / ENTREGABLE</t>
  </si>
  <si>
    <t>FECHA DE INICIO</t>
  </si>
  <si>
    <t>FECHA FIN</t>
  </si>
  <si>
    <t xml:space="preserve">Socialización y divulgación de piezas comunicacionales a todos los funcionarios y contratistas del IGAC de las buenas prácticas ambientales 
</t>
  </si>
  <si>
    <t>Responsable del Sistema de Gestión Ambiental</t>
  </si>
  <si>
    <t>N.A.</t>
  </si>
  <si>
    <t>ZONA DE RIESGO RESIDUAL</t>
  </si>
  <si>
    <t>R72</t>
  </si>
  <si>
    <t>R9</t>
  </si>
  <si>
    <t>El Responsable de la Oficina de Relación con el Ciudadano - ORC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</si>
  <si>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Entregable</t>
  </si>
  <si>
    <t>Evidencia: Reporte de las encuestas contestadas por los usuarios y/o informe consolidado de las encuestas.</t>
  </si>
  <si>
    <t>R52</t>
  </si>
  <si>
    <t>R53</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</si>
  <si>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</si>
  <si>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R54</t>
  </si>
  <si>
    <t>CRITERIOS DE IMPACTO</t>
  </si>
  <si>
    <t>R51</t>
  </si>
  <si>
    <t>R50</t>
  </si>
  <si>
    <t>El responsable en el GIT de Gestión Contractual verifica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</si>
  <si>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</si>
  <si>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 xml:space="preserve">El Responsable de los servicios de transporte en el proceso de Gestión  Administrativa y el asignado por el Director Territorial, en las Direcciones Territoriales aprueba las solicitudes generadas en la plataforma tecnológica verificando que se encuentren: 1.) autorizadas por el Director General, Secretario(a) general, Directores Técnicos, Subdirectores, Jefes de Oficina, Coordinadores y Directores territoriales, según corresponda, 2.) que se encuentran  completamente diligenciadas  acorde al procedimiento "Control y manejo administrativo del parque automotor".   En caso de que la solicitud no se encuentre acorde a lo mencionado en el procedimiento vigente, no se aprueba, dando la respectiva respuesta al solicitante.
Periodicidad: Trimestral
Evidencias 
Sede Central: 
1.) Listado de los casos generados durante el trimestre en la plataforma tecnológica
2.) Informe trimestral que presente el análisis y la trazabilidad del servicio del 10% de los  casos generados en la plataforma tecnológica.
Direcciones Territoriales: 
1.) Listado de los casos generados durante el trimestre en la plataforma tecnológica
</t>
  </si>
  <si>
    <r>
      <rPr>
        <b/>
        <sz val="11"/>
        <color theme="1"/>
        <rFont val="Arial"/>
        <family val="2"/>
      </rPr>
      <t xml:space="preserve">Sede Central: </t>
    </r>
    <r>
      <rPr>
        <sz val="11"/>
        <color theme="1"/>
        <rFont val="Arial"/>
        <family val="2"/>
      </rPr>
      <t xml:space="preserve">
1.) Listado de los casos generados durante el trimestre en la plataforma tecnológica
2.) Informe trimestral que presente el análisis y la trazabilidad del servicio del 10% de los  casos generados en la plataforma tecnológica.
</t>
    </r>
    <r>
      <rPr>
        <b/>
        <sz val="11"/>
        <color theme="1"/>
        <rFont val="Arial"/>
        <family val="2"/>
      </rPr>
      <t xml:space="preserve">
Direcciones Territoriales: </t>
    </r>
    <r>
      <rPr>
        <sz val="11"/>
        <color theme="1"/>
        <rFont val="Arial"/>
        <family val="2"/>
      </rPr>
      <t xml:space="preserve">
1.) Listado de los casos generados durante el trimestre en la plataforma tecnológica</t>
    </r>
  </si>
  <si>
    <t>El Responsable de Gestión Administrativa identifica las necesidades de infraestructura física que requieren adecuación y mantenimiento a nivel nacional. En caso contrario se deben justificar los motivos.
Periodicidad: Semestral
Evidencia: Informe de seguimiento a las necesidades de infraestructura física que requieren adecuación y mantenimiento a nivel nacional</t>
  </si>
  <si>
    <t>Posibilidad de efecto dañoso sobre recursos públicos, por sobrecostos en contratos de la entidad, a causa de la omisión del deber de elaborar estudios de mercado en procesos competitivos.</t>
  </si>
  <si>
    <t>Sobrecostos
Sanciones</t>
  </si>
  <si>
    <t xml:space="preserve">R4 </t>
  </si>
  <si>
    <t>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Periodicidad: Semestral
Evidencias: Resultados del mecanismo de evaluación utilizado y/o material evidencia de la evaluación realizada.</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</si>
  <si>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Periodicidad: Anual
Evidencias: Presentación del desempeño institucional a la Alta Dirección, Acta de Comité presentación de resultados y/o plan de acción establecido desde la Alta Dirección.</t>
  </si>
  <si>
    <t>R8</t>
  </si>
  <si>
    <t>R11</t>
  </si>
  <si>
    <t>R12</t>
  </si>
  <si>
    <t>R13</t>
  </si>
  <si>
    <t>R14</t>
  </si>
  <si>
    <t>R15</t>
  </si>
  <si>
    <t>R16</t>
  </si>
  <si>
    <t>R17</t>
  </si>
  <si>
    <t>R20</t>
  </si>
  <si>
    <t>GESTIÓN DEL CONOCIMIENTO APLICADO</t>
  </si>
  <si>
    <t>R22</t>
  </si>
  <si>
    <t xml:space="preserve">
1. Inadecuada gestión de la infraestructura física y tecnológica.
2. Demoras en los procesos contractuales 
3. Baja capacidad institucional, por la alta rotación de personal, se pierde continuidad y conocimientos de funcionarios y contratistas.
4. Deficiencia en la comunicación y coordinación dentro de los procesos del IGAC para la entrega de productos internos a tiempo.
5. Insuficiente asignación de recursos frente a los compromisos del proceso.
6. Contingencias que dificulten los desplazamientos de personal para realizar trabajos en campo.
7. Bajas capacidades en el recurso humano a cargo del desarrollo de los proyectos de prospectiva. 
8. No tener las suficientes  licencias de software o licencias de uso o desactualización de las mismas para los sistemas de información requeridos.</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</si>
  <si>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Periodicidad: Mensual
Evidencia: Informe mensual consolidado de seguimiento al Plan de Acción Anual (PAA) y/o correos electrónicos de entrega de informes</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</si>
  <si>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Periodicidad: quincenal
Evidencia:  Reporte de pendientes del aplicativo de correspondencia y/o correos electrónicos informando las peticiones pendientes (según sea el caso).</t>
  </si>
  <si>
    <t>Los responsables de los proyectos verifican periódicamente el cumplimiento de las especificaciones del producto o servicio mediante reuniones de seguimiento. En caso de encontrar un producto o servicio que tenga algún inconveniente se realiza la corrección respectiva.
Periodicidad: Variable
Evidencia: Acta de reunión de seguimiento.</t>
  </si>
  <si>
    <t>El responsable designado de los proyectos anualmente  revisa la necesidad de actualizar la infraestructura tecnológica y software requerido para su operación. En caso de encontrar un requerimiento de infraestructura tecnológica y/o software, cada responsable solicita al líder del proceso la destinación de los recursos y la presentación del requerimiento a la Dirección de Tecnología de la Información y comunicaciones -DTIC, para que realicen la adquisición y/o actualización de la infraestructura tecnológica y las licencias.
Periodicidad: anual
Evidencia:  Plan anual de adquisiciones con la programación de las licencias y/o la infraestructura tecnológica requerida.</t>
  </si>
  <si>
    <t>R24</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</si>
  <si>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</si>
  <si>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Evidencia: Contrato legalizado o Correo electrónico solicitando la inclusión</t>
  </si>
  <si>
    <t>R25</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</si>
  <si>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</si>
  <si>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R26</t>
  </si>
  <si>
    <t>R27</t>
  </si>
  <si>
    <r>
      <t xml:space="preserve">El Director Territorial o quien él designe, elabora el cronograma de los trámites que serán atendidos durante el mes, dando prioridad a los más antiguos. Al final del mes se debe evaluar el cumplimiento del cronograma, identificar los trámites programados y no atendidos, así como las causales. En caso de identificar novedades en el cumplimiento se reprograman las actividades en el mes siguiente.
Periodicidad: trimestral.
</t>
    </r>
    <r>
      <rPr>
        <b/>
        <sz val="11"/>
        <color theme="1"/>
        <rFont val="Arial"/>
        <family val="2"/>
      </rPr>
      <t xml:space="preserve">
Evidencia: 
Aplica únicamente en las Direcciones Territoriales: </t>
    </r>
    <r>
      <rPr>
        <sz val="11"/>
        <color theme="1"/>
        <rFont val="Arial"/>
        <family val="2"/>
      </rPr>
      <t xml:space="preserve">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r>
  </si>
  <si>
    <t>R28</t>
  </si>
  <si>
    <t>R29</t>
  </si>
  <si>
    <t>El Director Territorial o quien él designe, elabora el cronograma de los trámites que serán atendidos durante el mes, dando prioridad a los más antiguos. Al final del mes se debe evaluar el cumplimiento del cronograma, identificar los trámites programados y no atendidos, así como las causales. En caso de identificar novedades en el cumplimiento se reprograman las actividades en el mes siguiente.
Periodicidad: trimestral.
Evidencia: 
Aplica únicamente en las Direcciones Territoriales: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</si>
  <si>
    <r>
      <rPr>
        <b/>
        <sz val="11"/>
        <color theme="1"/>
        <rFont val="Arial"/>
        <family val="2"/>
      </rPr>
      <t xml:space="preserve">Evidencia: 
Aplica únicamente en las Direcciones Territoriales: </t>
    </r>
    <r>
      <rPr>
        <sz val="11"/>
        <color theme="1"/>
        <rFont val="Arial"/>
        <family val="2"/>
      </rPr>
      <t xml:space="preserve">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r>
  </si>
  <si>
    <t>R30</t>
  </si>
  <si>
    <t>R32</t>
  </si>
  <si>
    <r>
      <t xml:space="preserve">
</t>
    </r>
    <r>
      <rPr>
        <b/>
        <sz val="11"/>
        <color theme="1"/>
        <rFont val="Arial"/>
        <family val="2"/>
      </rPr>
      <t xml:space="preserve">Evidencia: </t>
    </r>
    <r>
      <rPr>
        <sz val="11"/>
        <color theme="1"/>
        <rFont val="Arial"/>
        <family val="2"/>
      </rPr>
      <t>Versiones de documentos y/o certificaciones con observaciones o evidencia de asistencia a las reuniones.</t>
    </r>
  </si>
  <si>
    <t>R31</t>
  </si>
  <si>
    <r>
      <rPr>
        <b/>
        <sz val="11"/>
        <color theme="1"/>
        <rFont val="Arial"/>
        <family val="2"/>
      </rPr>
      <t xml:space="preserve">
Evidencias: </t>
    </r>
    <r>
      <rPr>
        <sz val="11"/>
        <color theme="1"/>
        <rFont val="Arial"/>
        <family val="2"/>
      </rPr>
      <t xml:space="preserve">Reporte de GLPI con la asignación de permisos al repositorio oficial y/o mensajes de correo electrónico remitidos (si aplica) </t>
    </r>
  </si>
  <si>
    <r>
      <rPr>
        <b/>
        <sz val="11"/>
        <color theme="1"/>
        <rFont val="Arial"/>
        <family val="2"/>
      </rPr>
      <t xml:space="preserve">
Evidencia: </t>
    </r>
    <r>
      <rPr>
        <sz val="11"/>
        <color theme="1"/>
        <rFont val="Arial"/>
        <family val="2"/>
      </rPr>
      <t>Memorando y/o mensaje de correo electrónico informando la situación (si aplica).</t>
    </r>
  </si>
  <si>
    <t>R33</t>
  </si>
  <si>
    <t>R34</t>
  </si>
  <si>
    <t>Afectación de la Imagen Institucional
Quejas</t>
  </si>
  <si>
    <t>R35</t>
  </si>
  <si>
    <t>R37</t>
  </si>
  <si>
    <t>R38</t>
  </si>
  <si>
    <t>R39</t>
  </si>
  <si>
    <t>R40</t>
  </si>
  <si>
    <r>
      <rPr>
        <b/>
        <sz val="11"/>
        <color theme="1"/>
        <rFont val="Arial"/>
        <family val="2"/>
      </rPr>
      <t xml:space="preserve">Evidencia: </t>
    </r>
    <r>
      <rPr>
        <sz val="11"/>
        <color theme="1"/>
        <rFont val="Arial"/>
        <family val="2"/>
      </rPr>
      <t>Reporte de control de calidad de la generación de productos cartográficos.</t>
    </r>
  </si>
  <si>
    <r>
      <rPr>
        <b/>
        <sz val="11"/>
        <color theme="1"/>
        <rFont val="Arial"/>
        <family val="2"/>
      </rPr>
      <t xml:space="preserve">Evidencia: </t>
    </r>
    <r>
      <rPr>
        <sz val="11"/>
        <color theme="1"/>
        <rFont val="Arial"/>
        <family val="2"/>
      </rPr>
      <t>Lista de verificación de productos e insumos.</t>
    </r>
  </si>
  <si>
    <r>
      <rPr>
        <b/>
        <sz val="11"/>
        <color theme="1"/>
        <rFont val="Arial"/>
        <family val="2"/>
      </rPr>
      <t xml:space="preserve">Evidencia: </t>
    </r>
    <r>
      <rPr>
        <sz val="11"/>
        <color theme="1"/>
        <rFont val="Arial"/>
        <family val="2"/>
      </rPr>
      <t>Reportes de control de calidad de la información obtenida en campo.</t>
    </r>
  </si>
  <si>
    <t>R41</t>
  </si>
  <si>
    <t xml:space="preserve">1.  Inadecuada ejecución de las actividades documentadas en los procedimientos e instructivos del SGI.
2. Inadecuada manipulación, almacenamiento y transporte de la muestra.
3. Inadecuada rotulación de la muestra
</t>
  </si>
  <si>
    <t>R43</t>
  </si>
  <si>
    <t>5. Presiones por proveedores o clientes.</t>
  </si>
  <si>
    <t>R45</t>
  </si>
  <si>
    <t>R46</t>
  </si>
  <si>
    <t>1. Desconocimiento de las dependencias ordenadoras de los procedimientos del proceso de gestión financiera.
2. Omisión involuntaria por parte del servidor publico y/o contratista de los procesos de gestión financiera.
3. No contar con una solución tecnológica que gestione de manera integral todos los procesos de gestión financiera.</t>
  </si>
  <si>
    <t>R48</t>
  </si>
  <si>
    <r>
      <rPr>
        <b/>
        <sz val="11"/>
        <color theme="1"/>
        <rFont val="Arial"/>
        <family val="2"/>
      </rPr>
      <t xml:space="preserve">
Evidencia: 
Sede Central:</t>
    </r>
    <r>
      <rPr>
        <sz val="11"/>
        <color theme="1"/>
        <rFont val="Arial"/>
        <family val="2"/>
      </rPr>
      <t xml:space="preserve">
1.) Listado de ordenes de pago con traspaso a pagaduría generadas durante el trimestre
2.) Órdenes de pago con traspaso a pagaduría con sus respectivos soportes
</t>
    </r>
    <r>
      <rPr>
        <b/>
        <sz val="11"/>
        <color theme="1"/>
        <rFont val="Arial"/>
        <family val="2"/>
      </rPr>
      <t xml:space="preserve">Direcciones Territoriales: </t>
    </r>
    <r>
      <rPr>
        <sz val="11"/>
        <color theme="1"/>
        <rFont val="Arial"/>
        <family val="2"/>
      </rPr>
      <t xml:space="preserve">
1.) Listado de ordenes de pago con traspaso a pagaduría generadas durante el trimestre
2.) Órdenes de pago con traspaso a pagaduría con sus respectivos soportes.</t>
    </r>
  </si>
  <si>
    <t>R55</t>
  </si>
  <si>
    <t>R56</t>
  </si>
  <si>
    <t>R57</t>
  </si>
  <si>
    <t>R58</t>
  </si>
  <si>
    <t>R60</t>
  </si>
  <si>
    <r>
      <rPr>
        <b/>
        <sz val="11"/>
        <color theme="1"/>
        <rFont val="Arial"/>
        <family val="2"/>
      </rPr>
      <t>Evidencias:</t>
    </r>
    <r>
      <rPr>
        <sz val="11"/>
        <color theme="1"/>
        <rFont val="Arial"/>
        <family val="2"/>
      </rPr>
      <t xml:space="preserve"> Registro vigente firmado por el solicitante de los documentos en Archivo Central</t>
    </r>
  </si>
  <si>
    <r>
      <rPr>
        <b/>
        <sz val="11"/>
        <color theme="1"/>
        <rFont val="Arial"/>
        <family val="2"/>
      </rPr>
      <t xml:space="preserve">
Evidencias: </t>
    </r>
    <r>
      <rPr>
        <sz val="11"/>
        <color theme="1"/>
        <rFont val="Arial"/>
        <family val="2"/>
      </rPr>
      <t xml:space="preserve">Registro Inventario documental actualizado. Para el caso de incumplimiento, plan de trabajo correspondiente. </t>
    </r>
  </si>
  <si>
    <t>R61</t>
  </si>
  <si>
    <t>R65</t>
  </si>
  <si>
    <t>Afectación de la Imagen Institucional
Sanciones</t>
  </si>
  <si>
    <t>R66</t>
  </si>
  <si>
    <t>R67</t>
  </si>
  <si>
    <t>R69</t>
  </si>
  <si>
    <t>1. Falta de apropiación e interiorización del Estatuto de Auditoría Interna y Código de ética del auditor.
2. Debilidad en las competencias de los auditores e insuficiente capacitación.</t>
  </si>
  <si>
    <t>R70</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</si>
  <si>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</si>
  <si>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r>
      <rPr>
        <b/>
        <sz val="11"/>
        <color theme="1"/>
        <rFont val="Arial"/>
        <family val="2"/>
      </rPr>
      <t xml:space="preserve">Evidencia: </t>
    </r>
    <r>
      <rPr>
        <sz val="11"/>
        <color theme="1"/>
        <rFont val="Arial"/>
        <family val="2"/>
      </rPr>
      <t>Declaratoria del no conflicto de interés por parte de los integrantes del equipo auditor.</t>
    </r>
  </si>
  <si>
    <t>R71</t>
  </si>
  <si>
    <r>
      <t xml:space="preserve">El Responsable del Almacén General y el profesional con funciones de contador almacenista en las Direcciones Territoriales realiza, trimestralmente, un inventario aleatorio  de los bienes en bodega catalogados como activos propiedad planta y equipo, y registrados contablemente, generando un informe de la conciliación de los registros en el sistema frente a los físicos. En caso de presentar diferencias se llevan a cabo las acciones correctivas pertinentes.
Periodicidad: Trimestral
</t>
    </r>
    <r>
      <rPr>
        <b/>
        <sz val="11"/>
        <color theme="1"/>
        <rFont val="Arial"/>
        <family val="2"/>
      </rPr>
      <t xml:space="preserve">
Evidencias
Sede Central:</t>
    </r>
    <r>
      <rPr>
        <sz val="11"/>
        <color theme="1"/>
        <rFont val="Arial"/>
        <family val="2"/>
      </rPr>
      <t xml:space="preserve">
1.) Informe de inventario y conciliación (Fecha del inventario, Responsable, Descripción del bien, número de la placa, fecha de ingreso, valor histórico, valor en libros y ubicación)
2.) Memorando o notificación por correo electrónico al Subdirector(a) Administrativo(a)  y Financiero(a)
</t>
    </r>
    <r>
      <rPr>
        <b/>
        <sz val="11"/>
        <color theme="1"/>
        <rFont val="Arial"/>
        <family val="2"/>
      </rPr>
      <t xml:space="preserve">
Direcciones Territoriales: </t>
    </r>
    <r>
      <rPr>
        <sz val="11"/>
        <color theme="1"/>
        <rFont val="Arial"/>
        <family val="2"/>
      </rPr>
      <t xml:space="preserve">
1.) Informe de inventario y conciliación (Fecha del inventario, Responsable, Descripción del bien, número de la placa, fecha de ingreso, valor histórico, valor en libros y ubicación)
2.) Memorando o notificación por correo electrónico al Director territorial</t>
    </r>
  </si>
  <si>
    <r>
      <t xml:space="preserve">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Periodicidad: Mensual.
</t>
    </r>
    <r>
      <rPr>
        <b/>
        <sz val="11"/>
        <color theme="1"/>
        <rFont val="Arial"/>
        <family val="2"/>
      </rPr>
      <t xml:space="preserve">Evidencias:  </t>
    </r>
    <r>
      <rPr>
        <sz val="11"/>
        <color theme="1"/>
        <rFont val="Arial"/>
        <family val="2"/>
      </rPr>
      <t>Reporte mensual recibido por la empresa de seguridad y reporte de novedades realizadas por el Almacén.</t>
    </r>
  </si>
  <si>
    <r>
      <t xml:space="preserve">El Responsable del Almacén General y el profesional con funciones de contador almacenista en las Direcciones Territoriales, mensualmente valida las entradas y salidas registradas en el aplicativo de inventarios.
Periodicidad: Mensual
</t>
    </r>
    <r>
      <rPr>
        <b/>
        <sz val="11"/>
        <color theme="1"/>
        <rFont val="Arial"/>
        <family val="2"/>
      </rPr>
      <t>Evidencia: Sede Central:</t>
    </r>
    <r>
      <rPr>
        <sz val="11"/>
        <color theme="1"/>
        <rFont val="Arial"/>
        <family val="2"/>
      </rPr>
      <t xml:space="preserve"> Reporte mensual detallado de movimiento de ingresos y egresos de bienes de consumo, control administrativo y activos, generado en el sistema de inventarios.
</t>
    </r>
    <r>
      <rPr>
        <b/>
        <sz val="11"/>
        <color theme="1"/>
        <rFont val="Arial"/>
        <family val="2"/>
      </rPr>
      <t xml:space="preserve">Direcciones Territoriales: </t>
    </r>
    <r>
      <rPr>
        <sz val="11"/>
        <color theme="1"/>
        <rFont val="Arial"/>
        <family val="2"/>
      </rPr>
      <t>Reporte mensual detallado de movimiento de ingresos y egresos de bienes de consumo, control administrativo y activos, generado en el sistema de inventarios.</t>
    </r>
  </si>
  <si>
    <t>Pago de Intereses 
Sanciones
Corrección de las declaraciones</t>
  </si>
  <si>
    <t xml:space="preserve">Registros de Asistencia y/o Correos electrónicos de divulgación
</t>
  </si>
  <si>
    <t>Afectación de la Imagen de la entidad
Sanciones</t>
  </si>
  <si>
    <t>Afectación de la imagen institucional
Sanciones</t>
  </si>
  <si>
    <t>Sanciones
Afectación de la Imagen Institucional</t>
  </si>
  <si>
    <r>
      <t xml:space="preserve">El responsable de gestión de Tesorería en la sede central y los profesionales con funciones de Pagadores en las Direcciones Territoriales, reciben las obligaciones, verificando los  soportes requeridos, en caso de determinar que es un traspaso a pagaduría, se elaboran y autorizan las ordenes de pago en el sistema SIIF Nación.  En caso contrario, se devuelve la documentación solicitando los ajustes correspondientes a los responsables.
Periodicidad: Trimestral
</t>
    </r>
    <r>
      <rPr>
        <b/>
        <sz val="11"/>
        <color theme="1"/>
        <rFont val="Arial"/>
        <family val="2"/>
      </rPr>
      <t>Evidencia: 
Sede Central:</t>
    </r>
    <r>
      <rPr>
        <sz val="11"/>
        <color theme="1"/>
        <rFont val="Arial"/>
        <family val="2"/>
      </rPr>
      <t xml:space="preserve">
1.) Listado de ordenes de pago con traspaso a pagaduría generadas durante el trimestre
2.) Órdenes de pago con traspaso a pagaduría con sus respectivos soportes
</t>
    </r>
    <r>
      <rPr>
        <b/>
        <sz val="11"/>
        <color theme="1"/>
        <rFont val="Arial"/>
        <family val="2"/>
      </rPr>
      <t xml:space="preserve">
Direcciones Territoriales: </t>
    </r>
    <r>
      <rPr>
        <sz val="11"/>
        <color theme="1"/>
        <rFont val="Arial"/>
        <family val="2"/>
      </rPr>
      <t xml:space="preserve">
1.) Listado de ordenes de pago con traspaso a pagaduría generadas durante el trimestre
2.) Órdenes de pago con traspaso a pagaduría con sus respectivos soportes.</t>
    </r>
  </si>
  <si>
    <t xml:space="preserve">1. Demora en la asignación de procesos prejudiciales, judiciales y administrativos
2. Falta de seguimiento a los estados, y/o notificaciones en los procesos. 
3. Falta de seguimiento y o seguimiento inoportuno a los procesos.  
4. Falta de coordinación interinstitucional y con las dependencias encargadas del suministro de insumos para la defensa de los intereses de la entidad.  </t>
  </si>
  <si>
    <t xml:space="preserve">1. Falta de seguimiento a la realización de las actividades fijadas en la PPDA.
2. Falta de seguimiento a las conciliaciones prejudiciales, demandas y condenas a la entidad que tengan como hecho generador las causas priorizadas en al PPDA.  </t>
  </si>
  <si>
    <r>
      <t xml:space="preserve">El funcionario o contratista en Sede Central  con funciones de reparto y control de procesos prejudiciales, judiciales y administrativos cada vez que conozca de uno de esos procesos deberá efectuar control de asignación, otorgamiento de poder y seguimiento de asignación. 
</t>
    </r>
    <r>
      <rPr>
        <b/>
        <sz val="11"/>
        <color theme="1"/>
        <rFont val="Arial"/>
        <family val="2"/>
      </rPr>
      <t>Periodicidad:</t>
    </r>
    <r>
      <rPr>
        <sz val="11"/>
        <color theme="1"/>
        <rFont val="Arial"/>
        <family val="2"/>
      </rPr>
      <t xml:space="preserve"> Variable
</t>
    </r>
    <r>
      <rPr>
        <b/>
        <sz val="11"/>
        <color theme="1"/>
        <rFont val="Arial"/>
        <family val="2"/>
      </rPr>
      <t xml:space="preserve">Evidencia: </t>
    </r>
    <r>
      <rPr>
        <sz val="11"/>
        <color theme="1"/>
        <rFont val="Arial"/>
        <family val="2"/>
      </rPr>
      <t>Matriz Seguimiento y Control proceso judiciales, extrajudiciales y administrativos.</t>
    </r>
  </si>
  <si>
    <r>
      <t xml:space="preserve">El apoderado judicial  tanto en Sede Central como en Direcciones Territoriales, establecerá contacto con las áreas misionales o entidades mediante correo electrónico con el fin de coordinar y obtener insumo para la defensa de la entidad. 
</t>
    </r>
    <r>
      <rPr>
        <b/>
        <sz val="11"/>
        <color theme="1"/>
        <rFont val="Arial"/>
        <family val="2"/>
      </rPr>
      <t xml:space="preserve">Periodicidad: </t>
    </r>
    <r>
      <rPr>
        <sz val="11"/>
        <color theme="1"/>
        <rFont val="Arial"/>
        <family val="2"/>
      </rPr>
      <t xml:space="preserve">Semestral
</t>
    </r>
    <r>
      <rPr>
        <b/>
        <sz val="11"/>
        <color theme="1"/>
        <rFont val="Arial"/>
        <family val="2"/>
      </rPr>
      <t xml:space="preserve">
Evidencia:
Sede Central y Direcciones Territoriales: </t>
    </r>
    <r>
      <rPr>
        <sz val="11"/>
        <color theme="1"/>
        <rFont val="Arial"/>
        <family val="2"/>
      </rPr>
      <t xml:space="preserve"> Correo electrónico remitido por el apoderado a la dependencia de la entidad, o a otra entidad que también obre como demandada, dentro del proceso a su cargo (si aplica)</t>
    </r>
  </si>
  <si>
    <r>
      <rPr>
        <b/>
        <sz val="11"/>
        <color theme="1"/>
        <rFont val="Arial"/>
        <family val="2"/>
      </rPr>
      <t xml:space="preserve">
Evidencia: </t>
    </r>
    <r>
      <rPr>
        <sz val="11"/>
        <color theme="1"/>
        <rFont val="Arial"/>
        <family val="2"/>
      </rPr>
      <t xml:space="preserve">Correo electrónico remitido al apoderado sobre  manifestación de conflicto de interés,  inhabilidad o incompatibilidad, y si aplica, la manifestación hecha por este por correo o memorando </t>
    </r>
  </si>
  <si>
    <t>1. No manifestación de conflicto de interés, inhabilidad o incompatibilidad para actuar dentro del proceso.</t>
  </si>
  <si>
    <t>Posibilidad de afectación Económica y Reputacional por multas y sanciones debido a  inconsistencias en la afiliación a la ARL de los contratistas por prestación de servicios .</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</si>
  <si>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y Direcciones Territoriales: Observaciones y respuestas del proceso en la plataforma SECOP II (si aplica).</t>
  </si>
  <si>
    <r>
      <rPr>
        <b/>
        <sz val="11"/>
        <color theme="1"/>
        <rFont val="Arial"/>
        <family val="2"/>
      </rPr>
      <t>Sede Central y Direcciones Territoriales::</t>
    </r>
    <r>
      <rPr>
        <sz val="11"/>
        <color theme="1"/>
        <rFont val="Arial"/>
        <family val="2"/>
      </rPr>
      <t xml:space="preserve"> Observaciones y respuestas del proceso en la plataforma SECOP II (si aplica).
</t>
    </r>
    <r>
      <rPr>
        <b/>
        <sz val="11"/>
        <color theme="1"/>
        <rFont val="Arial"/>
        <family val="2"/>
      </rPr>
      <t/>
    </r>
  </si>
  <si>
    <t>1. Aplicación inadecuada de los procedimientos del proceso.
2. Actos intencionales de personal al interior de la entidad para saltar los controles en las etapas del proceso contractual.
3. Inaplicación de los manuales y guías de Colombia Compra Eficiente (CCE).</t>
  </si>
  <si>
    <t>Posibilidad de direccionar el proceso de selección en beneficio propio o de terceros para la adjudicación de un contrato.</t>
  </si>
  <si>
    <t>Posibilidad de afectación Económica y reputacional  por extravío de las muestras a ser analizadas en el LNS</t>
  </si>
  <si>
    <t>Los edafólogos en campo envían las muestras a la Oficina del Laboratorio Nacional de Suelos (LNS); el profesional enlace del tema de levantamiento de suelos,  realiza el control y seguimiento al comparar el formato de solicitud de muestras cliente interno con las muestras que se recibieron en el laboratorio. En caso de encontrar inconsistencias se lleva a cabo la trazabilidad para determinar la razón de la pérdida de las muestras. Este control se aplica siempre y cuando haya comisión para la realización del trabajo en campo.
Periodicidad: Variable
Evidencias: Formato Control de envío y recepción de muestras y soportes de la trazabilidad (si aplica).</t>
  </si>
  <si>
    <t>Evidencia: Compromisos firmados de confidencialidad, imparcialidad e independencia, por parte del personal del LNS.</t>
  </si>
  <si>
    <t>1. Situaciones de orden Público en  los municipios a Intervenir
2. Condiciones medioambientales que afectan la prestación del servicio.
3. Falta de completitud de la documentación técnica para atender la orden judicial.
4. Accidentes en los desplazamientos para realizar la actividad valuatoria.</t>
  </si>
  <si>
    <r>
      <t xml:space="preserve">El subdirector de Avalúos  o quien haga sus veces, realiza seguimiento quincenal a la ejecución de los avalúos comerciales, con el fin de verificar el cumplimiento de los tiempos de respuesta e identificar situaciones que afecten la oportunidad en la entrega de los mismos.
Periodicidad: Quincenal
</t>
    </r>
    <r>
      <rPr>
        <b/>
        <sz val="11"/>
        <color theme="1"/>
        <rFont val="Arial"/>
        <family val="2"/>
      </rPr>
      <t xml:space="preserve">
Evidencia: 
Sede Central: </t>
    </r>
    <r>
      <rPr>
        <sz val="11"/>
        <color theme="1"/>
        <rFont val="Arial"/>
        <family val="2"/>
      </rPr>
      <t xml:space="preserve">
Reporte de seguimiento de los avalúos comerciales (Fuente de información matriz de seguimiento de avalúos comerciales)
</t>
    </r>
    <r>
      <rPr>
        <b/>
        <sz val="11"/>
        <color theme="1"/>
        <rFont val="Arial"/>
        <family val="2"/>
      </rPr>
      <t/>
    </r>
  </si>
  <si>
    <t xml:space="preserve">Posibilidad de recibir o solicitar dádiva o beneficio por la habilitación de un gestor catastral no idóneo para la prestación del servicio publico catastral con el fin de obtener un beneficio propio o de un tercero </t>
  </si>
  <si>
    <t>1. Intereses particulares
2. Conflictos de interés presentados durante el proceso de evaluación.
3. Presión de niveles jerárquicos superiores para influenciar el resultado de la evaluación.</t>
  </si>
  <si>
    <t>Afectación de la imagen institucional
Sanciones
Deshabilitación</t>
  </si>
  <si>
    <t xml:space="preserve">Soporte: Registros de asistencia, Oficios para el solicitante con los requerimientos  y/o Concepto Técnico
</t>
  </si>
  <si>
    <t>1. Falta de socialización y publicación de los proyectos normativos.
2. Falta de generación de espacios internos y externos de participación previo a la expedición del acto administrativo teniendo en cuenta los requerimientos de ley.
3. Falta de control  en los cambios del proyecto normativo a lo largo del procedimiento de regulación (Versionamiento).</t>
  </si>
  <si>
    <t>El Director de Regulación y Habilitación verifica el contenido del proyecto de Acto administrativo del subproceso de regulación, posteriormente envía para revisión de la Oficina Asesora Jurídica previa aprobación de esta y firma por parte de la Dirección General. 
Periodicidad: Variable
Evidencia: Correo de envío del proyecto de Acto Administrativo al proceso a la Oficina Asesora Jurídica y Acto administrativo firmado por la Dirección General</t>
  </si>
  <si>
    <t>Afectación de la Imagen Institucional
Reprocesos
Perdida de Información</t>
  </si>
  <si>
    <t>1. Falta de condiciones de seguridad física a los depósitos de archivo de la entidad.
2. Falta de control de préstamos documentales al interior de la entidad.
3. Intereses particulares
4. Desactualización del inventario documental.</t>
  </si>
  <si>
    <t>Los responsables designados por el proceso Gestión Documental  realizan el control de la documentación entregada a modo de préstamo a los funcionarios de la entidad, verificando la aplicación del formato o formatos establecidos en el procedimiento de préstamo de archivo central.
Periodicidad: Mensual. 
Evidencias: Registro vigente firmado por el solicitante de los documentos en Archivo Central</t>
  </si>
  <si>
    <t xml:space="preserve">Los responsables designados por el proceso Gestión Documental  realizan seguimiento semestral a la actualización y verificación del inventario documental del Archivo Central, con el fin de controlar y verificar la documentación que reposa en el Archivo Central. En caso de evidenciar que no se ha llevado a cabo la actualización del inventario documental, el proceso de Gestión Documental tomará las acciones pertinentes para efectuar dicha actualización.
Periodicidad: Semestral
Evidencias: Registro Inventario documental actualizado. Para el caso de incumplimiento, plan de trabajo correspondiente. </t>
  </si>
  <si>
    <t>Posibilidad de pérdida Reputacional por quejas de los usuarios debido a demoras en los procesos de producción y entrega de la cartografía básica</t>
  </si>
  <si>
    <t xml:space="preserve">Posibilidad de recibir o solicitar dádiva o beneficio por oficializar información de terceros que no cumplan con la normatividad o las especificaciones técnicas definidas en el IGAC para beneficio propio o de un tercero. </t>
  </si>
  <si>
    <t>El funcionario y/o contratista designado de la Subdirección Cartográfica y Geodésica, realiza mensualmente el monitoreo a las estaciones de funcionamiento continuo CORS con el propósito de identificar aquellas que tengan fallas e impidan contar con los datos. En caso de que se presenten fallas se informara al responsable de la red geodésica activa de la entidad.
Periodicidad: Mensual
Evidencia: Reporte mensual de monitoreo de estaciones geodésicas con la identificación de aquellas que están inactivas y requieren mantenimiento y/o correo electrónico dirigido al responsable de la red geodésica activa de la entidad.</t>
  </si>
  <si>
    <t>El  funcionario y/o contratista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Periodicidad: Mensual
Evidencia: Reporte mensual de monitoreo del servicio de internet de las estaciones geodésicas y/o correo electrónico al subdirector de Geodesia en caso de presentarse el evento.</t>
  </si>
  <si>
    <t>El  funcionario designado de la Subdirección Cartográfica y Geodésica que realiza la visita en campo y evidencia un evento de vandalismo y/o perdida de elementos de una estación de operación continua CORS, realiza la denuncia correspondiente ante las  autoridades competentes y documenta lo sucedido.
Periodicidad: Variable
Evidencia: Reporte de visita a la estación y/o denuncia en el caso que aplique</t>
  </si>
  <si>
    <t>1. Debilidad en la aplicación de los controles
2. Falla en los equipos de recepción de datos.
3. Desconfiguración de los módulos del software de procesamiento y ajustes generando valores atípicos.</t>
  </si>
  <si>
    <t xml:space="preserve">Posibilidad de pérdida Reputacional por quejas de los grupos de valor debido al incumplimiento de estándares de calidad nacionales e internacionales en la generación de información geodésica </t>
  </si>
  <si>
    <t xml:space="preserve">El  funcionario y/o contratista designado de la Subdirección Cartográfica y Geodésica, verifica que los equipos a utilizar en el proceso de nivelación, posicionamiento GNSS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Periodicidad: Variable
Evidencia: Reporte de verificación de equipos y/o el Reporte de Novedades en caso que aplique </t>
  </si>
  <si>
    <t>El  funcionario y/o contratista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Periodicidad: Mensual
Evidencia: Reporte de publicación de los archivos RINEX</t>
  </si>
  <si>
    <t>El  funcionario y/o contratista designado de la Subdirección Cartográfica y Geodésica, revisa la configuración del software BERNESE previo a la verificación de datos con el propósito de procesarlos de acuerdo con los estándares internacionales
Periodicidad: Variable
Evidencia: Reporte de los resultados obtenidos con el software BERNESE</t>
  </si>
  <si>
    <t>El  funcionario y/o contratista designado de la Subdirección Cartográfica y Geodésica realiza la verificación del software y aplicativos para el procesamiento de datos geodésicos y en caso de evidenciar fallos generara la respectiva incidencia al proceso de Gestión de Sistemas de información e infraestructura.
Periodicidad: Variable
Evidencia: Informe de calculo y/o incidencia GLPI (si aplica)</t>
  </si>
  <si>
    <t>El  funcionario y/o contratista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Periodicidad: Variable
Evidencia: Oficio y/o mensaje de correo electrónico remitido a las autoridades civiles y/o militares del lugar.</t>
  </si>
  <si>
    <t xml:space="preserve">Posibilidad de pérdida Reputacional por quejas los grupos de valor debido a  la integración de información a la Red Geodésica Nacional que se encuentren fuera de las especificaciones técnicas </t>
  </si>
  <si>
    <t>1. Falta control de calidad a cada una de las características definidas a vértices geodésicos de acuerdo con la resolución vigente</t>
  </si>
  <si>
    <t xml:space="preserve">
Posibilidad de perdida Reputacional de la Oficina de Control Interno por incumplimiento en la ejecución del Plan Anual de Auditorias Internas de Gestión 
</t>
  </si>
  <si>
    <t xml:space="preserve">
1. Decisiones administrativas que conllevan a un cambio en el Plan Anual de Auditorias Internas de Gestión.
2. Falta de funcionarios de planta y una alta rotación de personal contratista en la OCI.
3. Falta de tiempo y disponibilidad del auditado.</t>
  </si>
  <si>
    <t>Afectación de la Imagen del proceso
Reprocesos</t>
  </si>
  <si>
    <t>El Jefe de la Oficina de Control Interno (OCI) realiza mensualmente seguimiento al Plan anual de auditorias internas de Gestión junto con el equipo de la OCI, con el fin de verificar el cumplimiento del plan. En caso de detectar un posible incumplimiento del Plan, se realiza un ajuste al cronograma de las actividades. 
Periodicidad: Mensual
Evidencia: Registro de Asistencia y cronograma de seguimiento de actividades.</t>
  </si>
  <si>
    <t>Posibilidad de pérdida Reputacional por insatisfacción de los usuarios internos debido a una deficiente ejecución en la calidad del ejercicio auditor</t>
  </si>
  <si>
    <t>Afectación de la imagen del proceso de evaluación y seguimiento</t>
  </si>
  <si>
    <t xml:space="preserve">El Jefe de la Oficina de Control Interno (OCI) realiza la consolidación semestral de las evaluaciones a los auditores con el fin de verificar desempeño del auditor . En caso de presentar resultados deficientes, se procede a realizar planes de mejoramiento individuales para corregir o subsanar los resultados. 
Periodicidad: Semestral
Evidencia: Resultados de la evaluación a los auditores y/o plan de mejoramiento individual (si aplica). </t>
  </si>
  <si>
    <t xml:space="preserve">Posibilidad de recibir o solicitar dádiva o beneficio por omisión y/o encubrimiento deliberado durante la revisión y verificación de situaciones irregulares conocidas y/o encontradas en el proceso auditor, para favorecimiento propio o de terceros </t>
  </si>
  <si>
    <t>Afectación de la imagen institucional y del proceso
Sanciones</t>
  </si>
  <si>
    <t>ESTADO</t>
  </si>
  <si>
    <t>APROBADO</t>
  </si>
  <si>
    <t>INACTIVO</t>
  </si>
  <si>
    <t>Los  funcionarios y/o contratistas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Periodicidad: Variable
Evidencia: Versiones de documentos y/o certificaciones con observaciones o evidencia de asistencia a las reuniones.</t>
  </si>
  <si>
    <t xml:space="preserve">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t>
  </si>
  <si>
    <t>Afectación de la imagen institucional
Sanciones
Reprocesos</t>
  </si>
  <si>
    <t>El funcionario y/o contratista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Periodicidad: Variable
Evidencia: Memorando y/o mensaje de correo electrónico informando la situación (si aplica).</t>
  </si>
  <si>
    <t>El Director de Regulación y Habilitación socializa con las Direcciones y Subdirecciones Misionales, y Direcciones Territoriales y gestores catastrales, los proyectos de acto normativo, con el fin de verificar el proyecto normativo y realizar ajustes al mismo.
Periodicidad: Variable
Evidencia: Listas de asistencia.</t>
  </si>
  <si>
    <t>Identificación de la ilegalidad del acto por parte de los grupos de valor</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</si>
  <si>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proyecto normativo con las observaciones correspondientes si aplica.</t>
  </si>
  <si>
    <t>1. Situaciones de orden Público en  los municipios a Intervenir
2. Condiciones medioambientales que afectan la prestación del servicio.
 Incumplimiento de los pagos de la entidad contratante o el financiador
3. Falta de personal capacitado en los municipios donde se realizan los procesos de formación y/o actualización catastral y demoras en la contratación.</t>
  </si>
  <si>
    <t xml:space="preserve">
1. Desconocimiento por parte de la ciudadanía y de las entidades municipales donde se realizan los procesos de formación y/o actualización catastral.</t>
  </si>
  <si>
    <t>1. Alta rotación de personal.
2. Falta de capacitación en los temas referentes al MIPG para el personal antiguo y nuevo de la Entidad.
3. No aplicación de medidas de control y seguimiento a los requisitos del Modelo Integrado de  Planeación y Gestión.
4.  Falta de Direccionamiento para la aplicación de los objetivos del MIPG y reconocimiento de su utilidad en la entidad.</t>
  </si>
  <si>
    <t>Afectación de la Imagen Institucional
Reprocesos
Sanciones
Quejas</t>
  </si>
  <si>
    <t xml:space="preserve">
Posibilidad de perdida reputacional por inadecuada implementación y mantenimiento del Modelo Integrado de Planeación y Gestión – MIPG articulado con los sistemas de gestión integrados, debido a la baja comprensión, apropiación y aplicación de lineamientos e instrumentos establecidos por el DAFP y las entidades lideres.</t>
  </si>
  <si>
    <t xml:space="preserve">Posibilidad de pérdida Reputacional y afectación económica por quejas o sanciones de los grupos de valor debido al incumplimiento de los estándares de producción (Oportunidad) en la prestación del servicio público Catastral por excepción </t>
  </si>
  <si>
    <t>Los Enlaces Territoriales de la Sede central realizan el seguimiento a la ejecución de los trámites catastrales con el fin de verificar el cumplimiento de los mismos en el cual se identifica retrasos, causas y se definen las acciones a realizar para el cumplimiento.
Periodicidad: Trimestral
Evidencia:  Matriz consolidada y/o informe consolidado</t>
  </si>
  <si>
    <t>Afectación de la imagen institucional
Sanciones
Afectación a terceros</t>
  </si>
  <si>
    <t xml:space="preserve">
Evidencia:  Matriz consolidada y/o informe consolidado</t>
  </si>
  <si>
    <t xml:space="preserve">Posibilidad de recibir o solicitar dádiva o beneficio en la prestación de servicios o trámites catastrales, con el fin de obtener un beneficio propio o de un tercero. </t>
  </si>
  <si>
    <t>1. Falta de conocimiento de los procedimientos establecidos.
2. Recursos inadecuados o insuficientes (personal  y presupuestal).
3. Deficiencia en la infraestructura tecnológica a nivel nacional.
4. Falta de seguimiento al desempeño de la ejecución de los trámites catastrales</t>
  </si>
  <si>
    <t xml:space="preserve">
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observatorio de la tierra y el territorio y registro de los nombres geográficos del país. </t>
  </si>
  <si>
    <t>Los funcionarios y/o contratistas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Periodicidad: Variable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</si>
  <si>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 xml:space="preserve">1. Deficiencias en la planeación de los productos y en el seguimiento al plan de acción anual.
2. Falta de asignación de recursos económicos para la generación de los proyectos y la  publicación  de metodologías, estudios e investigaciones geográficas y delimitación de las entidades territoriales.
3. Falta de los recursos tecnológicos ( Hardware y Software) y algunos existentes se encuentran obsoletos o dañados para el desarrollo de las actividades propias de los estudios e investigaciones geográficas y delimitación de las entidades territoriales y fronteras.
4. Demoras en los procesos administrativos que apoyan el desarrollo de las actividades técnicas.
</t>
  </si>
  <si>
    <t>1. Demoras para la aprobación o autorización de productos por parte de entes externos
2. Insuficiente personal especializado para la generación de metodologías, estudios e investigaciones geográficas, deslindes y delimitación de las entidades territoriales.</t>
  </si>
  <si>
    <t xml:space="preserve">
Posibilidad de pérdida reputacional por quejas de los grupos de valor debido al incumplimiento en los tiempos programados para la generación, actualización y publicación de metodologías, estudios e investigaciones geográficas, deslindes y delimitación de las entidades territoriales y fronteras, asesorías en temas de ordenamiento territorial, observatorio de la tierra y el territorio y registro de los nombres geográficos del país.</t>
  </si>
  <si>
    <t>Los funcionarios y/o contratistas designados por la Subdirección de Geografía, realizan el seguimiento mensual con el fin de verificar el cumplimiento de los productos del plan de acción y del proyecto de inversión, reportando los avances en las herramientas dispuestas para este fin. En caso de observar actividades que no se han cumplido, se justifican los motivos de atraso y se informa a la Dirección de Gestión de Información Geográfica.
Periodicidad: Mensual
Evidencia: Herramientas para el seguimiento del plan de acción y proyectos de inversión, y/o correo electrónico enviado con el seguimiento.</t>
  </si>
  <si>
    <t xml:space="preserve">
Posibilidad de Afectación económica y perdida Reputacional por quejas de los grupos de valor  y sobrecostos debido a la inoportunidad en la transferencia de datos de las estaciones de funcionamiento continuo CORS a nivel nacional </t>
  </si>
  <si>
    <t>1. Fallas y/o desconocimiento en la funcionalidad de los equipos.
2. Fallas o desconexión del servicio de internet ya sea satelital o de datos.</t>
  </si>
  <si>
    <t>1. Vandalismo o pérdida de los equipos
2. Presencia de factores externos asociados a la seguridad, clima, topografía y orden público.</t>
  </si>
  <si>
    <t>El  funcionario y/o contratista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Periodicidad: Variable
Evidencia: Registros de control de calidad</t>
  </si>
  <si>
    <t xml:space="preserve">
Posibilidad de afectación Económica y pérdida Reputacional por queja, reclamo, tutela o demanda de los grupos de valor o sanciones del ente regulador  por incumplimiento de las especificaciones y estándares de producción cartográfica</t>
  </si>
  <si>
    <t>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Insuficiente mantenimiento y/o calibración de equipos de oficina y de campo que permitan la captura y procesamiento de insumos con la calidad requerida.</t>
  </si>
  <si>
    <t xml:space="preserve">El  funcionario y/o contratista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Periodicidad: Variable
Evidencia: Registro Verificación de equipos e Instrumentos Auxiliares </t>
  </si>
  <si>
    <t xml:space="preserve">El  funcionario y/o contratista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Periodicidad: Variable
Evidencias: Listas de chequeo o de aseguramiento de la calidad de los productos cartográficos </t>
  </si>
  <si>
    <t>El  funcionario y/o contratista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Periodicidad: Variable
Evidencia: Informe de aprobación o rechazo del producto cartográfico</t>
  </si>
  <si>
    <t>1. Eventos externos (climáticos, geográficos y de seguridad) que impactan los tiempos de producción o actualización de la información cartográfica.
2. Personal técnico especializado Insuficiente para la producción cartográfica</t>
  </si>
  <si>
    <t>El  funcionario y/o contratista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Periodicidad: Variable
Evidencia: Comunicaciones remitidas a las autoridades civiles y militares del lugar.</t>
  </si>
  <si>
    <t xml:space="preserve">El  funcionario y/o contratista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Periodicidad: Variable
Evidencia: Actas de reunión y/o mensajes de correos electrónicos y/o grabaciones de reunión u otro material soporte de los seguimientos realizados. </t>
  </si>
  <si>
    <t>Afectación de la Imagen Institucional
Quejas
Reclamos
Tutelas
Sanciones
Reprocesos
Detrimento Patrimonial</t>
  </si>
  <si>
    <t>Afectación Económica
Reprocesos</t>
  </si>
  <si>
    <t xml:space="preserve">Posibilidad de pérdida Reputacional y económica por quejas de las partes interesadas y/o sanciones de entes reguladores debido a la inoportunidad en los tiempos establecidos (30 días hábiles) para la entrega de los avalúos comerciales </t>
  </si>
  <si>
    <t>Posibilidad de efecto dañoso sobre bienes públicos por pérdida, extravío, hurto de bienes muebles en bodega de almacén pertenecientes a la entidad, a causa de la omisión en la aplicación de controles de seguridad en la custodia de los activos o  elementos, en la aplicación de control en la custodia de los bienes en las instalaciones del Almacén, falencias en el registro de ingresos y egresos en el aplicativo de inventarios y desconocimiento de los lineamientos de manejo de inventarios.</t>
  </si>
  <si>
    <r>
      <t xml:space="preserve">El funcionario o contratista en Sede Central con funciones de reparto y control de procesos prejudiciales, judiciales y administrativos trimestralmente verifica y  realiza un seguimiento a los términos de los memoriales de los distintos procesos en los que interviene el IGAC, en los registros realizados por los apoderados en los formatos establecidos en los procedimientos. Si al momento de realizar el seguimiento, identifica memoriales próximos a vencerse, prioriza estos procesos. 
</t>
    </r>
    <r>
      <rPr>
        <b/>
        <sz val="11"/>
        <color theme="1"/>
        <rFont val="Arial"/>
        <family val="2"/>
      </rPr>
      <t>Periodicidad:</t>
    </r>
    <r>
      <rPr>
        <sz val="11"/>
        <color theme="1"/>
        <rFont val="Arial"/>
        <family val="2"/>
      </rPr>
      <t xml:space="preserve"> Trimestralmente
</t>
    </r>
    <r>
      <rPr>
        <b/>
        <sz val="11"/>
        <color theme="1"/>
        <rFont val="Arial"/>
        <family val="2"/>
      </rPr>
      <t xml:space="preserve">Evidencia: </t>
    </r>
    <r>
      <rPr>
        <sz val="11"/>
        <color theme="1"/>
        <rFont val="Arial"/>
        <family val="2"/>
      </rPr>
      <t>Correos con alertas de vencimiento, para los abogados que lleven los diferentes procesos.</t>
    </r>
  </si>
  <si>
    <t xml:space="preserve">
1. Falta de apropiación de principios y valores institucionales.
2. Incumplimiento de los puntos de control establecidos dentro de los procedimientos</t>
  </si>
  <si>
    <t xml:space="preserve">
Posibilidad de recibir o solicitar dádiva o beneficio por generar lineamientos geográficos, certificados o  deslindes que no cumplan con la normatividad vigente,  estándares  o especificaciones técnicas para beneficio propio o de un tercero</t>
  </si>
  <si>
    <t xml:space="preserve">
Posibilidad de recibir o solicitar dádiva o beneficio por manipulación y/o sustracción indebida de información  geográfica durante el proceso  previo a su publicación o presentación de resultados, para beneficio propio o de un tercero</t>
  </si>
  <si>
    <t xml:space="preserve">Los funcionarios y/o contratistas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Periodicidad: Variable
Evidencias: Reporte de GLPI con la asignación de permisos al repositorio oficial y/o mensajes de correo electrónico remitidos (si aplica) </t>
  </si>
  <si>
    <t>El  funcionario y/o contratista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Periodicidad: Variable
Evidencia: Reporte de control de calidad de la generación de productos cartográficos.</t>
  </si>
  <si>
    <t>El  funcionario y/o contratista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Periodicidad: Variable
Evidencia: Lista de verificación de productos e insumos.</t>
  </si>
  <si>
    <t>El  funcionario y/o contratista designado de la Subdirección Cartográfica y Geodésica, realiza el control de calidad a los puntos de control terrestre y los de chequeo, con el fin de contar con insumos óptimos en la generación y validación de productos cartográficos.
Periodicidad: Variable
Evidencia: Reportes de control de calidad de la información obtenida en campo.</t>
  </si>
  <si>
    <t>1. Falta control de calidad de los productos finales
2. Ausencia de información o insumos insuficientes para la validación
3. Falta de apropiación de valores éticos 
4.Tráfico de influencias y/o amiguismos</t>
  </si>
  <si>
    <t>GESTIÓN DE IDE CORPORATIVA</t>
  </si>
  <si>
    <t xml:space="preserve">
Posibilidad de pérdida reputacional por sanciones de los entes de control debido a la inoportuna atención a las peticiones, quejas, reclamos, denuncias y sugerencias, solicitados por los ciudadanos, usuarios, grupos de valor y/o grupos de interés en los diferentes canales de atención </t>
  </si>
  <si>
    <t>1. Insuficiencia y reducción en el presupuesto asignado.
2.Planeación inadecuada de las actividades de los estudios agrológicos y del procesamiento analítico de las muestras.
3. Inadecuada ejecución de las actividades documentadas en los procedimientos e instructivos del SGI.</t>
  </si>
  <si>
    <t>1. Entrega de productos supeditados al suministro de insumos por parte de terceros lo que dificulta la entrega de los mismos.
2. Problemas de orden público a nivel nacional que pueden afectar las actividades de campo.</t>
  </si>
  <si>
    <t xml:space="preserve">
Posibilidad de pérdida Reputacional por el incumplimiento en los estándares de producción para la elaboración de los productos programados en el proceso de Gestión Agrológica </t>
  </si>
  <si>
    <t>1. Incumplimiento por parte de la empresa de mensajería en el transporte de las muestras.</t>
  </si>
  <si>
    <t>Los responsables de los diferentes temas y proyectos de la Subdirección de Agrología, mensualmente realizan el seguimiento a las actividades programadas al igual que la jefatura del Laboratorio Nacional de Suelos junto con los responsables de tema, revisan permanentemente el estado de las solicitudes de análisis en el aplicativo SIGA, con el fin de verificar el cumplimiento en la generación de los productos del subproceso de Gestión Agrológica. En caso de que se detecten desviaciones se analizan las causas y se determinan las acciones que se deben adelantar.
Periodicidad: Mensual
Evidencia: Registro de asistencia y Acta de seguimiento de los diferentes temas y proyectos del subproceso de Gestión Agrologica y las acciones implementadas si aplican.</t>
  </si>
  <si>
    <t xml:space="preserve">
Posibilidad de recibir o solicitar dádivas por la manipulación de la información y alteración de los resultados de los productos agrológicos para beneficio propio o de un tercero </t>
  </si>
  <si>
    <t>Evidencia: Informe de aplicación de las listas de chequeo y registros de asistencia (Si aplica)</t>
  </si>
  <si>
    <t>El responsable del Sistema de Gestión Integrado (SGI) o el servidor público de apoyo cada vez que ingrese un funcionario o contratista a desarrollar actividades en el Laboratorio Nacional de Suelos (LNS) debe verificar que se firme el compromiso de confidencialidad, imparcialidad, e independencia, con el fin de garantizar que todas las personas se comprometan a implementar y mantener los lineamientos de imparcialidad establecidos en el LNS. El responsable del  SGI realiza seguimiento periódico a los compromisos de confidencialidad, imparcialidad e independencia para garantizar su cumplimiento. 
Periodicidad: Variable
Evidencia: Compromisos firmados de confidencialidad, imparcialidad e independencia, por parte del personal del LNS.</t>
  </si>
  <si>
    <t xml:space="preserve">Los funcionarios designados a las diferentes temáticas, aplican los controles de calidad establecidos en el subproceso de Gestión Agrologica, con el propósito de verificar que se cumplen los parámetros establecidos en cada etapa de la generación de los productos agrologicos. En caso de encontrar desviaciones se regresa a la etapa anterior para su respectivo ajuste o se realiza la trazabilidad de todo el proceso según aplique.
Periodicidad: Mensual
Evidencia: Registros de control de calidad de las diferentes temáticas.
</t>
  </si>
  <si>
    <t xml:space="preserve">El responsable del Sistema de Gestión Integrado (SGI) o el profesional de apoyo del subproceso de Gestión Agrologica, realiza el seguimiento al cumplimiento de la documentación del SGI y sus controles, como mínimo una vez al mes, lo cual se debe hacer a través de la aplicación de listas de chequeo que permitan evaluar el cumplimiento del paso a paso para generar los productos agrologicos. En caso que se encuentre una desviación o desconocimiento del procedimiento, para generar los productos por alguno de los servidores públicos, se procederá a hacer una reinducción del proceso y de ser necesario se implementan las acciones correctivas y de mejora de acuerdo a la situación presentada. 
Periodicidad: mensual.
Evidencia: Informe de aplicación de las listas de chequeo y registros de asistencia (Si aplica)
</t>
  </si>
  <si>
    <t>Afectación de la Imagen Institucional
Sanciones
Quejas
Reducción del Presupuesto
Investigaciones disciplinarias</t>
  </si>
  <si>
    <t>Posibilidad de afectación reputacional por quejas de los grupos de valor, investigaciones disciplinarias o sanciones de entes de control debido a deficiencias en la definición de lineamientos, políticas, objetivos, estrategias y directrices que no contribuyan al cumplimiento de las metas institucionales, sectoriales y/o de la normatividad vigente.</t>
  </si>
  <si>
    <t>Los servidores públicos o contratistas designados de la OAP, cada vez que reciben los instrumentos de planeación estratégica diligenciados, deben revisar las herramientas. En caso de identificar observaciones deben retroalimentar a las áreas/dependencias las veces que sea necesario, para posibilitar la identificación de productos estratégicos, teniendo en cuenta los insumos entregados.
Periodicidad: Variable.
Evidencia: Correos electrónicos con la trazabilidad de las revisiones efectuadas.</t>
  </si>
  <si>
    <t xml:space="preserve">El jefe de la Oficina Asesora de Planeación y los servidores públicos y/o contratistas de la Oficina Asesora de Planeación cada vez que se inicia el proceso de planeación institucional, deben identificar, actualizar y enviar los lineamientos, insumo e instrumentos para el proceso de planeación estratégica y para la formulación del plan de acción a las áreas/dependencias de la entidad. En caso que las áreas/dependencias tengan inquietudes frente a los insumos o instrumentos, los servidores públicos o contratistas de la OAP las atienden hasta que queden subsanadas. 
Periodicidad: Anual
Evidencia: correos electrónicos con los insumos, lineamientos e instrumentos </t>
  </si>
  <si>
    <t xml:space="preserve">Posibilidad de pérdida Económica y Reputacional por inoportunidad  en la respuesta a los requerimientos en procesos judiciales o por condenas en litigios que deberían haber sido favorables a la entidad </t>
  </si>
  <si>
    <t>Posibilidad de pérdida Reputacional por sanciones de entes de control debido a la implementación inadecuada de la Política de prevención del daño antijurídico - PPDA</t>
  </si>
  <si>
    <r>
      <t xml:space="preserve">El Secretario (a) Técnico (a) del Comité de Conciliación en la Sede Central,  informará a las áreas involucradas de los procesos prejudiciales o judiciales que tenga como hecho generador las causas priorizadas dentro de la PPDA, y  a los miembros del Comité de Conciliación de la entidad sobre nuevas demandas o solicitudes de conciliaciones por esas causas.
</t>
    </r>
    <r>
      <rPr>
        <b/>
        <sz val="11"/>
        <color theme="1"/>
        <rFont val="Arial"/>
        <family val="2"/>
      </rPr>
      <t>Periodicidad:</t>
    </r>
    <r>
      <rPr>
        <sz val="11"/>
        <color theme="1"/>
        <rFont val="Arial"/>
        <family val="2"/>
      </rPr>
      <t xml:space="preserve"> Semestral</t>
    </r>
    <r>
      <rPr>
        <b/>
        <sz val="11"/>
        <color theme="1"/>
        <rFont val="Arial"/>
        <family val="2"/>
      </rPr>
      <t xml:space="preserve">
Evidencia: </t>
    </r>
    <r>
      <rPr>
        <sz val="11"/>
        <color theme="1"/>
        <rFont val="Arial"/>
        <family val="2"/>
      </rPr>
      <t xml:space="preserve">Correo electrónico o memorando enviado a las áreas y acta Comité de Conciliación. </t>
    </r>
  </si>
  <si>
    <r>
      <t xml:space="preserve">El Secretario (a) Técnico (a) del Comité de Conciliación en la Sede Central deberá en los meses de febrero y Agosto verificará el cumplimiento de las actividades fijadas dentro de la PPDA, de conformidad con el cronograma de las mismas.
</t>
    </r>
    <r>
      <rPr>
        <b/>
        <sz val="11"/>
        <color theme="1"/>
        <rFont val="Arial"/>
        <family val="2"/>
      </rPr>
      <t xml:space="preserve">Periodicidad: </t>
    </r>
    <r>
      <rPr>
        <sz val="11"/>
        <color theme="1"/>
        <rFont val="Arial"/>
        <family val="2"/>
      </rPr>
      <t xml:space="preserve">Semestral
</t>
    </r>
    <r>
      <rPr>
        <b/>
        <sz val="11"/>
        <color theme="1"/>
        <rFont val="Arial"/>
        <family val="2"/>
      </rPr>
      <t xml:space="preserve">Evidencia:  </t>
    </r>
    <r>
      <rPr>
        <sz val="11"/>
        <color theme="1"/>
        <rFont val="Arial"/>
        <family val="2"/>
      </rPr>
      <t xml:space="preserve">Reporte de seguimiento del Modulo de PPDA en el Ekogui </t>
    </r>
  </si>
  <si>
    <t>Posibilidad de recibir o solicitar dádiva para dar respuesta indebida o fuera de los términos legales, a los procesos judiciales en beneficio propio o de un tercero</t>
  </si>
  <si>
    <t>1. Exceso de procesos disciplinarias
2. Falta de personal
3. Falta de respuesta o inoportunidad, por parte de las dependencias  requeridas en curso del proceso disciplinario.</t>
  </si>
  <si>
    <t>Afectación de la Imagen Institucional
Sanciones
Quejas</t>
  </si>
  <si>
    <t xml:space="preserve">1. Deficiente o inadecuado control y seguimiento de las actuaciones llevadas a cabo en curso de los procesos disciplinarios, en las diferentes etapas.
2. Incumplimiento de las funciones y obligaciones por parte de los servidores públicos y contratistas asignados a los procesos disciplinarios. </t>
  </si>
  <si>
    <t xml:space="preserve">
Posibilidad de pérdida reputacional por quejas de las partes interesadas debido al incumplimiento de términos y requisitos en las diferentes etapas del proceso disciplinario.</t>
  </si>
  <si>
    <t xml:space="preserve">Posibilidad de pérdida reputacional por deficiencias en la definición de lineamientos y estrategias de mercadeo que contribuyan al posicionamiento institucional
</t>
  </si>
  <si>
    <t xml:space="preserve">Afectación de la Imagen Institucional
</t>
  </si>
  <si>
    <t>Posibilidad de pérdida reputacional por insatisfacción del grupo de valor debido a una orientación inadecuada en la prestación del servicio</t>
  </si>
  <si>
    <t>El Responsable designado de la Oficina de Relación con el Ciudadano - ORC de la Sede Central,  mide el impacto de las sensibilizaciones  realizadas en temas asociados a la gestión de PQRSDF, con el fin de validar la apropiación del conocimiento.
Periodicidad: Variable
Evidencia: Reporte de resultados de evaluaciones</t>
  </si>
  <si>
    <t xml:space="preserve">El Responsable designado de la Oficina de Relación con el Ciudadano - ORC de la Sede Central, brinda apoyo técnico a las dependencias priorizadas con base en las alertas identificadas frente a retrasos de las PQRSDF, con el fin de identificar y mitigar las causas de la posible inoportunidad en la respuesta.
Periodicidad: Variable
Evidencia: Actas de reuniones de seguimiento
</t>
  </si>
  <si>
    <t xml:space="preserve">El Responsable de la Oficina de Relación con el Ciudadano - ORC realiza verificación trimestral de las encuestas contestadas por los usuarios posterior a la prestación del servicio en los diferentes canales de atención,  con el propósito de identificar orientaciones inadecuadas e implementar acciones de mejora para la prestación del servicio o trámite si se requiere.
Periodicidad: Cuatrimestral
Evidencia: Reporte de las encuestas contestadas por los usuarios y/o informe consolidado de las encuestas.
</t>
  </si>
  <si>
    <t>mpa</t>
  </si>
  <si>
    <t xml:space="preserve">1. Falta de apropiación de los valores institucionales.
2. Actos intencionales de personal al interior de la entidad para saltar los controles de los procedimientos.
3. Tráfico de influencias y/o amiguismo
</t>
  </si>
  <si>
    <t>1. Falta de recursos financieros para cumplir con los requisitos en la prestación de servicios administrativos 
2. Debilidad en el seguimiento del seguimiento al plan de compras.
3. Falta de personal en sede Central y Direcciones Territoriales para el cubrimiento de las actividades en la prestación de servicios administrativos</t>
  </si>
  <si>
    <t>Afectación del proceso</t>
  </si>
  <si>
    <t xml:space="preserve">Posibilidad de recibir o solicitar dádiva o beneficio  por el uso del servicio de transporte del IGAC en beneficio propio o de terceros.
</t>
  </si>
  <si>
    <t xml:space="preserve">
Posibilidad de afectación económica y pérdida reputacional por queja o reclamo de un servidor de la entidad, demandas de exservidores o sanciones de entes de control, debido a errores, inconsistencias o no generación de la liquidación de la nómina </t>
  </si>
  <si>
    <t>El profesional de la STH encargado de la generación de la nómina y los pagadores en las D.T, revisan que los cálculos liquidados por el sistema de información PERNO sean correctos, al compararlos con los resultados de los cálculos manuales realizados en el archivo Excel para cada situación administrativa reportada. En caso de encontrar inconsistencias, se solicita a través de GLPI para que realice la corrección respectiva. 
Periodicidad:  Mensual
Evidencias Sede Central y Direcciones Territoriales: Archivo de Excel con los cálculos manuales, GLPI generados y/o correos electrónicos enviados al ingeniero de sistemas de soporte</t>
  </si>
  <si>
    <t>El profesional designado por la Subdirección de Talento Humano y el profesional con funciones de pagador en las Direcciones Territoriales debe constatar que la novedad administrativa que afecta a la nómina remitida esté debidamente diligenciada, contenga los soportes correspondientes y se encuentre firmada o radicada cuando así se requiera.
En caso de que el trámite solicitado no sea viable, se debe comunicar a quien remite la novedad para su aclaración, corrección y/o ajuste según corresponda.
Periodicidad: Mensual
Evidencias Sede Central y Direcciones Territoriales: Soportes de las novedades registradas, comunicaciones cuando se requiere aclaración, corrección y/o ajuste de las novedades</t>
  </si>
  <si>
    <t>Posibilidad de pérdida reputacional por queja o reclamo de los grupos de valor debido a la fuga de conocimiento de los servidores públicos que se retiran de la entidad o cambian de empleo</t>
  </si>
  <si>
    <t xml:space="preserve">Fuga del conocimiento que incide en la pérdida de memoria institucional
Afectación de la imagen institucional
Reprocesos
Demoras en las respuestas a solicitudes
Demora en la curva de aprendizaje de los servidores que ingresan al Instituto
</t>
  </si>
  <si>
    <t xml:space="preserve">El profesional de la Subdirección de Talento Humano que tiene a cargo la transferencia de conocimiento, junto con los jefes inmediatos de la Entidad, revisan anualmente el nivel de criticidad del empleo, identificando su incidencia en los productos, servicios y proyectos del área, con el propósito de identificar las actividades de transferencia a implementar. En caso de encontrar que cambió el nivel de criticidad del empleo, se actualiza la respectiva matriz y se ejecutan las actividades de transferencia correspondientes.
Periodicidad: Anual
Evidencias: Correos electrónicos y/o actas de reunión con la identificación del nivel de criticidad del empleo y de las estrategias a implementar en cada caso, matriz de empleos con nivel de criticidad </t>
  </si>
  <si>
    <t>1. Carencia de sistemas tecnológicos para la administración de la información general en el proceso de Gestión de Talento Humano.
2. Falta de alertas para controlar las fechas de las situaciones administrativas.
3. Desconocimiento de la normatividad vigente y lineamientos institucionales por parte de los usuarios</t>
  </si>
  <si>
    <t>Afectación de la Imagen de la entidad
Hallazgos
Quejas
Reclamos
Sanciones
Posible daño antijurídico</t>
  </si>
  <si>
    <t xml:space="preserve">El profesional responsable verifica los fundamentos de hecho y de derecho de cada acto administrativo a expedir, teniendo en cuenta la solicitud, soportes, información y bases de datos disponibles. El Subdirector de Talento Humano verifica que el acto administrativo se encuentre acorde con lo solicitado. 
Si se detectan inconsistencias estas se verificaran con el profesional encargado del proceso a través de la historia laboral del servidor, SIGAC, base de datos de planta, aplicativo PERNO y/o cualquier medio disponible, y se corrige el acto administrativo antes de su aprobación.
Periodicidad: Trimestral
Evidencia: Una muestra del 5% de los actos administrativos con sus respectivos soportes emitidos en el trimestre.  Una muestra del 5% de actos administrativos que tuvieron modificación o aclaración durante el trimestre.  </t>
  </si>
  <si>
    <t>1. Acceso a las llaves del archivo de gestión de la Subdirección de talento humano por parte de servidores o contratistas diferentes a los auxiliares administrativos encargados de custodiar esta documentación.
2. Falta de reglas claras divulgadas a los servidores y contratistas de la STH acerca de la entrega y custodia de la documentación en el archivo de gestión.
3. Errores en el archivo al incluir documentos que no pertenecen al servidor o exservidor publico.
4. Documentos en archivo digital sin incorporar a las historias laborales.
5. Sacar o insertar documentos cuando se presta la carpeta de la historia laboral a un servidor o contratista de la STH, lo cual no puede ser revisado por las auxiliares de archivo debido a que la documentación no se encuentra foliada.</t>
  </si>
  <si>
    <t xml:space="preserve">Posibilidad de afectación económica y  perdida reputacional por queja, reclamo o demandas de servidores de la entidad o exservidores debido a la pérdida de documentos que hacen parte de sus historias laborales que se encuentran en el archivo de gestión de la Subdirección de Talento Humano </t>
  </si>
  <si>
    <t>Los auxiliares administrativos de archivo verifican el cumplimiento de los lineamientos fijados para la entrega, custodia y préstamo de documentos que se encuentran en las historias laborales de los servidores y exservidores del IGAC, dentro de los cuales se encuentra el manejo de las llaves, el horario para solicitar préstamos, la prohibición de ingresar al archivo en ausencia de los servidores responsables de las mismas, diligenciamiento de formato para préstamo de documentos, documentos en archivo digital incorporados a las historias laborales, entre otras.
En caso de encontrar incumplimiento a los lineamientos fijados, informa al profesional encargado para que tome los correctivos necesarios.
Periodicidad: Trimestral
Evidencias. Registro para préstamo de documentos e informe de cumplimiento de los lineamientos</t>
  </si>
  <si>
    <t>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
8. Falta de documentación frente a  algunas actividades de relevancia para el desarrollo del proceso.</t>
  </si>
  <si>
    <t xml:space="preserve">El responsable designado por el director de Investigación y Prospectiva, realiza seguimiento al Plan de Mantenimiento y calibración de los espectroradiómetros con el fin de verificar el cumplimiento del mismo. Si se incumple con una fecha de calibración para un equipo, el equipo no se debe usar y se reprograma su calibración (Si aplica)
Periodicidad: Anual
Evidencia: Seguimiento al Plan de Mantenimiento y Calibración
</t>
  </si>
  <si>
    <t xml:space="preserve">Afectación de la Imagen del proceso e Institucional
Pérdida de credibilidad y confianza por no cumplir con responsabilidades y tareas encomendadas
Toma de decisiones erradas o inoportunas
Quejas y reclamos de los clientes (internos yo externos)
Sanciones disciplinarias
</t>
  </si>
  <si>
    <t>Los servidores públicos o contratistas designado de la Oficina Asesora de Planeación, cada vez que se solicita el seguimiento a las metas institucionales, deben revisar la consistencia de la información, los datos y las evidencias reportadas. En caso de identificar observaciones deben solicitar a las áreas los ajustes correspondientes. 
Periodicidad: Variable
Evidencia: Herramientas de seguimiento a las metas institucionales y correos electrónicos.</t>
  </si>
  <si>
    <t>Posibilidad de afectación Económica y pérdida Reputacional por sanciones de entes de control debido a la inoportunidad en la generación de registros presupuestales y  contables</t>
  </si>
  <si>
    <t xml:space="preserve">
4. Fallas de aplicativo SIIF Nación
</t>
  </si>
  <si>
    <t xml:space="preserve">
Afectación de la Imagen de la Entidad
Sanciones
Reprocesos
</t>
  </si>
  <si>
    <t xml:space="preserve">Posibilidad de recibir o solicitar dádiva o beneficio, o inadecuada administración por manejo indebido de recursos financieros por parte de los responsables en la entidad, para beneficio propio o de terceros
</t>
  </si>
  <si>
    <t xml:space="preserve">
1. Omisión involuntaria por parte del servidor publico y/o contratista de los procesos de gestión financiera.
</t>
  </si>
  <si>
    <t xml:space="preserve">
Fallas de aplicativo SIIF Nación
Cambio de fechas programadas por CGN</t>
  </si>
  <si>
    <t xml:space="preserve">Posibilidad de pérdida reputacional por hallazgos de entes de control debido a no presentar  oportunamente la información financiera en las fechas programadas por la CGN </t>
  </si>
  <si>
    <t xml:space="preserve">
Posibilidad de afectación económica y pérdida reputacional por demandas de ex servidores o servidores o sanciones de entes competentes debido a  inconsistencias o generación fuera de términos del certificado electrónico de tiempos laborados </t>
  </si>
  <si>
    <t>Afectación de la Imagen Institucional
Demandas
Tutelas
Sanciones
Reprocesos</t>
  </si>
  <si>
    <t>Posibilidad de afectación Económica y pérdida Reputacional por sanciones de entes de control debido al incumplimiento de la normatividad vigente sobre  evaluaciones de desempeño y/o acuerdos de gestión</t>
  </si>
  <si>
    <t xml:space="preserve">Afectación de la Imagen Institucional
Sanciones 
Reprocesos
Afectación de los derechos de los servidores públicos respecto al acceso a encargos e incentivos </t>
  </si>
  <si>
    <t>El profesional encargado de evaluaciones de desempeño de la Subdirección de Talento Humano realiza seguimiento semestral a la elaboración de las evaluaciones de desempeño y acuerdos de gestión acorde al procedimiento. Este seguimiento se efectúa con base en el reporte de evaluaciones de desempeño de servidores de carrera administrativa  a través del aplicativo EDL de la CNSC y la base de datos donde se registran las evaluaciones en físico allegadas por los servidores provisionales y acuerdos de gestión de los gerentes públicos.
En caso de evidenciar la no realización de las evaluaciones de desempeño o acuerdos de gestión o encontrar inconsistencias en las mismas, se envía comunicación informando el incumplimiento de la normatividad vigente a los evaluadores y evaluados. En caso de persistir el incumplimiento se reportan los casos particulares a la Oficina de Control Interno Disciplinario.
Periodicidad: Semestral
Evidencia: Base de datos con el seguimiento de los evaluados, correos electrónicos informando resultados del seguimiento y de los incumplimientos si aplica.</t>
  </si>
  <si>
    <t>El profesional encargado de evaluaciones de desempeño de la Subdirección de Talento Humano realiza seguimiento a la ejecución de evaluaciones de desempeño parciales eventuales ante situaciones administrativas que impliquen la separación del empleo por más de 30 días calendario. Con el fin de verificar la información y mantener la base de datos actualizada.
En caso de evidenciar la no realización de las evaluaciones de desempeño o acuerdos de gestión o encontrar inconsistencias en las mismas, se envía comunicación informando el incumplimiento de la normatividad vigente a los evaluadores y evaluados. En caso de persistir el incumplimiento se reportan los casos particulares a la Oficina de Control Interno Disciplinario.
Periodicidad: variable
Evidencia: Base de datos con el seguimiento de los evaluados ante situaciones administrativas superiores a 30 días calendario.</t>
  </si>
  <si>
    <t xml:space="preserve">
1.Digitación errada o incompleta de la información referente al tiempo laborado en el IGAC.
2. Falta de soportes en la historia laboral, PERNO y libros de nómina que permitan certificar los factores salariales.
3. No registro oportuno de la información por parte de la STH y de factores salariales por parte de las direcciones territoriales, según corresponda.
4. Ausencia de pagadores en las direcciones territoriales, quienes son los responsables de registrar los factores salariales en CETIL.
5. Falta de revisión del registro de la información por parte de otra persona diferente a quien la digitó, en las direcciones territoriales
</t>
  </si>
  <si>
    <t>El servidor público designado por la Subdirección de Talento Humano para la expedición del certificado electrónico de tiempos laborados, registra los factores salariales de los servidores y/o exservidores de sede central que realizan las solicitud del CETIL en la base de datos dispuesta para tal fin y  hace seguimiento de los casos activos asignados a las Territoriales que se encuentren en la plataforma dispuesta por el Ministerio de Hacienda . En caso de encontrar fechas próximas a vencer reitera a los pagadores de las Direcciones Territoriales, con copia al respectivo director territorial, para que agilicen el registro de la información correspondiente o en su defecto si la territorial presenta retraso, se envia un memorando al director territorial y si no hay respuesta se escala a la oficina de control interno disciplinario.
Periodicidad: Mensual
Evidencias: Base de datos en Excel del seguimiento, oficios o correos electrónicos dando respuesta a las solicitudes, o correos electrónicos reiterando la información a quien corresponda</t>
  </si>
  <si>
    <t>Los servidores públicos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servidores vinculados y/o en encargo.</t>
  </si>
  <si>
    <t>Los servidores públicos y los contratistas designados  por la Subdirección de Talento Humano verifican de acuerdo con el plan de trabajo, la autenticidad de los diplomas, actas de grado, tarjetas profesionales y certificaciones laborales, con las instituciones o empresas que emitieron el respectivo documento. Si se encuentra un documento falso, la Subdirección de Talento Humano remite a la oficina de Control Interno Disciplinario y a la Oficina Asesora Jurídica para lo pertinente. 
Periodicidad: Semestral
Evidencias. Requerimiento al Ministerio de Educación  o Instituciones de educación superior y respuesta o base de datos con los resultados del seguimiento</t>
  </si>
  <si>
    <t xml:space="preserve">
Posibilidad de pérdida reputacional por quejas o reclamos de los servidores públicos y hallazgos de entes de control debido a la inoportunidad y/o inconsistencias en los actos administrativos y sus soportes relacionados con las diferentes actuaciones de la administración de personal</t>
  </si>
  <si>
    <t xml:space="preserve">
Posibilidad de pérdida Reputacional por quejas o reclamos de las partes interesadas debido a la posibilidad de entregar un  producto o prestar un  servicio que no cumpla con las especificaciones técnicas establecidas o con las necesidades y expectativas de los usuarios </t>
  </si>
  <si>
    <t xml:space="preserve">
Posibilidad de pérdida Reputacional por quejas de los grupos de valor debido a la expedición de regulación inadecuada o que no atienda las necesidades de actualización normativa</t>
  </si>
  <si>
    <t xml:space="preserve">
Posibilidad de recibir o solicitar dádiva o beneficio por sustracción, eliminación o manipulación indebida de la documentación en el Archivo Central  en beneficio propio o de terceros
</t>
  </si>
  <si>
    <t>1. Incumplimiento de requisitos legales ambientales y otros compromisos con las partes interesadas, relacionados con el SGA.
2. Falta de compromiso por parte de los procesos para el mantenimiento y mejora del SGA.
3. Debilidad en el reporte de información del desempeño ambiental desde los diferentes procesos y sedes territoriales.
4. Debilidad en el conocimiento de las buenas prácticas ambientales en el IGAC.
5. Gestión inadecuada en el manejo de los residuos generados en las actividades, productos y servicios del IGAC. 
6. Incumplimiento en la aplicación de controles operacionales definidos en la matriz de aspectos e impactos ambientales y matriz legal.
7. Debilidad en la inclusión de criterios ambientales relacionados con requisitos legales aplicables en los contratos que aplique y en la supervisión y seguimiento al cumplimiento de estos criterios.
8. Debilidad en la realización de trámites ambientales aplicables al IGAC en los tiempos establecidos en la normatividad ambiental. 
9. Prácticas inadecuadas de manipulación o almacenamiento de sustancias químicas.</t>
  </si>
  <si>
    <t xml:space="preserve">
Posibilidad de afectación Económica y Reputacional por multas o sanciones de Autoridades competentes  debido al incumplimiento normativo ambiental</t>
  </si>
  <si>
    <t>Sanciones
Multas
Afectación de la Imagen Institucional
Afectación de los componentes del ambiente (Agua y suelo)</t>
  </si>
  <si>
    <t>El Responsable del SGA de la Oficina Asesora de Planeación  actualiza la Matriz de identificación y cumplimiento legal Ambiental y la Matriz de Identificación de aspectos y valoración de impactos ambientales con el fin de revisar las actividades y normatividad ambiental vigente. En caso de encontrar desviaciones, el responsable del SGA ajustará las matrices y sensibilizará al proceso afectado a través de los medios de comunicación definidos por la entidad.
Periodicidad: Semestral
Evidencia:  Matriz de identificación y cumplimiento legal Ambiental actualizada y Matriz de Identificación de aspectos y valoración de impactos ambientales actualizada y registros de asistencia (si aplica).</t>
  </si>
  <si>
    <t xml:space="preserve">El servidor público o contratista del equipo de trabajo IDE Corporativa, verifica el cumplimiento de los estándares y lineamientos de la información geoespacial, con el fin de asegurar su calidad y pertinencia.
Evidencia: Informe de cumplimiento 
</t>
  </si>
  <si>
    <t xml:space="preserve">1. Documentación incompleta, desactualizada o falsa respecto a la acreditación de cumplimiento de requisitos 
</t>
  </si>
  <si>
    <t>1. Incumplimiento del  procedimiento de transferencia de conocimiento entre servidores del instituto.
2. Inexistencia de un registro de transferencia de conocimiento al momento del retiro del servidor público.
3. Situaciones de retiro que se producen sin preparación o aviso, las cuales no son controlables por el servidor publico ni por la Subdirección de Talento Humano (insubsistencia y suspensión por orden judicial, muerte, licencia por causa fortuita, entre otras)
4. Falta de voluntad por parte de los servidores para realizar la transferencia de conocimiento
5. Deficiencia en el seguimiento al cumplimiento del procedimiento de transferencia de conocimientos por parte de los jefes inmediatos</t>
  </si>
  <si>
    <t>1.Desactualización de los instrumentos que dan lineamientos para la realización de las evaluaciones de desempeño.
2. Desconocimiento de las implicaciones disc iplinarias por el no cumplimiento de la normatividad relacionada con evaluaciones de desempeño laboral y acuerdos de gestión
3. Falta de interés de los servidores públicos para asistir a las capacitaciones relacionadas con la evaluación de desempeño, impartidas por la Subdirección de Talento Humano
4. Inexistencia de una base de datos para controlar la realización de evaluaciones de desempeño ante la presentación de situaciones administrativas mayores a 30 días.</t>
  </si>
  <si>
    <t xml:space="preserve">
1. No registro oportuno de novedades en el sistema de información de nómina por olvido del servidor responsable en la STH
2. Ausencia o errores en la parametrización de los cálculos en el sistema de información de nómina 
3. Desconocimiento de la normatividad y manera correcta de realizar los cálculos en la nómina
4.  No entrega oportuna de información y/o novedades  de los servidores por parte de otros subprocesos de la STH, Direcciones Territoriales, por otras dependencias o por entes externos.
5. Ausencia de profesionales universitarios con funciones de pagadores en las DT o profesional de STH en sede central, quienes son usuarios únicos para generar la nómina de su correspondiente sede.
6. Ausencia del ingeniero de sistemas que presta soporte para corregir los errores y/ inconsistencias del sistema de información de nómina</t>
  </si>
  <si>
    <t xml:space="preserve">
1. Falta de ética y valores
2. Falta de formación en la elaboración de procesos contractuales
3. Desconocimiento de la normatividad vigente frente al tema contractual
4. Faltan lineamientos claros para la elaboración de los procesos contractuales</t>
  </si>
  <si>
    <t>Afectación de la imagen institucional y del proceso
Sanciones
Afectación económica</t>
  </si>
  <si>
    <t xml:space="preserve">
Posibilidad de pérdida reputacional y económica por quejas o reclamos de los grupos de valor debido a la implementación inadecuada de estrategias, proyectos, iniciativas y planes, de acuerdo  con lo establecido en el Marco de Referencia de Arquitectura TI y en las Políticas de Gobierno y Seguridad Digital para atender las necesidades tecnológicas de la entidad
</t>
  </si>
  <si>
    <t>Los profesionales designados por la DTIC y las subdirecciones, definen y establecen los planes (PLAN DE ACCIÓN, PETIC, PESI, PETRSI) con el fin de implementar las actividades que contribuyan con el fortalecimiento de las estratégias e iniciativas en el Marco de Referencia de Arquitectura TI y en las Políticas de Gobierno y Seguridad Digital .
Periodicidad:  Anual
Evidencia: Planes  (PETIC, PESI, PETRSI) aprobados para la vigencia</t>
  </si>
  <si>
    <t>El Profesional designado de la subdirección de Infraestructura Tecnológica,  permanentemente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Mensual
Evidencia: Correo electrónico con el reporte de la novedad o falla y/o reporte de la verificación aleatoria de la infraestructura tecnológica realizada.</t>
  </si>
  <si>
    <t>El gestor de la mesa de servicios mensualmente verifica y analiza el estado de las solicitudes de atención y los seguimientos asociados a las 'No solucionadas' (en curso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</si>
  <si>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 xml:space="preserve">
Posibilidad de recibir o solicitar cualquier dádiva durante la fase precontractual  de los procesos para la adquisición de bienes y servicios del proceso de tecnología con el fin de beneficiarse a nombre propio o de terceros</t>
  </si>
  <si>
    <t>R6</t>
  </si>
  <si>
    <t>Posibilidad de afectación Económica y pérdida Reputacional por insatisfacción o sanciones de los grupos de valor debido a la difusión de información de la gestión institucional incompleta o inoportuna</t>
  </si>
  <si>
    <t>Afectación de la Imagen Institucional
Sanciones
Reprocesos</t>
  </si>
  <si>
    <t>Los responsables  del subproceso de Gestión de Comunicaciones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Periodicidad: Trimestral
Evidencia: Base de datos en Excel con información consolidada.</t>
  </si>
  <si>
    <t xml:space="preserve">Los responsables  del subproceso de Gestión de Comunicaciones, cada vez que se requiera consentimiento informado para uso de derecho de imagen sobre fotografías y videos en menores de edad, verifica el diligenciamiento del documento establecido para tal fin.
Periodicidad: Variable
Evidencia: Documento consentimiento informado para uso de derecho de imagen sobre fotografías y videos en menores de edad firmado.
</t>
  </si>
  <si>
    <t>1. Falta de seguimiento frente a la prestación del servicio</t>
  </si>
  <si>
    <t>R10</t>
  </si>
  <si>
    <t>1. Ausencia o errores en la afiliación a la ARL de servidores públicos y contratistas afectados
2. Falta de identificación del peligro en la matriz de identificación de peligros, valoración de riesgos y determinación de controles.
3. Incumplimiento de normatividad y lineamientos en seguridad y salud en el trabajo
4. No asignación o no cumplimiento de responsabilidades de alguno de los roles designados en seguridad y salud en el trabajo.
5. No establecimiento o errores en el diseño de los controles ante los peligros detectados.</t>
  </si>
  <si>
    <t>Posibilidad de afectación económica y pérdida reputacional por demandas o sanciones de entes competentes, debido a la materialización de accidentes de trabajo o enfermedades laborales de servidores públicos y contratistas</t>
  </si>
  <si>
    <t>Afectación de la Imagen Institucional
Sanciones
Demandas</t>
  </si>
  <si>
    <t>El profesional responsable del SG-SST, verifica trimestralmente la afiliación y clasificación del riesgo frente a los listados de servidores públicos y contratistas vinculados al IGAC. En caso de encontrar inconsistencias en la afiliación de los contratistas, informa al proceso de Gestión Contractual mediante correo electrónico para la validación y ajustes pertinentes. Si las inconsistencias son de servidores públicos, realiza los ajustes correspondientes en la plataforma de la ARL a la que se encuentre vinculada la Entidad.
Periodicidad: Trimestral
Evidencia: Informe trimestral y/o correo electrónico de las inconsistencias enviado a gestión contractual y/o soporte de la modificación en la plataforma de la ARL (Si aplica)</t>
  </si>
  <si>
    <t>El profesional responsable del SG-SST, revisa anualmente la matriz de identificación de peligros, valoración de riesgos y determinación de controles, de acuerdo con los diagnósticos de las condiciones de salud de los trabajadores y físicas de la entidad o del puesto de trabajo, o en el momento que sea requerido por las condiciones que demanda la normatividad. En caso de presentarse la materialización del riesgo, se debe revisar y ajustar la matriz de ser necesario.
Periodicidad: Anual
Evidencia: Matriz de identificación de peligros, valoración de riesgos y determinación de controles, con la última fecha de actualización y la firma del profesional que elaboró (con licencia de SST).</t>
  </si>
  <si>
    <t xml:space="preserve">El profesional responsable del SG-SST de manera semestral verifica el cumplimiento de los requisitos presentes en la legislación y en la normativa asociada al Sistema de Gestión de Seguridad y Salud en el Trabajo.
Periodicidad: semestral
Evidencia: Matriz de requisitos legales SST actualizada. </t>
  </si>
  <si>
    <t>Meta I Cuatrimestre</t>
  </si>
  <si>
    <t>Meta II Cuatrimestre</t>
  </si>
  <si>
    <t>Meta III Cuatrimestre</t>
  </si>
  <si>
    <t>R21</t>
  </si>
  <si>
    <t>Posibilidad de pérdida Reputacional por recibir o solicitar cualquier dádiva o beneficio a nombre propio o de terceros con el fin de obtener información reservada o clasificada, o conseguir un resultado de un proyecto de investigación antes de ser publicado</t>
  </si>
  <si>
    <t xml:space="preserve">
1. Falta de información integrada, completa y oportuna.
2. Deficiencias en la comunicación y desconocimiento de los usuarios sobre los trámites de la entidad.
3. Falta de integración de los sistemas de información institucional
4. Inadecuado control del repositorio de la información de los proyectos.
5. Tráfico de influencias
6. Falta de apropiación de valores institucionales.
7. Falta de control sobre los procedimientos administrativos
8. Procesos con bajo nivel de automatización</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</si>
  <si>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</si>
  <si>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 xml:space="preserve">  
Evidencia: Reporte de GLPI de permisos designados al repositorio único de información de la Dirección.</t>
  </si>
  <si>
    <t xml:space="preserve">Posibilidad de pérdida reputacional y afectación económica, por demandas de grupos de valor solicitando la nulidad de la regulación expedida por la entidad </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</si>
  <si>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con el fin de identificar retrasos, causas y definir las acciones a realizar para el cumplimiento.
Periodicidad: Quincenal.
Evidencia:  Presentación comité de seguimiento y/o listas de asistencia al seguimiento y/o actas de reunión.</t>
  </si>
  <si>
    <t>El  funcionario designado por la Subdirección de proyectos o DGC , informa a las autoridades locales y regionales mediante oficio y/o mensaje de correo electrónico, con el propósito de contar con la autorización para el desplazamiento de los funcionarios en la zona elegida y la actividad a realizar en campo.
Periodicidad: Variable
Evidencia: Oficio y/o mensaje de correo electrónico remitido a las autoridades civiles y/o militares del lugar.</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</si>
  <si>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donde se especifican todos los requisitos que se deben cumplir en esta etapa del proceso. En caso de encontrar desviaciones realiza una reinducción o se analizan las causas de la situación presentada y se implementan las acciones correctivas o de mejora necesarias (si aplica).
Periodicidad: Mensual
Evidencia: Informe de aplicación de las listas de chequeo y registros de asistencia (Si aplica)</t>
  </si>
  <si>
    <r>
      <t xml:space="preserve">El responsable de cartera designado en GIT Contabilidad de la sede central y el profesional con funciones de contador en las Direcciones Territoriales, trimestralmente, realiza la conciliación de cartera validando que la información contable se encuentre correcta  y verifica los saldos de las cuenta en SIIF Nación contra el reporte de edades de cartera. Si se presenta diferencias, con base en esta verificación, se realizan los ajustes correspondientes, acorde al procedimiento.
Periodicidad: Trimestral
</t>
    </r>
    <r>
      <rPr>
        <b/>
        <sz val="11"/>
        <color theme="1"/>
        <rFont val="Arial"/>
        <family val="2"/>
      </rPr>
      <t xml:space="preserve">Evidencia 
Sede Central: </t>
    </r>
    <r>
      <rPr>
        <sz val="11"/>
        <color theme="1"/>
        <rFont val="Arial"/>
        <family val="2"/>
      </rPr>
      <t xml:space="preserve">
1.) Informe de conciliación de cartera
2.) Informe de cartera por edades 
3.) Correos electrónicos en caso de inconsistencias (si aplica).
</t>
    </r>
    <r>
      <rPr>
        <b/>
        <sz val="11"/>
        <color theme="1"/>
        <rFont val="Arial"/>
        <family val="2"/>
      </rPr>
      <t xml:space="preserve">
Direcciones Territoriales:  </t>
    </r>
    <r>
      <rPr>
        <sz val="11"/>
        <color theme="1"/>
        <rFont val="Arial"/>
        <family val="2"/>
      </rPr>
      <t xml:space="preserve">
1.) Informe de conciliación de cartera
2.) Informe de cartera por edades y 
3.) Correos electrónicos en caso de inconsistencias (si aplica)</t>
    </r>
  </si>
  <si>
    <t>Posibilidad de efecto dañoso sobre los recursos públicos, por pago de intereses y sanciones por mora, evidenciándose una omisión de funciones administrativas para la  presentación y pago de las declaraciones tributarias oportunamente.</t>
  </si>
  <si>
    <t>El líder de Gestión Contable en la sede central y el profesional con funciones de contador en las Direcciones Territoriales verifica en los calendarios tributarios de las entidades correspondientes, las fechas establecidas para la presentación y pago de las declaraciones tributarias, con el fin de realizar los tramites de manera oportuna.
Periodicidad: Se realiza en el primer semestre de cada vigencia.
Evidencia Sede Central y Direcciones Territoriales: Calendario Tributario</t>
  </si>
  <si>
    <t>1. Falta de verificación de información al momento de la afiliación
2. Falta de cobertura teniendo en cuenta el plazo de ejecución del contrato.
3. Identificación incorrecta del nivel de riesgo teniendo en cuenta lo contemplado en los estudios previos.</t>
  </si>
  <si>
    <r>
      <t xml:space="preserve">El Responsable designado de la Oficina Asesora Jurídica en Sede Central y el Abogado en las Direcciones Territoriales, trimestralmente verifican y reportan al funcionario designado por la Oficina Asesora Jurídica el estado de los procesos a su cargo, quien consolidará en un archivo Excel dichos reportes.
</t>
    </r>
    <r>
      <rPr>
        <b/>
        <sz val="11"/>
        <color theme="1"/>
        <rFont val="Arial"/>
        <family val="2"/>
      </rPr>
      <t xml:space="preserve">Periodicidad: </t>
    </r>
    <r>
      <rPr>
        <sz val="11"/>
        <color theme="1"/>
        <rFont val="Arial"/>
        <family val="2"/>
      </rPr>
      <t xml:space="preserve">Trimestral
</t>
    </r>
    <r>
      <rPr>
        <b/>
        <sz val="11"/>
        <color theme="1"/>
        <rFont val="Arial"/>
        <family val="2"/>
      </rPr>
      <t xml:space="preserve">
Evidencia: </t>
    </r>
    <r>
      <rPr>
        <sz val="11"/>
        <color theme="1"/>
        <rFont val="Arial"/>
        <family val="2"/>
      </rPr>
      <t xml:space="preserve">
</t>
    </r>
    <r>
      <rPr>
        <b/>
        <sz val="11"/>
        <color theme="1"/>
        <rFont val="Arial"/>
        <family val="2"/>
      </rPr>
      <t>Sede Central:</t>
    </r>
    <r>
      <rPr>
        <sz val="11"/>
        <color theme="1"/>
        <rFont val="Arial"/>
        <family val="2"/>
      </rPr>
      <t xml:space="preserve"> Matriz consolidada de estado de procesos judiciales
</t>
    </r>
    <r>
      <rPr>
        <b/>
        <sz val="11"/>
        <color theme="1"/>
        <rFont val="Arial"/>
        <family val="2"/>
      </rPr>
      <t>Direcciones Territoriales: 1</t>
    </r>
    <r>
      <rPr>
        <sz val="11"/>
        <color theme="1"/>
        <rFont val="Arial"/>
        <family val="2"/>
      </rPr>
      <t>.) Correo electrónico mensual con el envío de los registros de los formatos del estado de los procesos judiciales;  2.) Matriz consolidada trimestralmente, con los registros de los formatos del estado de los procesos judiciales</t>
    </r>
  </si>
  <si>
    <t>4. Falta de oferta de auditores con formación requerida para realizar auditorias internas de gestión</t>
  </si>
  <si>
    <t xml:space="preserve">
Posibilidad de afectación Económica y pérdida Reputacional por pérdida de clientes, quejas o reclamos de los usuarios debido a la inoportunidad en la prestación de servicios o en la entrega de productos </t>
  </si>
  <si>
    <t xml:space="preserve">
1. Falta de sistematización del proceso. (Todo el proceso se realiza en archivos excel)
2. Complejidad en el procesamiento de la información y estructuración de las bases de datos
3. Información inexacta o errada reportada por parte de las áreas
4. Solicitud por fuera de términos de la información por parte de la OAP
5. Información incompleta o reportada inoportunamente por parte de las áreas.</t>
  </si>
  <si>
    <t>1. Demora por parte de Min-hacienda en la habilitación de los usuarios para los diferentes roles relacionados con la expedición del CETIL.
2.Falta de capacitaciones sobre el proceso por parte del Ministerio de Hacienda</t>
  </si>
  <si>
    <t>1. Inaplicabilidad de la norma por vacíos técnicos y conceptuales.</t>
  </si>
  <si>
    <t xml:space="preserve"> 1. Falta de especificidad de las clausulas contractuales para la ejecución y entrega de avalúos comerciales.</t>
  </si>
  <si>
    <t>1. Omisión de funciones administrativas para la  presentación y pago de las declaraciones tributarias oportunamente.</t>
  </si>
  <si>
    <t>1. Omisión del deber de elaborar estudios de mercado en procesos competitivos.</t>
  </si>
  <si>
    <t>1. Presencia de intereses particulares o conflicto de intereses por la destinación del uso del suelo.
2.Presiones generadas por las relaciones del personal del subproceso Gestión Agrologica entre ellos o con sus partes interesadas.
3. Clientelismo y amiguismo</t>
  </si>
  <si>
    <t>R73</t>
  </si>
  <si>
    <t>R74</t>
  </si>
  <si>
    <t>R75</t>
  </si>
  <si>
    <t>R76</t>
  </si>
  <si>
    <t>R77</t>
  </si>
  <si>
    <t>R78</t>
  </si>
  <si>
    <t>R79</t>
  </si>
  <si>
    <t>R80</t>
  </si>
  <si>
    <t>R81</t>
  </si>
  <si>
    <t>MAPA DE RIESGOS INSTITUCIONAL VIGENCIA 2024 V2</t>
  </si>
  <si>
    <t>MAPA DE RIESGOS DE CORRUPCIÓN VIGENCIA 2024 V2</t>
  </si>
  <si>
    <t>1.  Desconocimiento u omisión de los compromisos y responsabilidades de la Entidad frente el sector y el nivel nacional yo normatividad existente, por parte de los responsables de la formulación de los ejercicios de planeación.
2. Desconocimiento de los procedimientos, metodologías, herramientas y lineamientos dados para la formulación de los ejercicios de planeación, por parte de los responsables de la formulación de los ejercicios de planeación.
3. Aplicación errónea de criterios o instrucciones por parte de los responsables de la formulación, durante los ejercicios de planeación.</t>
  </si>
  <si>
    <t xml:space="preserve">
Posibilidad de afectación reputacional por sanciones disciplinarias debido a la inadecuada verificación de la información reportada en los seguimientos al plan estratégico, planes de acción y proyectos de inversión y demás metas institucionales
</t>
  </si>
  <si>
    <t xml:space="preserve">     El riesgo afecta la imagen de la entidad internamente, de conocimiento general, nivel interno, de junta directiva y accionistas y/o de proveedores</t>
  </si>
  <si>
    <t>1. Débil control en el seguimiento de las solicitudes de comunicación interna.
2. Débil control en la verificación del contenido en las solicitudes de comunicación
3. Ausencia del consentimiento informado para uso de derecho de imagen sobre fotografías y videos en menores de edad.</t>
  </si>
  <si>
    <t>Los responsables  del subproceso de Gestión de Comunicaciones, semestralmente, realizan una encuesta de percepción sobre los mensajes publicados a través de los canales de comunicación internos y externo (según aplique), con el fin de verificar que la información difundida sea clara, oportunidad, con calidad y tenga en cuenta las recomendaciones de las partes interesadas.
Periodicidad: Semestral
Evidencia: Informe con los resultados de las encuestas.(Interna y Externa)</t>
  </si>
  <si>
    <t xml:space="preserve">1. Desconocimiento de los lineamientos estratégicos de la Dirección y Subdirección General en relación con este proceso.
2. Desconocimiento de los procedimientos del proceso.
3. Planeación inadecuada de las estrategias y actividades.
</t>
  </si>
  <si>
    <t>El jefe de la Oficina Comercial y su equipo de trabajo, realiza reuniones de tráfico con el fin de socializar los lineamientos estratégicos de la Dirección y Subdirección General que competen al proceso, socializar los documentos del proceso que se creen o actualicen de acuerdo a las necesidades del proceso y el seguimiento a la ejecución de las estrategias y actividades definidas en el Plan de Mercadeo con el fin de verificar su cumplimiento, avances, retrasos y plantear acciones de mejora cuando se requiera.
Periodicidad: Trimestral
Evidencia: 
1. Registros de asistencia, actas de reunión y presentaciones</t>
  </si>
  <si>
    <t xml:space="preserve">
1. Falta de conocimiento del personal en materia de normatividad vigente y lineamientos institucionales relacionados con gestión de PQRSDF.
2. Débil control frente al Seguimiento del estado de las PQRSDF.</t>
  </si>
  <si>
    <t xml:space="preserve">El Responsable designado de la Oficina de Relación con el Ciudadano - ORC de la Sede Central y los responsables designados en  las Direcciones Territoriales,  realizan seguimiento mensual al estado de PQRSDF registradas en el sistema de gestión documental a cargo de la Sede Central y de las Direcciones Territoriales, identificando las que presentan retrasos, con el fin de generar las alertas al Comité Institucional de Gestión y Desempeño -CIGD de manera semestral para las acciones de mejora que se requieran.
Periodicidad: Mensual
Evidencia : 
Sede Central: Informe PQRSDF y Correo electrónico de seguimiento desde la Oficina de Relación con el Ciudadano y Acta del CIGD cuando aplique.
</t>
  </si>
  <si>
    <t>1. No tener en cuenta los requisitos establecidos en el Manual de funciones para los empleos objeto de provisión.               
2. Desconocimiento o no atender lo dispuesto en la normatividad vigente relacionada con la provisión de empleo.                                  
3. Inexistencia de procedimiento y responsables relacionados con provisión de empleos.
4. Débil verificación de la documentación que acredite el cumplimiento de requisitos</t>
  </si>
  <si>
    <t xml:space="preserve">
Posibilidad de pérdida Reputacional y afectación económica por quejas de los grupos de valor o sanciones de entes de control debido al incumplimiento de los requisitos mínimos para la provisión de empleos vacantes de la planta de personal del IGAC</t>
  </si>
  <si>
    <t>Afectación de la Imagen Institucional
Reprocesos
Sanciones Disciplinarias
Quejas</t>
  </si>
  <si>
    <t xml:space="preserve">El profesional de la Subdirección de Talento Humano que tiene a cargo la transferencia de conocimiento, realiza actualización, socialización e implementación del  procedimiento de transferencia de conocimiento entre servidores del instituto a nivel nacional, con el fin de salvaguardar la memoria institucional. En caso de no implementar las estrategias de transferencia del conocimiento, se debe elaborar un informe con los motivos del incumplimiento. 
Periodicidad: Trimestral
Evidencias: Procedimiento de transferencia de conocimiento entre servidores del instituto actualizado y registros de socialización (segundo trimestre) y informe de implementación (tercer y cuarto trimestre). </t>
  </si>
  <si>
    <t>Afectación de la Imagen del proceso
Reprocesos
Demoras para responder solicitudes de servidores o exservidores, o partes interesadas
Apertura de procesos disciplinarios
Demandas contra la Entidad</t>
  </si>
  <si>
    <t>Afectación de la Imagen de la entidad
Sanciones
Demandas
Queja
Reclamos</t>
  </si>
  <si>
    <t>1. Recurso humano especializado insuficiente para atender las necesidades del proceso.
2.Formulación inadecuada de estrategias, proyectos, iniciativas y planes, de acuerdo  con lo establecido en el Marco de Referencia de Arquitectura TI y en las Políticas de Gobierno y Seguridad Digital .
3. Resistencia en las políticas y lineamientos dados por la DTIC
4. Falta de seguimiento a la ejecución de estrategias, proyectos, iniciativas y planes formulados por el proceso.
5. Desconocimiento de la normatividad vigente</t>
  </si>
  <si>
    <t xml:space="preserve">Afectación de la Imagen Institucional
Quejas
Reclamos
Afectación económica </t>
  </si>
  <si>
    <t>Los profesionales designados por la DTIC y las subdirecciones definen, establecen e implementan el Plan de Uso y apropiación de la DTIC con el fin de dar a conocer alos funcionarios y contratistas del IGAC las herramientas, proyectos,  lineamientos, estrategias e iniciativas tecnológicas.
Periodicidad: Semestral
Evidencia:  Matriz Seguimiento al Plan de Uso y apropiación</t>
  </si>
  <si>
    <t>Los profesionales designados por la DTIC y las subdirecciones, realizan seguimiento periódico a la ejecución de los planes (PLAN DE ACCIÓN, PETIC, PESI, PETRSI) formulados por el proceso, con el fin de verificar su ejecución y cumplimiento. Si se presentan desviaciones en el control, se generan las alertas pertinentes.
Periodicidad: Semestral
Evidencia: Tablero de control de seguimiento a planes</t>
  </si>
  <si>
    <t>Afectación de la Imagen Institucional
Reprocesos
Quejas
Reclamos
Pérdida de clientes</t>
  </si>
  <si>
    <t>Afectación de la Imagen Institucional
Quejas
Reclamos</t>
  </si>
  <si>
    <t>Afectación de la Imagen Institucional
Reprocesos
Inseguridad Jurídica de los Actos normativos de regulación</t>
  </si>
  <si>
    <t>Afectación de la Imagen Institucional
Demandas
Reprocesos</t>
  </si>
  <si>
    <t>El Responsable de la Dirección de Regulación y Habilitación  en caso de que se demande la nulidad del acto administrativo de regulación, recibe comunicación de la oficina asesora jurídica informando del proceso judicial, para aportar argumentos, insumos y evidencias que permitan ejercer el derecho de defensa de la entidad. 
Periodicidad: Variable
Evidencia: Correo electrónico o memorando con respuesta la oficina asesora jurídica</t>
  </si>
  <si>
    <t>Afectación de la Imagen Institucional
Quejas
Sanciones
Reprocesos
Tutelas</t>
  </si>
  <si>
    <t xml:space="preserve">
Posibilidad de pérdida reputacional y afectación económica  por insatisfacción, quejas de los grupos de valor o sanciones de entes reguladores debido a Inoportunidad en los tiempos establecidos para la entrega de los productos resultados del  proceso de formación y/o actualización catastral de los municipios en jurisdicción del IGAC </t>
  </si>
  <si>
    <t>Afectación de la Imagen Institucional
Quejas
Sanciones
Reprocesos</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</si>
  <si>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Deficiencia en la implementación de los documentos metodológicos del subproceso actualizados.</t>
  </si>
  <si>
    <t>Afectación de la Imagen Institucional
Reprocesos
Quejas</t>
  </si>
  <si>
    <t>Afectación de la Imagen de la entidad
Quejas
Reprocesos</t>
  </si>
  <si>
    <t>Afectación de la Imagen Institucional
Retraso en el conocimiento de la información oficial de suelos del país</t>
  </si>
  <si>
    <t>Afectación de la Imagen Institucional
Quejas
Sanciones 
Reducción en el presupuesto</t>
  </si>
  <si>
    <t>Afectación de la Imagen de la Entidad
Hallazgos de entes de control
Reprocesos</t>
  </si>
  <si>
    <t>El servidor público o contratista designado por el líder de Gestión Contable verifica las fechas de presentación de los reportes, en la pagina de la Contaduría General de la Nación con el fin de preparar y presentar los reportes en forma oportuna. Si existe un cambio extraordinario en la programación la CGN remite correo electrónico informando al respecto.
Periodicidad: Trimestral
Evidencia: Certificado de presentación emitido por la CGN.</t>
  </si>
  <si>
    <t>Afectación de la Imagen Institucional
Sanciones 
Multas</t>
  </si>
  <si>
    <t xml:space="preserve">El Grupo Interno de Gestión contractual de la sede central y el profesional con funciones de abogado en las direcciones territoriales, realiza seguimiento al 100% de los contratos de prestación de servicios personales para verificar que la afiliación a la ARL del contratista, se haya realizado por el plazo de ejecución contractual y con el nivel de riesgo identificado por la dependencia solicitante de la contratación. En caso de encontrar inconsistencias se toman los correctivos del caso.
Periodicidad: Trimestral
Evidencia:
Sede Central y Direcciones Territoriales: Informe de seguimiento al 100% de los contratos de prestación de servicios personales del periodo con la verificación de afiliación a la ARL correspondiente. Este archivo debe contener la siguiente información: # Contrato, CC, Nombre Contratista, Fecha Inicio, Fecha Final ,Cobertura Inicial ARL, Cobertura Final ARL , Nivel Riesgo- Estudios Previos, Entidad Aseguradora, Estado, Observación ;Novedad Realizada </t>
  </si>
  <si>
    <t>1. Omisión en la aplicación de controles de seguridad en la custodia de los activos o  elementos.
2. Omisión en la aplicación de control en la custodia de los bienes en las instalaciones del Almacén.
3. Falencias en el registro de ingresos y egresos en el aplicativo de inventarios.
4. Desconocimiento de los lineamientos de manejo de inventarios.</t>
  </si>
  <si>
    <t>Afectación de la Imagen del proceso
Afectación de la Póliza
Investigaciones Disciplinarias</t>
  </si>
  <si>
    <t>Posibilidad de pérdida Reputacional  por insatisfacción de los usuarios internos debido a la  inadecuada gestión en la prestación de servicios administrativos para el funcionamiento de la entidad</t>
  </si>
  <si>
    <t>Afectación de la Imagen Institucional
Quejas
Pérdida de oportunidad en la defensa de los intereses de la entidad. 
 Incumplimiento en las metas y objetivos del proceso de gestión jurídica.</t>
  </si>
  <si>
    <t>Afectación de la Imagen Institucional
Condenas
Aumento de la litigiosidad de la entidad que tengan como hecho generador las causas priorizadas en la PPDA</t>
  </si>
  <si>
    <t>1. Débil de seguimiento a la implementación de los instrumentos archivísticos
2.  Desconocimiento de los lineamientos y normas aplicables a la gestión documental.
3. Falta de recurso humano para la implementación del proceso de gestión documental
4. Falta y/o inadecuada capacidad de almacenamiento físico y/o electrónico.</t>
  </si>
  <si>
    <t>Posibilidad de pérdida Reputacional por insatisfacción de los grupos  de valor debido a la inadecuada implementación de los instrumentos archivísticos</t>
  </si>
  <si>
    <t>Los responsables designados por el proceso Gestión Documental en sede central y en Direcciones Territoriales realizan seguimiento a la implementación de instrumentos archivísticos asociados al Programa de Gestión Documental - PGD, con el de verificar la adecuada implementación de los mismos .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</si>
  <si>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r>
      <t>1. Gestión inoportuna de los casos en la mesa de servicios del Instituto, teniendo en cuenta los acuerdos de nivel de servicio. 
2. Demoras en la contratación de bienes y servicios tecnológicos.
3. Insuficiente personal (funcionarios y contratistas) para atender las solicitudes de soporte de usuario final.
4. Deficiencia en el seguimiento a los casos radicados en la mesa de servicios de TI.
5.Falta de lineamientos y/o procedimientos sobre la gest</t>
    </r>
    <r>
      <rPr>
        <sz val="10"/>
        <color theme="1"/>
        <rFont val="Arial"/>
        <family val="2"/>
      </rPr>
      <t>i</t>
    </r>
    <r>
      <rPr>
        <sz val="11"/>
        <color theme="1"/>
        <rFont val="Arial"/>
        <family val="2"/>
      </rPr>
      <t xml:space="preserve">ón de servicios de TI
6. Falta de entrenamiento para la clasificación y atención de casos.
7. Fallas en la infraestructura tecnológica.
8. Inoportunidad en la ejecución de mantenimientos preventivos de la infraestructura tecnológica de la entidad.
9. Cambios tecnológicos no controlados o con deficiencias en la implementación
</t>
    </r>
  </si>
  <si>
    <t>1. Poca demanda de personal especializado para la atención de casos de servicios tecnológicos
2. Fallas en la cadena de suministro de servicios tecnológicos
3. Dificultades de asignación presupuestal para la adquisición de bienes y servicios tecnológicos
4. Variaciones en la Tasa Representativa Monetaria</t>
  </si>
  <si>
    <t>Posibilidad de pérdida Reputacional y económica por quejas o reclamos de los grupos de valor debido a la indisponibilidad de los servicios tecnológicos</t>
  </si>
  <si>
    <t>Afectación de la Imagen Institucional
Quejas
Indisponibilidad de los servicios tecnológicos
Reprocesos
Afectación económica</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</si>
  <si>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 de infraestructura tecnológica</t>
  </si>
  <si>
    <t>El Profesional designado de la subdirección de Sistemas de Información,  semestralmente  realiza seguimiento al cronograma de mantenimientos de sistemas y aplicaciones tecnológicas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 de sistemas y aplicaciones tecnológicas</t>
  </si>
  <si>
    <t xml:space="preserve">El profesional designado de la Dirección DTIC, realiza seguimiento a  la gestión de cambios tecnológicos programados con el fin de validar su estado. En caso encontrar cambios tecnológicos no autorizados se informa a la jefatura DTIC para informar al equipo de control de cambios y adelantar las acciones pertinentes.
Periodicidad: Mensual
Evidencia: Informe de Gestión de cambios tecnológicos
</t>
  </si>
  <si>
    <t>Disminución en la calidad de los servicios de la IDE
Reprocesos
Insatisfacción de usuarios internos
Afectación de la imagen del proceso y de la entidad</t>
  </si>
  <si>
    <t>Realizar mesas técnicas conformadas por  abogados, financieros, técnicos catastrales y representante del sindicato, con el fin de verificar el cumplimiento de las condiciones jurídicas, técnicas, económicas y financieras establecidas en la Res. 1040 de 2023. Lo anterior para emitir concepto de viabilidad técnica o de requerimientos al Solicitante.
Soporte: Registros de asistencia, Oficios para el solicitante con los requerimientos  y/o Concepto Técnico
Periodicidad: Variable</t>
  </si>
  <si>
    <t>1. Falta de personal.
2. Falta de ética profesional, pertenencia.
3. Deficiencias en el seguimiento por parte de la sede central y direcciones territoriales.</t>
  </si>
  <si>
    <t>Evidencia: Registros de control de calidad de las diferentes temáticas.</t>
  </si>
  <si>
    <t>1. Falta de ética y valores
2. Débil seguimiento a los controles definos en el proceso</t>
  </si>
  <si>
    <t>1. Alteraciones o inconsistencias en la herramienta tecnológica donde se realiza la solicitud de transporte.
2. Asignación de vehículos sin surtir los trámites respectivos.
3. Falta de ética y valores</t>
  </si>
  <si>
    <r>
      <t xml:space="preserve">
El funcionario o contratista con funciones de reparto y control de procesos en Sede Central, junto con el reparto  de los mismos verifica que el apoderado efectúe si aplica o no,  la  manifestación de conflicto de interés, inhabilidad o incompatibilidad para actuar en el proceso judicial. 
</t>
    </r>
    <r>
      <rPr>
        <b/>
        <sz val="11"/>
        <color theme="1"/>
        <rFont val="Arial"/>
        <family val="2"/>
      </rPr>
      <t xml:space="preserve">Periodicidad: </t>
    </r>
    <r>
      <rPr>
        <sz val="11"/>
        <color theme="1"/>
        <rFont val="Arial"/>
        <family val="2"/>
      </rPr>
      <t xml:space="preserve">Trimestral.
</t>
    </r>
    <r>
      <rPr>
        <b/>
        <sz val="11"/>
        <color theme="1"/>
        <rFont val="Arial"/>
        <family val="2"/>
      </rPr>
      <t>Evidencia:</t>
    </r>
    <r>
      <rPr>
        <sz val="11"/>
        <color theme="1"/>
        <rFont val="Arial"/>
        <family val="2"/>
      </rPr>
      <t xml:space="preserve"> Correo electrónico remitido al apoderado sobre  manifestación de conflicto de interés,  inhabilidad o incompatibilidad, y si aplica, la manifestación hecha por este por correo o memorando</t>
    </r>
  </si>
  <si>
    <t>Los profesionales designados por la Dirección de Tecnologías de la información y las comunicaciones, realizan levantamiento de información para la estructuración de procesos de acuerdo a las necesidades identificadas. Así mismo se realizan mesas de trabajo con el proceso de gestión contractual con el fin de realizar seguimiento a la ejecución de los procesos.
Periodicidad: Variable
Evidencia: Matriz de seguimiento a los procesos contractuales y actas de reunión.</t>
  </si>
  <si>
    <r>
      <t xml:space="preserve">Evidencia: </t>
    </r>
    <r>
      <rPr>
        <sz val="11"/>
        <color theme="1"/>
        <rFont val="Arial"/>
        <family val="2"/>
      </rPr>
      <t>Matriz de seguimiento a los procesos contractuales y registros de asistencia.</t>
    </r>
  </si>
  <si>
    <t>El Jefe de la Oficina de Control Interno (OCI) realiza la verificación del formato No Conflicto de interés,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</si>
  <si>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t xml:space="preserve">
Posibilidad de recibir o solicitar dádiva o beneficio durante la prestación del servicio o en la atención al ciudadano con el fin de obtener un beneficio propio o de un tercero
</t>
  </si>
  <si>
    <t>Evidencia: Reporte de  la revisión de quejas y denuncias</t>
  </si>
  <si>
    <t xml:space="preserve">El Responsable del SGA de la Sede Central (Subdirección Administrativa y Financiera) y las  Direcciones Territoriales realizan seguimiento semestral al cumplimiento del Plan de Trabajo del Subsistema Ambiental con el fin de asegurar la implementación de las actividades contempladas en el plan, verificando que la información incluida y reportada corresponda al avance, conforme a las evidencias suministradas. 
Periodicidad: Semestral
Evidencia Sede Central y Direcciones Territoriales: 1. Informe de Seguimiento al cumplimiento de indicadores y metas del Plan de Trabajo del Subsistema Ambiental.
2. Matriz de seguimiento al desempeño ambiental.
</t>
  </si>
  <si>
    <t>El Responsable designado por la Oficina Asesora de Planeación realiza acompañamiento y seguimiento a los procesos involucrados en la evaluación del FURAG, con el fin de verificar la identificación e implementación de las acciones para incrementar o mantener el Índice de Desempeño Institucional, respecto a las políticas señaladas por MIPG.
En caso de que no se estén cumplimiento los lineamientos del modelo, se deben crear nuevas estrategias para asegurar su implementación.
Periodicidad: Semestral
Evidencias: Archivo de seguimiento a las acciones consolidadas para la implementación del FURAG.</t>
  </si>
  <si>
    <t>Posibilidad de sustanciar decisiones contrarias a derecho por efecto de animadversiones, enemistades, amistades intimas o cualquier otra situacion de carácter  subjetivo, asi como favorecer a los sujetos procesales con decisiones tomadas por efecto de recibimiento o dadivas o favores</t>
  </si>
  <si>
    <r>
      <rPr>
        <b/>
        <sz val="11"/>
        <color theme="1"/>
        <rFont val="Arial"/>
        <family val="2"/>
      </rPr>
      <t xml:space="preserve">Evidencia: </t>
    </r>
    <r>
      <rPr>
        <sz val="11"/>
        <color theme="1"/>
        <rFont val="Arial"/>
        <family val="2"/>
      </rPr>
      <t xml:space="preserve">  Lista de asistencia a mesa de trabajo.</t>
    </r>
  </si>
  <si>
    <t>El Jefe de la Oficina de Control Interno Disciplinario, realiza una o mas mesas de trabajo, semestralmente, con el fin de revisar los procesos disciplinarios activos a cargo de la oficina, verificando el correcto desarrollo de estos. Asi mismo, se busca en esta mesa de trabajo, sensibilizar a los asistentes, para que puedan identificar y evitar asi incurrir en actos de corrupcion.
Periodicidad: Semestral
Evidencia:  Lista de asistencia a mesa de trabajo.</t>
  </si>
  <si>
    <r>
      <t xml:space="preserve">Los funcionarios y contratistas de presupuesto, así como los pagadores de las Direcciones Territoriales, verifican que la fecha de los documentos soporte de los registros presupuestales sea anterior al comienzo de la ejecución del gasto y validan que la información coincida con la respectiva minuta, memorando o comisión.
En caso contrario, se abstienen de realizar el registro, aplicando lo establecido en el procedimiento de elaboración de CDP y RP.
 Periodicidad: Variable
</t>
    </r>
    <r>
      <rPr>
        <b/>
        <sz val="11"/>
        <color theme="1"/>
        <rFont val="Arial"/>
        <family val="2"/>
      </rPr>
      <t xml:space="preserve">
Evidencia: 
Sede Central: </t>
    </r>
    <r>
      <rPr>
        <sz val="11"/>
        <color theme="1"/>
        <rFont val="Arial"/>
        <family val="2"/>
      </rPr>
      <t xml:space="preserve">Una muestra de los documentos soporte de los registros presupuestales (memorandos o minutas de contratos o comisiones)
</t>
    </r>
    <r>
      <rPr>
        <b/>
        <sz val="11"/>
        <color theme="1"/>
        <rFont val="Arial"/>
        <family val="2"/>
      </rPr>
      <t xml:space="preserve">Direcciones Territoriales: </t>
    </r>
    <r>
      <rPr>
        <sz val="11"/>
        <color theme="1"/>
        <rFont val="Arial"/>
        <family val="2"/>
      </rPr>
      <t>1.)  Listado de compromisos del trimestre generado por el sistema SIIF  y  2.)  muestra del 50%  de los RP generados durante el trimestre con sus soportes debidamente firmados, según corresponda (un archivo consolidado con los documentos por cada RP).</t>
    </r>
  </si>
  <si>
    <r>
      <t xml:space="preserve">El Grupo Interno de Gestión contractual de la sede central y el profesional con funciones de abogado en las direcciones territoriales, validará que las dependencias que solicitan adelantar un proceso de contratación para la adquisición del bien, servicio, obra requerido por una modalidad de selección distinta a la contratación directa, hayan adjuntado el estudio de mercado.
</t>
    </r>
    <r>
      <rPr>
        <b/>
        <sz val="11"/>
        <color theme="1"/>
        <rFont val="Arial"/>
        <family val="2"/>
      </rPr>
      <t>Periodicidad:</t>
    </r>
    <r>
      <rPr>
        <sz val="11"/>
        <color theme="1"/>
        <rFont val="Arial"/>
        <family val="2"/>
      </rPr>
      <t xml:space="preserve"> Trimestral
</t>
    </r>
    <r>
      <rPr>
        <b/>
        <sz val="11"/>
        <color theme="1"/>
        <rFont val="Arial"/>
        <family val="2"/>
      </rPr>
      <t>Evidencia:
Sede Central:</t>
    </r>
    <r>
      <rPr>
        <sz val="11"/>
        <color theme="1"/>
        <rFont val="Arial"/>
        <family val="2"/>
      </rPr>
      <t xml:space="preserve"> Estudio de mercado del 5% de los procesos de contratación (distintos a contratación directa) del periodo a reportar.
</t>
    </r>
    <r>
      <rPr>
        <b/>
        <sz val="11"/>
        <color theme="1"/>
        <rFont val="Arial"/>
        <family val="2"/>
      </rPr>
      <t>Direcciones Territoriales:</t>
    </r>
    <r>
      <rPr>
        <sz val="11"/>
        <color theme="1"/>
        <rFont val="Arial"/>
        <family val="2"/>
      </rPr>
      <t xml:space="preserve"> Estudio de mercado del 100% de los procesos de contratación (distintos a contratación directa) del periodo a reportar.</t>
    </r>
  </si>
  <si>
    <t>1. Falta de articulación y resistencia al cambio por parte de los líderes de procesos del instituto. 
2. Inexistencia o desactualización de los instrumentos de política, tales como guías, instructivos, metodologías, lineamientos, entre otros, para la gestión eficiente  y de calidad de la información geoespacial.
3. Desconocimiento de las políticas, estándares y procesos de la información geoespacial por parte de los procesos involucrados.
4. Incompatibilidad entre los diferentes sistemas de información geoespacial utilizados en la IDE.
5. Escasez de personal con habiliades técnicas adecuadas en el manejo de la IDE o falta de capacitación continua del personal existente.</t>
  </si>
  <si>
    <t>Cambios en las directrices por cambios de gobierno
Nuevos lineamientos en temas de estrategía geoespacial</t>
  </si>
  <si>
    <t xml:space="preserve">
Posibilidad de afectación reputacional por pérdida del gobierno sobre los datos debido a la baja calidad en la definición de las políticas, estándares y procesos de la información geoespacial que genera y gestiona el instituto. 
</t>
  </si>
  <si>
    <t xml:space="preserve">El Responsable designado por la Oficina Asesora de Planeación realiza seguimiento a la implementación y mantenimiento del Modelo Integrado de Planeación y Gestión articulado con el Sistema de Gestión integrado  atraves de las herramientas de seguimiento y control definidas, con el fin de verificar el cumplimiento del MIPG-SGI. En caso de que no se estén cumplimiento los requisitos se generan las alertas en  el Comité Institucional de Gestión y Desempeño.
Periodicidad: Semestral
Evidencias: Archivos de seguimiento y control del MIPG articulado con el SGI </t>
  </si>
  <si>
    <t>El Responsable de la Oficina de Relación con el Ciudadano - ORC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semestral
Evidencia: Reporte de  la revisión de quejas y denuncias</t>
  </si>
  <si>
    <t>R44</t>
  </si>
  <si>
    <t>SEGUIMIENTO A RIESGOS I CUATRIMESTRE 2024</t>
  </si>
  <si>
    <t xml:space="preserve">REPORTE DE APLICACIÓN CONTROL DEL PROCESO </t>
  </si>
  <si>
    <t>PERSONA QUIEN REPORTA EL SEGUIMIENTO</t>
  </si>
  <si>
    <t>¿EL RIESGO SE MATERIALIZÓ EN EL PERIODO REPORTADO?</t>
  </si>
  <si>
    <t>menor</t>
  </si>
  <si>
    <t>El jefe de la Oficina de Control  Interno Disciplinario y el funcionario o contratista designado de la Oficina de Control Interno Disciplinario, hacen seguimiento trimestral a los procesos disciplinarios, con el propósito de verificar el cumplimiento de los tiempos normativos establecidos para el adelantamiento de la acción disciplinaria
Periodicidad: Trimestral
Evidencia:  
1. Base de datos Excel con la informacion de los diferentes procesos adelantados por la Oficina de Control Interno Disiplinario.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</si>
</sst>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9" x14ac:knownFonts="1">
    <font>
      <sz val="11"/>
      <color theme="1"/>
      <name val="Calibri"/>
      <family val="2"/>
      <scheme val="minor"/>
    </font>
    <font>
      <sz val="10"/>
      <color theme="1"/>
      <name val="Arial Narrow"/>
      <family val="2"/>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color indexed="81"/>
      <name val="Tahoma"/>
      <family val="2"/>
    </font>
    <font>
      <b/>
      <sz val="10"/>
      <color theme="1"/>
      <name val="Arial Narrow"/>
      <family val="2"/>
    </font>
    <font>
      <b/>
      <sz val="9"/>
      <color indexed="81"/>
      <name val="Tahoma"/>
      <family val="2"/>
    </font>
    <font>
      <b/>
      <sz val="10"/>
      <color rgb="FF000000"/>
      <name val="Arial Narrow"/>
      <family val="2"/>
    </font>
    <font>
      <sz val="9"/>
      <color indexed="81"/>
      <name val="Arial Narrow"/>
      <family val="2"/>
    </font>
    <font>
      <b/>
      <sz val="11"/>
      <color theme="1"/>
      <name val="Arial"/>
      <family val="2"/>
    </font>
    <font>
      <b/>
      <sz val="11"/>
      <name val="Arial"/>
      <family val="2"/>
    </font>
    <font>
      <sz val="11"/>
      <name val="Arial"/>
      <family val="2"/>
    </font>
    <font>
      <b/>
      <sz val="12"/>
      <name val="Arial"/>
      <family val="2"/>
    </font>
    <font>
      <b/>
      <sz val="10"/>
      <name val="Arial"/>
      <family val="2"/>
    </font>
    <font>
      <sz val="11"/>
      <color theme="1"/>
      <name val="Arial"/>
      <family val="2"/>
    </font>
    <font>
      <b/>
      <u/>
      <sz val="11"/>
      <name val="Arial"/>
      <family val="2"/>
    </font>
    <font>
      <b/>
      <sz val="11"/>
      <color theme="1"/>
      <name val="Calibri"/>
      <family val="2"/>
      <scheme val="minor"/>
    </font>
    <font>
      <b/>
      <sz val="16"/>
      <color theme="1"/>
      <name val="Calibri"/>
      <family val="2"/>
      <scheme val="minor"/>
    </font>
    <font>
      <b/>
      <sz val="18"/>
      <color theme="1"/>
      <name val="Calibri"/>
      <family val="2"/>
      <scheme val="minor"/>
    </font>
    <font>
      <b/>
      <sz val="8"/>
      <color theme="1"/>
      <name val="Arial"/>
      <family val="2"/>
    </font>
    <font>
      <sz val="8"/>
      <color theme="1"/>
      <name val="Arial"/>
      <family val="2"/>
    </font>
    <font>
      <sz val="11"/>
      <color indexed="8"/>
      <name val="Calibri"/>
      <family val="2"/>
    </font>
    <font>
      <sz val="11"/>
      <color indexed="8"/>
      <name val="Calibri"/>
      <family val="2"/>
      <scheme val="minor"/>
    </font>
    <font>
      <b/>
      <sz val="10"/>
      <name val="Calibri"/>
      <family val="2"/>
      <scheme val="minor"/>
    </font>
    <font>
      <sz val="9"/>
      <color theme="1"/>
      <name val="Calibri"/>
      <family val="2"/>
      <scheme val="minor"/>
    </font>
    <font>
      <sz val="10"/>
      <color rgb="FF000000"/>
      <name val="Calibri"/>
      <family val="2"/>
      <scheme val="minor"/>
    </font>
    <font>
      <b/>
      <sz val="11"/>
      <color theme="9" tint="-0.249977111117893"/>
      <name val="Arial"/>
      <family val="2"/>
    </font>
    <font>
      <sz val="11"/>
      <color theme="9" tint="-0.249977111117893"/>
      <name val="Arial"/>
      <family val="2"/>
    </font>
    <font>
      <sz val="9"/>
      <color rgb="FF0D0D0D"/>
      <name val="Arial"/>
      <family val="2"/>
    </font>
    <font>
      <b/>
      <sz val="12"/>
      <color indexed="81"/>
      <name val="Tahoma"/>
      <family val="2"/>
    </font>
    <font>
      <sz val="12"/>
      <color indexed="81"/>
      <name val="Tahoma"/>
      <family val="2"/>
    </font>
    <font>
      <sz val="10"/>
      <color rgb="FF0D0D0D"/>
      <name val="Arial Narrow"/>
      <family val="2"/>
    </font>
    <font>
      <sz val="12"/>
      <color rgb="FF0D0D0D"/>
      <name val="Arial Narrow"/>
      <family val="2"/>
    </font>
    <font>
      <strike/>
      <sz val="11"/>
      <color theme="1"/>
      <name val="Arial"/>
      <family val="2"/>
    </font>
    <font>
      <b/>
      <sz val="16"/>
      <color theme="1"/>
      <name val="Arial"/>
      <family val="2"/>
    </font>
    <font>
      <b/>
      <sz val="11"/>
      <color theme="1"/>
      <name val="Onyx"/>
      <family val="5"/>
    </font>
    <font>
      <sz val="10"/>
      <color theme="1"/>
      <name val="Arial"/>
      <family val="2"/>
    </font>
    <font>
      <strike/>
      <sz val="10"/>
      <color theme="1"/>
      <name val="Arial"/>
      <family val="2"/>
    </font>
    <font>
      <b/>
      <sz val="10"/>
      <color theme="1"/>
      <name val="Arial"/>
      <family val="2"/>
    </font>
    <font>
      <sz val="10"/>
      <color theme="4" tint="-0.249977111117893"/>
      <name val="Arial"/>
      <family val="2"/>
    </font>
    <font>
      <b/>
      <sz val="11"/>
      <color theme="1" tint="4.9989318521683403E-2"/>
      <name val="Arial"/>
      <family val="2"/>
    </font>
    <font>
      <sz val="10"/>
      <color theme="1" tint="4.9989318521683403E-2"/>
      <name val="Arial Narrow"/>
      <family val="2"/>
    </font>
    <font>
      <b/>
      <sz val="12"/>
      <color theme="1" tint="4.9989318521683403E-2"/>
      <name val="Arial"/>
      <family val="2"/>
    </font>
    <font>
      <sz val="9"/>
      <color indexed="81"/>
      <name val="Tahoma"/>
      <charset val="1"/>
    </font>
    <font>
      <b/>
      <sz val="9"/>
      <color indexed="81"/>
      <name val="Tahoma"/>
      <charset val="1"/>
    </font>
  </fonts>
  <fills count="30">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lightUp">
        <fgColor theme="0" tint="-0.14996795556505021"/>
        <bgColor theme="4" tint="0.59996337778862885"/>
      </patternFill>
    </fill>
    <fill>
      <patternFill patternType="solid">
        <fgColor rgb="FFEE8036"/>
        <bgColor indexed="64"/>
      </patternFill>
    </fill>
    <fill>
      <patternFill patternType="solid">
        <fgColor theme="2" tint="-0.249977111117893"/>
        <bgColor indexed="64"/>
      </patternFill>
    </fill>
    <fill>
      <patternFill patternType="lightUp">
        <fgColor theme="0" tint="-0.14996795556505021"/>
        <bgColor rgb="FFFFC00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34998626667073579"/>
        <bgColor indexed="64"/>
      </patternFill>
    </fill>
  </fills>
  <borders count="10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indexed="64"/>
      </left>
      <right style="medium">
        <color indexed="64"/>
      </right>
      <top style="dashed">
        <color theme="9" tint="-0.24994659260841701"/>
      </top>
      <bottom/>
      <diagonal/>
    </border>
    <border>
      <left/>
      <right style="dashed">
        <color theme="9" tint="-0.24994659260841701"/>
      </right>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theme="0" tint="-0.24994659260841701"/>
      </left>
      <right style="medium">
        <color theme="0" tint="-0.24994659260841701"/>
      </right>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style="dashed">
        <color theme="9" tint="-0.24994659260841701"/>
      </top>
      <bottom style="medium">
        <color indexed="64"/>
      </bottom>
      <diagonal/>
    </border>
    <border>
      <left/>
      <right style="medium">
        <color indexed="64"/>
      </right>
      <top style="medium">
        <color indexed="64"/>
      </top>
      <bottom style="dashed">
        <color theme="9" tint="-0.24994659260841701"/>
      </bottom>
      <diagonal/>
    </border>
    <border>
      <left style="dashed">
        <color theme="9" tint="-0.24994659260841701"/>
      </left>
      <right style="medium">
        <color indexed="64"/>
      </right>
      <top style="dashed">
        <color theme="9" tint="-0.24994659260841701"/>
      </top>
      <bottom/>
      <diagonal/>
    </border>
    <border>
      <left style="dashed">
        <color theme="9" tint="-0.24994659260841701"/>
      </left>
      <right style="medium">
        <color indexed="64"/>
      </right>
      <top style="dashed">
        <color theme="9" tint="-0.24994659260841701"/>
      </top>
      <bottom style="medium">
        <color indexed="64"/>
      </bottom>
      <diagonal/>
    </border>
    <border>
      <left/>
      <right style="dashed">
        <color theme="9" tint="-0.24994659260841701"/>
      </right>
      <top/>
      <bottom style="medium">
        <color indexed="64"/>
      </bottom>
      <diagonal/>
    </border>
    <border>
      <left style="dashed">
        <color theme="9" tint="-0.24994659260841701"/>
      </left>
      <right style="dashed">
        <color theme="9" tint="-0.24994659260841701"/>
      </right>
      <top/>
      <bottom style="medium">
        <color indexed="64"/>
      </bottom>
      <diagonal/>
    </border>
  </borders>
  <cellStyleXfs count="8">
    <xf numFmtId="0" fontId="0" fillId="0" borderId="0"/>
    <xf numFmtId="9" fontId="15" fillId="0" borderId="0" applyFont="0" applyFill="0" applyBorder="0" applyAlignment="0" applyProtection="0"/>
    <xf numFmtId="0" fontId="47" fillId="0" borderId="0"/>
    <xf numFmtId="0" fontId="48" fillId="0" borderId="0"/>
    <xf numFmtId="0" fontId="6" fillId="0" borderId="0"/>
    <xf numFmtId="0" fontId="36" fillId="0" borderId="0"/>
    <xf numFmtId="0" fontId="47" fillId="0" borderId="0"/>
    <xf numFmtId="0" fontId="75" fillId="0" borderId="0"/>
  </cellStyleXfs>
  <cellXfs count="777">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2" borderId="0" xfId="0" applyFont="1" applyFill="1"/>
    <xf numFmtId="0" fontId="9" fillId="0" borderId="0" xfId="0" applyFont="1" applyAlignment="1">
      <alignment horizontal="center" vertical="center" wrapText="1"/>
    </xf>
    <xf numFmtId="0" fontId="10" fillId="5" borderId="0" xfId="0" applyFont="1" applyFill="1" applyAlignment="1">
      <alignment horizontal="center" vertical="center" wrapText="1" readingOrder="1"/>
    </xf>
    <xf numFmtId="0" fontId="11" fillId="4" borderId="2" xfId="0" applyFont="1" applyFill="1" applyBorder="1" applyAlignment="1">
      <alignment horizontal="center" vertical="center" wrapText="1" readingOrder="1"/>
    </xf>
    <xf numFmtId="0" fontId="11" fillId="0" borderId="2" xfId="0" applyFont="1" applyBorder="1" applyAlignment="1">
      <alignment horizontal="justify" vertical="center" wrapText="1" readingOrder="1"/>
    </xf>
    <xf numFmtId="9" fontId="11" fillId="0" borderId="2" xfId="0" applyNumberFormat="1" applyFont="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readingOrder="1"/>
    </xf>
    <xf numFmtId="0" fontId="16" fillId="0" borderId="0" xfId="0" applyFont="1"/>
    <xf numFmtId="0" fontId="14" fillId="0" borderId="0" xfId="0" applyFont="1"/>
    <xf numFmtId="0" fontId="5" fillId="2" borderId="0" xfId="0" applyFont="1" applyFill="1" applyAlignment="1">
      <alignment horizontal="center"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5"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4" borderId="2" xfId="0" applyFont="1" applyFill="1" applyBorder="1" applyAlignment="1">
      <alignment horizontal="center" vertical="center" wrapText="1" readingOrder="1"/>
    </xf>
    <xf numFmtId="0" fontId="33" fillId="6" borderId="1" xfId="0" applyFont="1" applyFill="1" applyBorder="1" applyAlignment="1">
      <alignment horizontal="center" vertical="center" wrapText="1" readingOrder="1"/>
    </xf>
    <xf numFmtId="0" fontId="33" fillId="3" borderId="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0" borderId="3" xfId="0" applyFont="1" applyFill="1" applyBorder="1" applyAlignment="1" applyProtection="1">
      <alignment horizontal="center" vertical="center" wrapText="1" readingOrder="1"/>
      <protection hidden="1"/>
    </xf>
    <xf numFmtId="0" fontId="20" fillId="10" borderId="10" xfId="0" applyFont="1" applyFill="1" applyBorder="1" applyAlignment="1" applyProtection="1">
      <alignment horizontal="center" vertical="center" wrapText="1" readingOrder="1"/>
      <protection hidden="1"/>
    </xf>
    <xf numFmtId="0" fontId="20" fillId="10" borderId="4"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wrapText="1" readingOrder="1"/>
      <protection hidden="1"/>
    </xf>
    <xf numFmtId="0" fontId="20" fillId="11" borderId="10" xfId="0" applyFont="1" applyFill="1" applyBorder="1" applyAlignment="1" applyProtection="1">
      <alignment horizontal="center" wrapText="1" readingOrder="1"/>
      <protection hidden="1"/>
    </xf>
    <xf numFmtId="0" fontId="20" fillId="11" borderId="4" xfId="0" applyFont="1" applyFill="1" applyBorder="1" applyAlignment="1" applyProtection="1">
      <alignment horizontal="center" wrapText="1" readingOrder="1"/>
      <protection hidden="1"/>
    </xf>
    <xf numFmtId="0" fontId="20" fillId="10" borderId="5" xfId="0" applyFont="1" applyFill="1" applyBorder="1" applyAlignment="1" applyProtection="1">
      <alignment horizontal="center" vertical="center" wrapText="1" readingOrder="1"/>
      <protection hidden="1"/>
    </xf>
    <xf numFmtId="0" fontId="20" fillId="10" borderId="0" xfId="0" applyFont="1" applyFill="1" applyAlignment="1" applyProtection="1">
      <alignment horizontal="center" vertical="center" wrapText="1" readingOrder="1"/>
      <protection hidden="1"/>
    </xf>
    <xf numFmtId="0" fontId="20" fillId="10" borderId="6"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wrapText="1" readingOrder="1"/>
      <protection hidden="1"/>
    </xf>
    <xf numFmtId="0" fontId="20" fillId="11" borderId="0" xfId="0" applyFont="1" applyFill="1" applyAlignment="1" applyProtection="1">
      <alignment horizontal="center" wrapText="1" readingOrder="1"/>
      <protection hidden="1"/>
    </xf>
    <xf numFmtId="0" fontId="20" fillId="11" borderId="6" xfId="0" applyFont="1" applyFill="1" applyBorder="1" applyAlignment="1" applyProtection="1">
      <alignment horizontal="center" wrapText="1" readingOrder="1"/>
      <protection hidden="1"/>
    </xf>
    <xf numFmtId="0" fontId="20" fillId="10" borderId="7" xfId="0" applyFont="1" applyFill="1" applyBorder="1" applyAlignment="1" applyProtection="1">
      <alignment horizontal="center" vertical="center" wrapText="1" readingOrder="1"/>
      <protection hidden="1"/>
    </xf>
    <xf numFmtId="0" fontId="20" fillId="10" borderId="9" xfId="0" applyFont="1" applyFill="1" applyBorder="1" applyAlignment="1" applyProtection="1">
      <alignment horizontal="center" vertical="center" wrapText="1" readingOrder="1"/>
      <protection hidden="1"/>
    </xf>
    <xf numFmtId="0" fontId="20" fillId="10" borderId="8"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wrapText="1" readingOrder="1"/>
      <protection hidden="1"/>
    </xf>
    <xf numFmtId="0" fontId="20" fillId="11" borderId="9" xfId="0" applyFont="1" applyFill="1" applyBorder="1" applyAlignment="1" applyProtection="1">
      <alignment horizontal="center" wrapText="1" readingOrder="1"/>
      <protection hidden="1"/>
    </xf>
    <xf numFmtId="0" fontId="20" fillId="11"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4" borderId="3" xfId="0" applyFont="1" applyFill="1" applyBorder="1" applyAlignment="1" applyProtection="1">
      <alignment horizontal="center" wrapText="1" readingOrder="1"/>
      <protection hidden="1"/>
    </xf>
    <xf numFmtId="0" fontId="20" fillId="4" borderId="10" xfId="0" applyFont="1" applyFill="1" applyBorder="1" applyAlignment="1" applyProtection="1">
      <alignment horizontal="center" wrapText="1" readingOrder="1"/>
      <protection hidden="1"/>
    </xf>
    <xf numFmtId="0" fontId="20" fillId="4" borderId="4" xfId="0" applyFont="1" applyFill="1" applyBorder="1" applyAlignment="1" applyProtection="1">
      <alignment horizontal="center" wrapText="1" readingOrder="1"/>
      <protection hidden="1"/>
    </xf>
    <xf numFmtId="0" fontId="20" fillId="4" borderId="5" xfId="0" applyFont="1" applyFill="1" applyBorder="1" applyAlignment="1" applyProtection="1">
      <alignment horizontal="center" wrapText="1" readingOrder="1"/>
      <protection hidden="1"/>
    </xf>
    <xf numFmtId="0" fontId="20" fillId="4" borderId="0" xfId="0" applyFont="1" applyFill="1" applyAlignment="1" applyProtection="1">
      <alignment horizontal="center" wrapText="1" readingOrder="1"/>
      <protection hidden="1"/>
    </xf>
    <xf numFmtId="0" fontId="20" fillId="4" borderId="6" xfId="0" applyFont="1" applyFill="1" applyBorder="1" applyAlignment="1" applyProtection="1">
      <alignment horizontal="center" wrapText="1" readingOrder="1"/>
      <protection hidden="1"/>
    </xf>
    <xf numFmtId="0" fontId="20" fillId="4" borderId="7" xfId="0" applyFont="1" applyFill="1" applyBorder="1" applyAlignment="1" applyProtection="1">
      <alignment horizontal="center" wrapText="1" readingOrder="1"/>
      <protection hidden="1"/>
    </xf>
    <xf numFmtId="0" fontId="20" fillId="4" borderId="9" xfId="0" applyFont="1" applyFill="1" applyBorder="1" applyAlignment="1" applyProtection="1">
      <alignment horizontal="center" wrapText="1" readingOrder="1"/>
      <protection hidden="1"/>
    </xf>
    <xf numFmtId="0" fontId="20" fillId="4" borderId="8" xfId="0" applyFont="1" applyFill="1" applyBorder="1" applyAlignment="1" applyProtection="1">
      <alignment horizontal="center" wrapText="1" readingOrder="1"/>
      <protection hidden="1"/>
    </xf>
    <xf numFmtId="0" fontId="24" fillId="12" borderId="10" xfId="0" applyFont="1" applyFill="1" applyBorder="1" applyAlignment="1" applyProtection="1">
      <alignment horizontal="center" wrapText="1" readingOrder="1"/>
      <protection hidden="1"/>
    </xf>
    <xf numFmtId="0" fontId="0" fillId="2" borderId="0" xfId="0" applyFill="1"/>
    <xf numFmtId="0" fontId="49" fillId="2" borderId="37" xfId="2" applyFont="1" applyFill="1" applyBorder="1"/>
    <xf numFmtId="0" fontId="49" fillId="2" borderId="38" xfId="2" applyFont="1" applyFill="1" applyBorder="1"/>
    <xf numFmtId="0" fontId="49" fillId="2" borderId="39" xfId="2" applyFont="1" applyFill="1" applyBorder="1"/>
    <xf numFmtId="0" fontId="17" fillId="2" borderId="0" xfId="0" applyFont="1" applyFill="1" applyAlignment="1">
      <alignment vertical="center"/>
    </xf>
    <xf numFmtId="0" fontId="6" fillId="2" borderId="0" xfId="0" applyFont="1" applyFill="1"/>
    <xf numFmtId="0" fontId="36" fillId="2" borderId="0" xfId="0" applyFont="1" applyFill="1"/>
    <xf numFmtId="0" fontId="37" fillId="2" borderId="20" xfId="0" applyFont="1" applyFill="1" applyBorder="1" applyAlignment="1">
      <alignment horizontal="center" vertical="center" wrapText="1" readingOrder="1"/>
    </xf>
    <xf numFmtId="0" fontId="38" fillId="2" borderId="20" xfId="0" applyFont="1" applyFill="1" applyBorder="1" applyAlignment="1">
      <alignment horizontal="justify" vertical="center" wrapText="1" readingOrder="1"/>
    </xf>
    <xf numFmtId="9" fontId="37" fillId="2" borderId="29" xfId="0" applyNumberFormat="1" applyFont="1" applyFill="1" applyBorder="1" applyAlignment="1">
      <alignment horizontal="center" vertical="center" wrapText="1" readingOrder="1"/>
    </xf>
    <xf numFmtId="0" fontId="37" fillId="2" borderId="19" xfId="0" applyFont="1" applyFill="1" applyBorder="1" applyAlignment="1">
      <alignment horizontal="center" vertical="center" wrapText="1" readingOrder="1"/>
    </xf>
    <xf numFmtId="0" fontId="38" fillId="2" borderId="19" xfId="0" applyFont="1" applyFill="1" applyBorder="1" applyAlignment="1">
      <alignment horizontal="justify" vertical="center" wrapText="1" readingOrder="1"/>
    </xf>
    <xf numFmtId="9" fontId="37" fillId="2" borderId="24" xfId="0" applyNumberFormat="1" applyFont="1" applyFill="1" applyBorder="1" applyAlignment="1">
      <alignment horizontal="center" vertical="center" wrapText="1" readingOrder="1"/>
    </xf>
    <xf numFmtId="0" fontId="38" fillId="2" borderId="24" xfId="0" applyFont="1" applyFill="1" applyBorder="1" applyAlignment="1">
      <alignment horizontal="center" vertical="center" wrapText="1" readingOrder="1"/>
    </xf>
    <xf numFmtId="0" fontId="37" fillId="2" borderId="26" xfId="0" applyFont="1" applyFill="1" applyBorder="1" applyAlignment="1">
      <alignment horizontal="center" vertical="center" wrapText="1" readingOrder="1"/>
    </xf>
    <xf numFmtId="0" fontId="38" fillId="2" borderId="26" xfId="0" applyFont="1" applyFill="1" applyBorder="1" applyAlignment="1">
      <alignment horizontal="justify" vertical="center" wrapText="1" readingOrder="1"/>
    </xf>
    <xf numFmtId="0" fontId="38" fillId="2" borderId="27" xfId="0" applyFont="1" applyFill="1" applyBorder="1" applyAlignment="1">
      <alignment horizontal="center" vertical="center" wrapText="1" readingOrder="1"/>
    </xf>
    <xf numFmtId="0" fontId="46" fillId="2" borderId="0" xfId="0" applyFont="1" applyFill="1"/>
    <xf numFmtId="0" fontId="37" fillId="14" borderId="31" xfId="0" applyFont="1" applyFill="1" applyBorder="1" applyAlignment="1">
      <alignment horizontal="center" vertical="center" wrapText="1" readingOrder="1"/>
    </xf>
    <xf numFmtId="0" fontId="37" fillId="14" borderId="32" xfId="0" applyFont="1" applyFill="1" applyBorder="1" applyAlignment="1">
      <alignment horizontal="center" vertical="center" wrapText="1" readingOrder="1"/>
    </xf>
    <xf numFmtId="0" fontId="14" fillId="2" borderId="0" xfId="0" applyFont="1" applyFill="1"/>
    <xf numFmtId="0" fontId="31" fillId="2" borderId="0" xfId="0" applyFont="1" applyFill="1" applyAlignment="1">
      <alignment horizontal="center" vertical="center" wrapText="1"/>
    </xf>
    <xf numFmtId="0" fontId="13" fillId="2" borderId="0" xfId="0" applyFont="1" applyFill="1" applyAlignment="1">
      <alignment horizontal="justify" vertical="center" wrapText="1" readingOrder="1"/>
    </xf>
    <xf numFmtId="0" fontId="5" fillId="2" borderId="0" xfId="0" applyFont="1" applyFill="1" applyAlignment="1">
      <alignment vertical="center"/>
    </xf>
    <xf numFmtId="0" fontId="16" fillId="2" borderId="0" xfId="0" applyFont="1" applyFill="1"/>
    <xf numFmtId="0" fontId="5" fillId="2" borderId="0" xfId="0" applyFont="1" applyFill="1" applyAlignment="1">
      <alignment horizontal="left" vertical="center"/>
    </xf>
    <xf numFmtId="0" fontId="49" fillId="2" borderId="5" xfId="2" applyFont="1" applyFill="1" applyBorder="1"/>
    <xf numFmtId="0" fontId="54" fillId="2" borderId="0" xfId="0" applyFont="1" applyFill="1" applyAlignment="1">
      <alignment horizontal="left" vertical="center" wrapText="1"/>
    </xf>
    <xf numFmtId="0" fontId="55" fillId="2" borderId="0" xfId="0" applyFont="1" applyFill="1" applyAlignment="1">
      <alignment horizontal="left" vertical="top" wrapText="1"/>
    </xf>
    <xf numFmtId="0" fontId="49" fillId="2" borderId="0" xfId="2" applyFont="1" applyFill="1"/>
    <xf numFmtId="0" fontId="49" fillId="2" borderId="6" xfId="2" applyFont="1" applyFill="1" applyBorder="1"/>
    <xf numFmtId="0" fontId="49" fillId="2" borderId="7" xfId="2" applyFont="1" applyFill="1" applyBorder="1"/>
    <xf numFmtId="0" fontId="49" fillId="2" borderId="9" xfId="2" applyFont="1" applyFill="1" applyBorder="1"/>
    <xf numFmtId="0" fontId="49" fillId="2" borderId="8" xfId="2" applyFont="1" applyFill="1" applyBorder="1"/>
    <xf numFmtId="0" fontId="53" fillId="2" borderId="0" xfId="2" applyFont="1" applyFill="1" applyAlignment="1">
      <alignment horizontal="left" vertical="center" wrapText="1"/>
    </xf>
    <xf numFmtId="0" fontId="49" fillId="2" borderId="0" xfId="2" applyFont="1" applyFill="1" applyAlignment="1">
      <alignment horizontal="left" vertical="center" wrapText="1"/>
    </xf>
    <xf numFmtId="0" fontId="49" fillId="2" borderId="0" xfId="2" quotePrefix="1" applyFont="1" applyFill="1" applyAlignment="1">
      <alignment horizontal="left" vertical="center" wrapText="1"/>
    </xf>
    <xf numFmtId="0" fontId="51" fillId="2" borderId="5" xfId="2" quotePrefix="1" applyFont="1" applyFill="1" applyBorder="1" applyAlignment="1">
      <alignment horizontal="left" vertical="top" wrapText="1"/>
    </xf>
    <xf numFmtId="0" fontId="52" fillId="2" borderId="0" xfId="2" quotePrefix="1" applyFont="1" applyFill="1" applyAlignment="1">
      <alignment horizontal="left" vertical="top" wrapText="1"/>
    </xf>
    <xf numFmtId="0" fontId="52" fillId="2" borderId="6" xfId="2" quotePrefix="1" applyFont="1" applyFill="1" applyBorder="1" applyAlignment="1">
      <alignment horizontal="left" vertical="top" wrapText="1"/>
    </xf>
    <xf numFmtId="0" fontId="2" fillId="0" borderId="0" xfId="0" applyFont="1" applyAlignment="1">
      <alignment horizontal="center" vertical="center" wrapText="1"/>
    </xf>
    <xf numFmtId="0" fontId="7" fillId="0" borderId="0" xfId="0" applyFont="1"/>
    <xf numFmtId="0" fontId="0" fillId="0" borderId="0" xfId="0" applyAlignment="1">
      <alignment wrapText="1"/>
    </xf>
    <xf numFmtId="0" fontId="7" fillId="0" borderId="19" xfId="0" applyFont="1" applyBorder="1" applyAlignment="1">
      <alignment horizontal="center"/>
    </xf>
    <xf numFmtId="0" fontId="49" fillId="0" borderId="19" xfId="0" applyFont="1" applyBorder="1" applyAlignment="1">
      <alignment horizontal="center"/>
    </xf>
    <xf numFmtId="0" fontId="7" fillId="0" borderId="0" xfId="0" applyFont="1" applyAlignment="1">
      <alignment wrapText="1"/>
    </xf>
    <xf numFmtId="0" fontId="49"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53" fillId="15" borderId="19"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19" xfId="0" applyFont="1" applyBorder="1" applyAlignment="1">
      <alignment horizontal="center" wrapText="1"/>
    </xf>
    <xf numFmtId="0" fontId="7" fillId="0" borderId="19" xfId="0" applyFont="1" applyBorder="1" applyAlignment="1">
      <alignment horizontal="center" vertical="center" wrapText="1"/>
    </xf>
    <xf numFmtId="0" fontId="61" fillId="15" borderId="19" xfId="0" applyFont="1" applyFill="1" applyBorder="1" applyAlignment="1">
      <alignment horizontal="center" vertical="center" wrapText="1"/>
    </xf>
    <xf numFmtId="0" fontId="59" fillId="15" borderId="19" xfId="0" applyFont="1" applyFill="1" applyBorder="1" applyAlignment="1">
      <alignment horizontal="center" vertical="center"/>
    </xf>
    <xf numFmtId="0" fontId="59" fillId="15" borderId="19" xfId="0" applyFont="1" applyFill="1" applyBorder="1" applyAlignment="1">
      <alignment horizontal="center" vertical="center" wrapText="1"/>
    </xf>
    <xf numFmtId="0" fontId="61" fillId="16" borderId="19" xfId="0" applyFont="1" applyFill="1" applyBorder="1" applyAlignment="1">
      <alignment horizontal="center" vertical="center" wrapText="1"/>
    </xf>
    <xf numFmtId="0" fontId="0" fillId="0" borderId="19" xfId="0" applyBorder="1"/>
    <xf numFmtId="0" fontId="0" fillId="0" borderId="0" xfId="0" applyAlignment="1">
      <alignment horizontal="center"/>
    </xf>
    <xf numFmtId="0" fontId="47" fillId="2" borderId="0" xfId="2" applyFill="1" applyAlignment="1">
      <alignment horizontal="left" vertical="center" wrapText="1"/>
    </xf>
    <xf numFmtId="0" fontId="47" fillId="2" borderId="0" xfId="2" applyFill="1"/>
    <xf numFmtId="0" fontId="2" fillId="0" borderId="0" xfId="0" applyFont="1" applyAlignment="1">
      <alignment horizontal="justify" vertical="center" wrapText="1"/>
    </xf>
    <xf numFmtId="0" fontId="0" fillId="0" borderId="0" xfId="0" applyAlignment="1">
      <alignment horizontal="center" vertical="center"/>
    </xf>
    <xf numFmtId="0" fontId="64" fillId="2" borderId="0" xfId="2" applyFont="1" applyFill="1" applyAlignment="1">
      <alignment vertical="center"/>
    </xf>
    <xf numFmtId="0" fontId="17" fillId="0" borderId="0" xfId="0" applyFont="1" applyAlignment="1">
      <alignment vertical="center"/>
    </xf>
    <xf numFmtId="0" fontId="0" fillId="0" borderId="19" xfId="0" applyBorder="1" applyAlignment="1">
      <alignment horizontal="center" vertical="center"/>
    </xf>
    <xf numFmtId="0" fontId="70" fillId="0" borderId="19" xfId="0" applyFont="1" applyBorder="1" applyAlignment="1">
      <alignment horizontal="center" vertical="center"/>
    </xf>
    <xf numFmtId="0" fontId="0" fillId="14" borderId="19" xfId="0" applyFill="1" applyBorder="1" applyAlignment="1">
      <alignment horizontal="center" vertical="center"/>
    </xf>
    <xf numFmtId="0" fontId="0" fillId="0" borderId="19" xfId="0" applyBorder="1" applyAlignment="1">
      <alignment horizontal="center" vertical="center" wrapText="1"/>
    </xf>
    <xf numFmtId="9" fontId="0" fillId="0" borderId="19" xfId="0" applyNumberFormat="1" applyBorder="1" applyAlignment="1">
      <alignment horizontal="center" vertical="center"/>
    </xf>
    <xf numFmtId="9" fontId="0" fillId="0" borderId="19" xfId="0" applyNumberFormat="1" applyBorder="1" applyAlignment="1">
      <alignment horizontal="center" vertical="center" wrapText="1"/>
    </xf>
    <xf numFmtId="0" fontId="14" fillId="8" borderId="19" xfId="0" applyFont="1" applyFill="1" applyBorder="1" applyAlignment="1">
      <alignment horizontal="center" vertical="center" wrapText="1"/>
    </xf>
    <xf numFmtId="0" fontId="14" fillId="0" borderId="19" xfId="0" applyFont="1" applyBorder="1" applyAlignment="1">
      <alignment horizontal="center" vertical="center"/>
    </xf>
    <xf numFmtId="0" fontId="0" fillId="22" borderId="19" xfId="0" applyFill="1" applyBorder="1" applyAlignment="1">
      <alignment horizontal="center" vertical="center"/>
    </xf>
    <xf numFmtId="9" fontId="0" fillId="8" borderId="19" xfId="0" applyNumberFormat="1" applyFill="1" applyBorder="1" applyAlignment="1">
      <alignment horizontal="center" vertical="center"/>
    </xf>
    <xf numFmtId="0" fontId="0" fillId="8" borderId="0" xfId="0" applyFill="1" applyAlignment="1">
      <alignment horizontal="center" vertical="center"/>
    </xf>
    <xf numFmtId="0" fontId="0" fillId="13" borderId="19" xfId="0" applyFill="1" applyBorder="1" applyAlignment="1">
      <alignment horizontal="center" vertical="center"/>
    </xf>
    <xf numFmtId="0" fontId="0" fillId="7" borderId="19" xfId="0" applyFill="1" applyBorder="1" applyAlignment="1">
      <alignment horizontal="center" vertical="center"/>
    </xf>
    <xf numFmtId="9" fontId="0" fillId="3" borderId="19" xfId="0" applyNumberFormat="1" applyFill="1" applyBorder="1" applyAlignment="1">
      <alignment horizontal="center" vertical="center"/>
    </xf>
    <xf numFmtId="0" fontId="0" fillId="22" borderId="0" xfId="0" applyFill="1" applyAlignment="1">
      <alignment horizontal="center" vertical="center"/>
    </xf>
    <xf numFmtId="0" fontId="0" fillId="3" borderId="19" xfId="0" applyFill="1" applyBorder="1" applyAlignment="1">
      <alignment horizontal="center" vertical="center"/>
    </xf>
    <xf numFmtId="0" fontId="0" fillId="3" borderId="0" xfId="0" applyFill="1" applyAlignment="1">
      <alignment horizontal="center" vertical="center"/>
    </xf>
    <xf numFmtId="9" fontId="0" fillId="14" borderId="19" xfId="0" applyNumberFormat="1" applyFill="1" applyBorder="1" applyAlignment="1">
      <alignment horizontal="center" vertical="center"/>
    </xf>
    <xf numFmtId="0" fontId="0" fillId="14" borderId="0" xfId="0" applyFill="1" applyAlignment="1">
      <alignment horizontal="center" vertical="center"/>
    </xf>
    <xf numFmtId="0" fontId="14" fillId="8" borderId="19" xfId="0" applyFont="1" applyFill="1" applyBorder="1" applyAlignment="1">
      <alignment horizontal="center" vertical="center"/>
    </xf>
    <xf numFmtId="0" fontId="0" fillId="14" borderId="19" xfId="0" applyFill="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9" fontId="0" fillId="0" borderId="0" xfId="0" applyNumberFormat="1" applyAlignment="1">
      <alignment horizontal="center" vertical="center" wrapText="1"/>
    </xf>
    <xf numFmtId="0" fontId="70" fillId="0" borderId="19" xfId="0" applyFont="1" applyBorder="1" applyAlignment="1">
      <alignment horizontal="center"/>
    </xf>
    <xf numFmtId="0" fontId="0" fillId="0" borderId="19" xfId="0" applyBorder="1" applyAlignment="1">
      <alignment horizontal="center"/>
    </xf>
    <xf numFmtId="9" fontId="0" fillId="0" borderId="19" xfId="0" applyNumberFormat="1" applyBorder="1" applyAlignment="1">
      <alignment horizontal="center"/>
    </xf>
    <xf numFmtId="0" fontId="0" fillId="23" borderId="19" xfId="0" applyFill="1" applyBorder="1"/>
    <xf numFmtId="0" fontId="73" fillId="0" borderId="0" xfId="0" applyFont="1" applyAlignment="1">
      <alignment vertical="center"/>
    </xf>
    <xf numFmtId="0" fontId="74" fillId="0" borderId="0" xfId="0" applyFont="1" applyAlignment="1">
      <alignment vertical="center"/>
    </xf>
    <xf numFmtId="0" fontId="0" fillId="0" borderId="19" xfId="0" applyBorder="1" applyAlignment="1">
      <alignment vertical="center" wrapText="1"/>
    </xf>
    <xf numFmtId="0" fontId="76" fillId="0" borderId="0" xfId="7" applyFont="1" applyAlignment="1">
      <alignment horizontal="center" vertical="center" wrapText="1"/>
    </xf>
    <xf numFmtId="0" fontId="77" fillId="24" borderId="65" xfId="0" applyFont="1" applyFill="1" applyBorder="1" applyAlignment="1">
      <alignment vertical="center" wrapText="1"/>
    </xf>
    <xf numFmtId="0" fontId="67" fillId="21" borderId="65" xfId="0" applyFont="1" applyFill="1" applyBorder="1" applyAlignment="1">
      <alignment horizontal="center" vertical="center" wrapText="1"/>
    </xf>
    <xf numFmtId="0" fontId="16" fillId="12" borderId="86" xfId="0" applyFont="1" applyFill="1" applyBorder="1" applyAlignment="1">
      <alignment horizontal="left" vertical="center" wrapText="1"/>
    </xf>
    <xf numFmtId="0" fontId="78" fillId="0" borderId="0" xfId="0" applyFont="1"/>
    <xf numFmtId="0" fontId="0" fillId="12" borderId="0" xfId="0" applyFill="1"/>
    <xf numFmtId="0" fontId="16" fillId="12" borderId="87" xfId="0" applyFont="1" applyFill="1" applyBorder="1" applyAlignment="1">
      <alignment horizontal="left" vertical="center" wrapText="1"/>
    </xf>
    <xf numFmtId="0" fontId="16" fillId="12" borderId="87" xfId="0" applyFont="1" applyFill="1" applyBorder="1"/>
    <xf numFmtId="0" fontId="79" fillId="0" borderId="87" xfId="0" applyFont="1" applyBorder="1" applyAlignment="1">
      <alignment horizontal="left" vertical="center"/>
    </xf>
    <xf numFmtId="0" fontId="79" fillId="0" borderId="88" xfId="0" applyFont="1" applyBorder="1" applyAlignment="1">
      <alignment horizontal="left" vertical="center"/>
    </xf>
    <xf numFmtId="0" fontId="16" fillId="0" borderId="87" xfId="0" applyFont="1" applyBorder="1" applyAlignment="1">
      <alignment horizontal="left" vertical="center" wrapText="1"/>
    </xf>
    <xf numFmtId="0" fontId="65" fillId="2" borderId="0" xfId="2" applyFont="1" applyFill="1" applyAlignment="1">
      <alignment vertical="center"/>
    </xf>
    <xf numFmtId="0" fontId="63" fillId="20" borderId="64" xfId="0" applyFont="1" applyFill="1" applyBorder="1" applyAlignment="1">
      <alignment horizontal="center" vertical="center" wrapText="1"/>
    </xf>
    <xf numFmtId="0" fontId="63" fillId="20" borderId="8" xfId="0" applyFont="1" applyFill="1" applyBorder="1" applyAlignment="1">
      <alignment horizontal="center" vertical="center"/>
    </xf>
    <xf numFmtId="0" fontId="68" fillId="0" borderId="64" xfId="0" applyFont="1" applyBorder="1" applyAlignment="1">
      <alignment horizontal="center" vertical="center" wrapText="1"/>
    </xf>
    <xf numFmtId="0" fontId="68" fillId="0" borderId="8" xfId="0" applyFont="1" applyBorder="1" applyAlignment="1">
      <alignment vertical="center"/>
    </xf>
    <xf numFmtId="0" fontId="68" fillId="0" borderId="0" xfId="0" applyFont="1"/>
    <xf numFmtId="0" fontId="63" fillId="20" borderId="19" xfId="0" applyFont="1" applyFill="1" applyBorder="1" applyAlignment="1">
      <alignment horizontal="center" vertical="center"/>
    </xf>
    <xf numFmtId="0" fontId="68" fillId="0" borderId="19" xfId="0" applyFont="1" applyBorder="1" applyAlignment="1">
      <alignment horizontal="center" vertical="center"/>
    </xf>
    <xf numFmtId="0" fontId="68" fillId="0" borderId="19" xfId="0" applyFont="1" applyBorder="1" applyAlignment="1">
      <alignment horizontal="justify" vertical="center" wrapText="1"/>
    </xf>
    <xf numFmtId="0" fontId="68" fillId="0" borderId="19" xfId="0" applyFont="1" applyBorder="1" applyAlignment="1">
      <alignment horizontal="center" vertical="center" wrapText="1"/>
    </xf>
    <xf numFmtId="0" fontId="64" fillId="2" borderId="19" xfId="2" applyFont="1" applyFill="1" applyBorder="1" applyAlignment="1">
      <alignment horizontal="center" vertical="center"/>
    </xf>
    <xf numFmtId="0" fontId="15" fillId="2" borderId="0" xfId="0" applyFont="1" applyFill="1"/>
    <xf numFmtId="0" fontId="3" fillId="2" borderId="5" xfId="2" applyFont="1" applyFill="1" applyBorder="1"/>
    <xf numFmtId="0" fontId="3" fillId="2" borderId="0" xfId="2" applyFont="1" applyFill="1"/>
    <xf numFmtId="0" fontId="52" fillId="2" borderId="0" xfId="2" applyFont="1" applyFill="1" applyAlignment="1">
      <alignment horizontal="left" vertical="center" wrapText="1"/>
    </xf>
    <xf numFmtId="0" fontId="3" fillId="2" borderId="0" xfId="2" applyFont="1" applyFill="1" applyAlignment="1">
      <alignment horizontal="left" vertical="center" wrapText="1"/>
    </xf>
    <xf numFmtId="0" fontId="3" fillId="2" borderId="0" xfId="2" quotePrefix="1" applyFont="1" applyFill="1" applyAlignment="1">
      <alignment horizontal="left" vertical="center" wrapText="1"/>
    </xf>
    <xf numFmtId="0" fontId="3" fillId="2" borderId="6" xfId="2" applyFont="1" applyFill="1" applyBorder="1"/>
    <xf numFmtId="0" fontId="52"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7" xfId="2" applyFont="1" applyFill="1" applyBorder="1"/>
    <xf numFmtId="0" fontId="3" fillId="2" borderId="9" xfId="2" applyFont="1" applyFill="1" applyBorder="1"/>
    <xf numFmtId="0" fontId="3" fillId="2" borderId="8" xfId="2" applyFont="1" applyFill="1" applyBorder="1"/>
    <xf numFmtId="0" fontId="65" fillId="2" borderId="96" xfId="2" applyFont="1" applyFill="1" applyBorder="1" applyAlignment="1">
      <alignment vertical="center"/>
    </xf>
    <xf numFmtId="0" fontId="65" fillId="2" borderId="95" xfId="2" applyFont="1" applyFill="1" applyBorder="1" applyAlignment="1">
      <alignment vertical="center"/>
    </xf>
    <xf numFmtId="0" fontId="68" fillId="0" borderId="19" xfId="0" applyFont="1" applyBorder="1" applyAlignment="1" applyProtection="1">
      <alignment horizontal="center" vertical="center"/>
      <protection hidden="1"/>
    </xf>
    <xf numFmtId="9" fontId="68" fillId="0" borderId="19" xfId="0" applyNumberFormat="1" applyFont="1" applyBorder="1" applyAlignment="1" applyProtection="1">
      <alignment horizontal="center" vertical="center"/>
      <protection hidden="1"/>
    </xf>
    <xf numFmtId="164" fontId="68" fillId="0" borderId="19" xfId="1" applyNumberFormat="1" applyFont="1" applyBorder="1" applyAlignment="1">
      <alignment horizontal="center" vertical="center"/>
    </xf>
    <xf numFmtId="0" fontId="63" fillId="0" borderId="19" xfId="0" applyFont="1" applyBorder="1" applyAlignment="1" applyProtection="1">
      <alignment horizontal="center" vertical="center" textRotation="90" wrapText="1"/>
      <protection hidden="1"/>
    </xf>
    <xf numFmtId="0" fontId="63" fillId="0" borderId="19" xfId="0" applyFont="1" applyBorder="1" applyAlignment="1" applyProtection="1">
      <alignment horizontal="center" vertical="center" textRotation="90"/>
      <protection hidden="1"/>
    </xf>
    <xf numFmtId="0" fontId="68" fillId="0" borderId="19" xfId="0" applyFont="1" applyBorder="1" applyAlignment="1">
      <alignment vertical="center" wrapText="1"/>
    </xf>
    <xf numFmtId="14" fontId="68" fillId="0" borderId="19" xfId="0" applyNumberFormat="1" applyFont="1" applyBorder="1" applyAlignment="1">
      <alignment horizontal="center" vertical="center"/>
    </xf>
    <xf numFmtId="14" fontId="68" fillId="0" borderId="19" xfId="0" applyNumberFormat="1" applyFont="1" applyBorder="1" applyAlignment="1" applyProtection="1">
      <alignment horizontal="center" vertical="center"/>
      <protection locked="0"/>
    </xf>
    <xf numFmtId="0" fontId="65" fillId="2" borderId="23" xfId="2" applyFont="1" applyFill="1" applyBorder="1"/>
    <xf numFmtId="0" fontId="65" fillId="2" borderId="19" xfId="2" applyFont="1" applyFill="1" applyBorder="1"/>
    <xf numFmtId="0" fontId="65" fillId="2" borderId="24" xfId="2" applyFont="1" applyFill="1" applyBorder="1"/>
    <xf numFmtId="0" fontId="64" fillId="2" borderId="19" xfId="2" applyFont="1" applyFill="1" applyBorder="1" applyAlignment="1">
      <alignment horizontal="center" vertical="center" wrapText="1"/>
    </xf>
    <xf numFmtId="0" fontId="63" fillId="0" borderId="19" xfId="0" applyFont="1" applyBorder="1" applyAlignment="1">
      <alignment horizontal="center" vertical="center" wrapText="1"/>
    </xf>
    <xf numFmtId="0" fontId="65" fillId="2" borderId="19" xfId="2" applyFont="1" applyFill="1" applyBorder="1" applyAlignment="1">
      <alignment horizontal="left" vertical="center" wrapText="1"/>
    </xf>
    <xf numFmtId="0" fontId="65" fillId="2" borderId="5" xfId="2" applyFont="1" applyFill="1" applyBorder="1"/>
    <xf numFmtId="0" fontId="64" fillId="2" borderId="9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9" xfId="0" applyFont="1" applyFill="1" applyBorder="1" applyAlignment="1">
      <alignment vertical="center" wrapText="1"/>
    </xf>
    <xf numFmtId="0" fontId="0" fillId="0" borderId="9" xfId="0" applyBorder="1" applyAlignment="1">
      <alignment horizontal="center"/>
    </xf>
    <xf numFmtId="0" fontId="61" fillId="16" borderId="19" xfId="0" applyFont="1" applyFill="1" applyBorder="1" applyAlignment="1">
      <alignment horizontal="center" vertical="center" wrapText="1"/>
    </xf>
    <xf numFmtId="0" fontId="68" fillId="0" borderId="19" xfId="0" applyFont="1" applyBorder="1" applyAlignment="1" applyProtection="1">
      <alignment horizontal="center" vertical="center" textRotation="90"/>
      <protection locked="0"/>
    </xf>
    <xf numFmtId="0" fontId="59" fillId="15" borderId="75" xfId="0" applyFont="1" applyFill="1" applyBorder="1" applyAlignment="1">
      <alignment horizontal="center" vertical="center"/>
    </xf>
    <xf numFmtId="0" fontId="82" fillId="0" borderId="19" xfId="0" applyFont="1" applyBorder="1" applyAlignment="1">
      <alignment vertical="center" wrapText="1"/>
    </xf>
    <xf numFmtId="0" fontId="4" fillId="2" borderId="19" xfId="0" applyFont="1" applyFill="1" applyBorder="1" applyAlignment="1">
      <alignment horizontal="center" vertical="center" wrapText="1"/>
    </xf>
    <xf numFmtId="0" fontId="4" fillId="0" borderId="0" xfId="0" applyFont="1" applyAlignment="1">
      <alignment horizontal="justify" vertical="center"/>
    </xf>
    <xf numFmtId="0" fontId="7" fillId="0" borderId="0" xfId="0" applyFont="1" applyAlignment="1">
      <alignment horizontal="justify" vertical="center"/>
    </xf>
    <xf numFmtId="0" fontId="85" fillId="0" borderId="0" xfId="0" applyFont="1" applyAlignment="1">
      <alignment horizontal="justify" vertical="center"/>
    </xf>
    <xf numFmtId="0" fontId="59" fillId="0" borderId="0" xfId="0" applyFont="1" applyAlignment="1">
      <alignment horizontal="justify" vertical="center"/>
    </xf>
    <xf numFmtId="0" fontId="35" fillId="0" borderId="0" xfId="0" applyFont="1" applyAlignment="1">
      <alignment horizontal="justify" vertical="center"/>
    </xf>
    <xf numFmtId="0" fontId="38" fillId="0" borderId="0" xfId="0" applyFont="1" applyAlignment="1">
      <alignment horizontal="justify" vertical="center"/>
    </xf>
    <xf numFmtId="0" fontId="86" fillId="0" borderId="0" xfId="0" applyFont="1" applyAlignment="1">
      <alignment horizontal="justify" vertical="center"/>
    </xf>
    <xf numFmtId="0" fontId="4" fillId="0" borderId="0" xfId="0" applyFont="1" applyBorder="1" applyAlignment="1">
      <alignment vertical="center" wrapText="1"/>
    </xf>
    <xf numFmtId="0" fontId="85" fillId="0" borderId="0" xfId="0" applyFont="1" applyBorder="1" applyAlignment="1">
      <alignment vertical="center" wrapText="1"/>
    </xf>
    <xf numFmtId="0" fontId="68" fillId="0" borderId="20" xfId="0" applyFont="1" applyBorder="1" applyAlignment="1">
      <alignment horizontal="center" vertical="center" wrapText="1"/>
    </xf>
    <xf numFmtId="0" fontId="68" fillId="18" borderId="19" xfId="0" applyFont="1" applyFill="1" applyBorder="1" applyAlignment="1">
      <alignment horizontal="center" vertical="center"/>
    </xf>
    <xf numFmtId="0" fontId="68" fillId="18" borderId="19" xfId="0" applyFont="1" applyFill="1" applyBorder="1" applyAlignment="1" applyProtection="1">
      <alignment horizontal="center" vertical="center" wrapText="1"/>
      <protection locked="0"/>
    </xf>
    <xf numFmtId="0" fontId="68" fillId="18" borderId="19" xfId="0" applyFont="1" applyFill="1" applyBorder="1" applyAlignment="1" applyProtection="1">
      <alignment horizontal="center" vertical="center"/>
      <protection locked="0"/>
    </xf>
    <xf numFmtId="14" fontId="68" fillId="18" borderId="19" xfId="0" applyNumberFormat="1" applyFont="1" applyFill="1" applyBorder="1" applyAlignment="1" applyProtection="1">
      <alignment horizontal="center" vertical="center"/>
      <protection locked="0"/>
    </xf>
    <xf numFmtId="0" fontId="68" fillId="18" borderId="20" xfId="0" applyFont="1" applyFill="1" applyBorder="1" applyAlignment="1">
      <alignment horizontal="center" vertical="center"/>
    </xf>
    <xf numFmtId="0" fontId="68" fillId="2" borderId="19" xfId="0" applyFont="1" applyFill="1" applyBorder="1" applyAlignment="1">
      <alignment horizontal="center" vertical="center" wrapText="1"/>
    </xf>
    <xf numFmtId="0" fontId="68" fillId="0" borderId="19" xfId="0" applyFont="1" applyBorder="1" applyAlignment="1">
      <alignment horizontal="center" vertical="center"/>
    </xf>
    <xf numFmtId="0" fontId="68" fillId="2" borderId="19" xfId="0" applyFont="1" applyFill="1" applyBorder="1" applyAlignment="1" applyProtection="1">
      <alignment horizontal="center" vertical="center" wrapText="1"/>
      <protection locked="0"/>
    </xf>
    <xf numFmtId="0" fontId="68" fillId="18" borderId="19" xfId="0" applyNumberFormat="1" applyFont="1" applyFill="1" applyBorder="1" applyAlignment="1" applyProtection="1">
      <alignment horizontal="center" vertical="center"/>
      <protection hidden="1"/>
    </xf>
    <xf numFmtId="0" fontId="68" fillId="0" borderId="19" xfId="0" applyFont="1" applyBorder="1" applyAlignment="1" applyProtection="1">
      <alignment horizontal="justify" vertical="top" wrapText="1"/>
      <protection locked="0"/>
    </xf>
    <xf numFmtId="0" fontId="68" fillId="2" borderId="19" xfId="0" applyFont="1" applyFill="1" applyBorder="1" applyAlignment="1">
      <alignment horizontal="center" vertical="center"/>
    </xf>
    <xf numFmtId="0" fontId="68" fillId="2" borderId="19" xfId="0" applyFont="1" applyFill="1" applyBorder="1" applyAlignment="1" applyProtection="1">
      <alignment horizontal="center" vertical="center"/>
      <protection locked="0"/>
    </xf>
    <xf numFmtId="0" fontId="68" fillId="0" borderId="19" xfId="0" applyFont="1" applyBorder="1" applyAlignment="1" applyProtection="1">
      <alignment horizontal="justify" vertical="top"/>
      <protection locked="0"/>
    </xf>
    <xf numFmtId="0" fontId="2" fillId="0" borderId="0" xfId="0" applyFont="1" applyAlignment="1">
      <alignment vertical="top"/>
    </xf>
    <xf numFmtId="0" fontId="61" fillId="16" borderId="19" xfId="0" applyFont="1" applyFill="1" applyBorder="1" applyAlignment="1">
      <alignment horizontal="center" vertical="center" wrapText="1"/>
    </xf>
    <xf numFmtId="0" fontId="87" fillId="0" borderId="19" xfId="0" applyFont="1" applyBorder="1" applyAlignment="1">
      <alignment horizontal="center" vertical="center"/>
    </xf>
    <xf numFmtId="0" fontId="68" fillId="0" borderId="19" xfId="0" applyFont="1" applyBorder="1" applyAlignment="1" applyProtection="1">
      <alignment horizontal="center" vertical="center" wrapText="1"/>
      <protection locked="0"/>
    </xf>
    <xf numFmtId="0" fontId="68" fillId="0" borderId="19" xfId="0" applyFont="1" applyBorder="1" applyAlignment="1" applyProtection="1">
      <alignment horizontal="center" vertical="center"/>
      <protection locked="0"/>
    </xf>
    <xf numFmtId="0" fontId="68" fillId="0" borderId="19" xfId="0" applyFont="1" applyBorder="1" applyAlignment="1" applyProtection="1">
      <alignment vertical="center" wrapText="1"/>
      <protection locked="0"/>
    </xf>
    <xf numFmtId="0" fontId="68" fillId="0" borderId="19" xfId="0" applyFont="1" applyBorder="1" applyAlignment="1" applyProtection="1">
      <alignment horizontal="justify" vertical="center" wrapText="1"/>
      <protection locked="0"/>
    </xf>
    <xf numFmtId="0" fontId="1" fillId="0" borderId="0" xfId="0" applyFont="1"/>
    <xf numFmtId="0" fontId="68" fillId="18" borderId="19" xfId="0" applyFont="1" applyFill="1" applyBorder="1" applyAlignment="1" applyProtection="1">
      <alignment horizontal="justify" vertical="center" wrapText="1"/>
      <protection locked="0"/>
    </xf>
    <xf numFmtId="0" fontId="1" fillId="0" borderId="0" xfId="0" applyFont="1" applyFill="1"/>
    <xf numFmtId="0" fontId="1" fillId="18" borderId="0" xfId="0" applyFont="1" applyFill="1"/>
    <xf numFmtId="0" fontId="68" fillId="0" borderId="19" xfId="0" applyFont="1" applyFill="1" applyBorder="1" applyAlignment="1" applyProtection="1">
      <alignment horizontal="justify" vertical="center" wrapText="1"/>
      <protection locked="0"/>
    </xf>
    <xf numFmtId="14" fontId="68" fillId="0" borderId="19" xfId="0" applyNumberFormat="1" applyFont="1" applyBorder="1" applyAlignment="1" applyProtection="1">
      <alignment horizontal="center" vertical="center" wrapText="1"/>
      <protection locked="0"/>
    </xf>
    <xf numFmtId="14" fontId="68" fillId="18" borderId="19" xfId="0" applyNumberFormat="1" applyFont="1" applyFill="1" applyBorder="1" applyAlignment="1" applyProtection="1">
      <alignment horizontal="center" vertical="center" wrapText="1"/>
      <protection locked="0"/>
    </xf>
    <xf numFmtId="0" fontId="68" fillId="18" borderId="19" xfId="0" applyFont="1" applyFill="1" applyBorder="1" applyAlignment="1" applyProtection="1">
      <alignment horizontal="left" vertical="center" wrapText="1"/>
      <protection locked="0"/>
    </xf>
    <xf numFmtId="14" fontId="68" fillId="0" borderId="2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vertical="top"/>
    </xf>
    <xf numFmtId="0" fontId="68" fillId="18" borderId="20" xfId="0" applyFont="1" applyFill="1" applyBorder="1" applyAlignment="1" applyProtection="1">
      <alignment horizontal="justify" vertical="center" wrapText="1"/>
      <protection locked="0"/>
    </xf>
    <xf numFmtId="0" fontId="1" fillId="2" borderId="19" xfId="0" applyFont="1" applyFill="1" applyBorder="1"/>
    <xf numFmtId="0" fontId="1" fillId="2" borderId="0" xfId="0" applyFont="1" applyFill="1"/>
    <xf numFmtId="0" fontId="63" fillId="2" borderId="19" xfId="0" applyFont="1" applyFill="1" applyBorder="1" applyAlignment="1" applyProtection="1">
      <alignment horizontal="center" vertical="center" wrapText="1"/>
      <protection locked="0"/>
    </xf>
    <xf numFmtId="0" fontId="68" fillId="0" borderId="19" xfId="0" applyFont="1" applyBorder="1" applyAlignment="1" applyProtection="1">
      <alignment horizontal="left" vertical="center" wrapText="1"/>
      <protection locked="0"/>
    </xf>
    <xf numFmtId="0" fontId="68" fillId="0" borderId="19" xfId="0" applyFont="1" applyBorder="1" applyAlignment="1" applyProtection="1">
      <alignment horizontal="center" vertical="center" wrapText="1"/>
      <protection locked="0"/>
    </xf>
    <xf numFmtId="0" fontId="68" fillId="0" borderId="19" xfId="0" applyFont="1" applyBorder="1" applyAlignment="1" applyProtection="1">
      <alignment vertical="center" wrapText="1"/>
      <protection locked="0"/>
    </xf>
    <xf numFmtId="0" fontId="68" fillId="0" borderId="19" xfId="0" applyFont="1" applyBorder="1" applyAlignment="1" applyProtection="1">
      <alignment horizontal="center" vertical="center"/>
      <protection locked="0"/>
    </xf>
    <xf numFmtId="0" fontId="87" fillId="0" borderId="19" xfId="0" applyFont="1" applyBorder="1" applyAlignment="1" applyProtection="1">
      <alignment vertical="center" wrapText="1"/>
      <protection locked="0"/>
    </xf>
    <xf numFmtId="0" fontId="87" fillId="0" borderId="19" xfId="0" applyFont="1" applyBorder="1" applyAlignment="1" applyProtection="1">
      <alignment horizontal="center" vertical="center" wrapText="1"/>
      <protection locked="0"/>
    </xf>
    <xf numFmtId="0" fontId="87" fillId="0" borderId="19" xfId="0" applyFont="1" applyBorder="1" applyAlignment="1" applyProtection="1">
      <alignment horizontal="center" vertical="center"/>
      <protection locked="0"/>
    </xf>
    <xf numFmtId="0" fontId="68" fillId="0" borderId="19" xfId="0" applyFont="1" applyFill="1" applyBorder="1" applyAlignment="1" applyProtection="1">
      <alignment horizontal="center" vertical="center"/>
      <protection locked="0"/>
    </xf>
    <xf numFmtId="0" fontId="68" fillId="0" borderId="19" xfId="0" applyFont="1" applyBorder="1" applyAlignment="1" applyProtection="1">
      <alignment horizontal="center" vertical="center" wrapText="1"/>
      <protection locked="0"/>
    </xf>
    <xf numFmtId="0" fontId="68" fillId="0" borderId="19" xfId="0" applyFont="1" applyBorder="1" applyAlignment="1" applyProtection="1">
      <alignment horizontal="center" vertical="center"/>
      <protection locked="0"/>
    </xf>
    <xf numFmtId="9" fontId="68" fillId="0" borderId="19" xfId="0" applyNumberFormat="1" applyFont="1" applyBorder="1" applyAlignment="1" applyProtection="1">
      <alignment horizontal="center" vertical="center" wrapText="1"/>
      <protection hidden="1"/>
    </xf>
    <xf numFmtId="0" fontId="63" fillId="26" borderId="67" xfId="6" applyFont="1" applyFill="1" applyBorder="1" applyAlignment="1">
      <alignment horizontal="center" vertical="center" wrapText="1"/>
    </xf>
    <xf numFmtId="0" fontId="63" fillId="26" borderId="66" xfId="6" applyFont="1" applyFill="1" applyBorder="1" applyAlignment="1">
      <alignment horizontal="center" vertical="center" wrapText="1"/>
    </xf>
    <xf numFmtId="0" fontId="63" fillId="26" borderId="64" xfId="6" applyFont="1" applyFill="1" applyBorder="1" applyAlignment="1">
      <alignment horizontal="center" vertical="center" wrapText="1"/>
    </xf>
    <xf numFmtId="0" fontId="87" fillId="18" borderId="19" xfId="0" applyFont="1" applyFill="1" applyBorder="1" applyAlignment="1" applyProtection="1">
      <alignment horizontal="center" vertical="center" wrapText="1"/>
      <protection locked="0"/>
    </xf>
    <xf numFmtId="0" fontId="68" fillId="0" borderId="0" xfId="0" applyFont="1" applyFill="1"/>
    <xf numFmtId="0" fontId="63" fillId="0" borderId="0" xfId="0" applyFont="1" applyFill="1" applyAlignment="1">
      <alignment horizontal="center" vertical="center"/>
    </xf>
    <xf numFmtId="0" fontId="63" fillId="2" borderId="0" xfId="0" applyFont="1" applyFill="1" applyAlignment="1">
      <alignment horizontal="center" vertical="center"/>
    </xf>
    <xf numFmtId="0" fontId="90" fillId="0" borderId="0" xfId="0" applyFont="1" applyFill="1"/>
    <xf numFmtId="0" fontId="90" fillId="18" borderId="0" xfId="0" applyFont="1" applyFill="1"/>
    <xf numFmtId="0" fontId="90" fillId="0" borderId="0" xfId="0" applyFont="1"/>
    <xf numFmtId="0" fontId="87" fillId="18" borderId="19" xfId="0" applyFont="1" applyFill="1" applyBorder="1" applyAlignment="1" applyProtection="1">
      <alignment horizontal="justify" vertical="center" wrapText="1"/>
      <protection locked="0"/>
    </xf>
    <xf numFmtId="14" fontId="87" fillId="18" borderId="19" xfId="0" applyNumberFormat="1" applyFont="1" applyFill="1" applyBorder="1" applyAlignment="1" applyProtection="1">
      <alignment horizontal="center" vertical="center" wrapText="1"/>
      <protection locked="0"/>
    </xf>
    <xf numFmtId="0" fontId="87" fillId="18" borderId="19" xfId="0" applyFont="1" applyFill="1" applyBorder="1" applyAlignment="1" applyProtection="1">
      <alignment horizontal="left" vertical="center" wrapText="1"/>
      <protection locked="0"/>
    </xf>
    <xf numFmtId="0" fontId="91" fillId="0" borderId="0" xfId="0" applyFont="1" applyFill="1"/>
    <xf numFmtId="0" fontId="91" fillId="18" borderId="0" xfId="0" applyFont="1" applyFill="1"/>
    <xf numFmtId="14" fontId="87" fillId="0" borderId="19" xfId="0" applyNumberFormat="1" applyFont="1" applyBorder="1" applyAlignment="1" applyProtection="1">
      <alignment horizontal="center" vertical="center" wrapText="1"/>
      <protection locked="0"/>
    </xf>
    <xf numFmtId="0" fontId="91" fillId="0" borderId="0" xfId="0" applyFont="1"/>
    <xf numFmtId="0" fontId="87" fillId="0" borderId="19" xfId="0" applyFont="1" applyBorder="1" applyAlignment="1">
      <alignment vertical="center" wrapText="1"/>
    </xf>
    <xf numFmtId="14" fontId="87" fillId="0" borderId="19" xfId="0" applyNumberFormat="1" applyFont="1" applyBorder="1" applyAlignment="1" applyProtection="1">
      <alignment horizontal="center" vertical="center"/>
      <protection locked="0"/>
    </xf>
    <xf numFmtId="0" fontId="90" fillId="0" borderId="0" xfId="0" applyFont="1" applyFill="1" applyAlignment="1">
      <alignment vertical="center" wrapText="1"/>
    </xf>
    <xf numFmtId="0" fontId="90" fillId="0" borderId="0" xfId="0" applyFont="1" applyFill="1" applyAlignment="1">
      <alignment horizontal="center" vertical="center"/>
    </xf>
    <xf numFmtId="0" fontId="92" fillId="0" borderId="0" xfId="0" applyFont="1" applyAlignment="1">
      <alignment horizontal="center" vertical="center"/>
    </xf>
    <xf numFmtId="0" fontId="90" fillId="0" borderId="0" xfId="0" applyFont="1" applyAlignment="1">
      <alignment horizontal="center" vertical="center" wrapText="1"/>
    </xf>
    <xf numFmtId="0" fontId="90" fillId="0" borderId="0" xfId="0" applyFont="1" applyAlignment="1">
      <alignment horizontal="center" vertical="center"/>
    </xf>
    <xf numFmtId="0" fontId="93" fillId="0" borderId="0" xfId="0" applyFont="1" applyAlignment="1">
      <alignment horizontal="center" vertical="center" wrapText="1"/>
    </xf>
    <xf numFmtId="0" fontId="90" fillId="0" borderId="0" xfId="0" applyFont="1" applyAlignment="1">
      <alignment vertical="center" wrapText="1"/>
    </xf>
    <xf numFmtId="0" fontId="90" fillId="0" borderId="0" xfId="0" applyFont="1" applyAlignment="1">
      <alignment horizontal="center"/>
    </xf>
    <xf numFmtId="0" fontId="90" fillId="0" borderId="0" xfId="0" applyFont="1" applyAlignment="1">
      <alignment vertical="top"/>
    </xf>
    <xf numFmtId="0" fontId="90" fillId="0" borderId="0" xfId="0" applyFont="1" applyAlignment="1">
      <alignment vertical="center"/>
    </xf>
    <xf numFmtId="0" fontId="63" fillId="0" borderId="0" xfId="0" applyFont="1" applyAlignment="1">
      <alignment horizontal="center" vertical="center"/>
    </xf>
    <xf numFmtId="0" fontId="68" fillId="0" borderId="0" xfId="0" applyFont="1" applyAlignment="1">
      <alignment horizontal="center" vertical="center" wrapText="1"/>
    </xf>
    <xf numFmtId="0" fontId="68" fillId="0" borderId="0" xfId="0" applyFont="1" applyAlignment="1">
      <alignment horizontal="center" vertical="center"/>
    </xf>
    <xf numFmtId="0" fontId="68" fillId="0" borderId="0" xfId="0" applyFont="1" applyAlignment="1">
      <alignment vertical="center"/>
    </xf>
    <xf numFmtId="0" fontId="68" fillId="0" borderId="0" xfId="0" applyFont="1" applyAlignment="1">
      <alignment horizontal="center"/>
    </xf>
    <xf numFmtId="0" fontId="68" fillId="0" borderId="0" xfId="0" applyFont="1" applyAlignment="1">
      <alignment vertical="top"/>
    </xf>
    <xf numFmtId="0" fontId="68" fillId="2" borderId="19" xfId="0" applyFont="1" applyFill="1" applyBorder="1" applyAlignment="1" applyProtection="1">
      <alignment horizontal="justify" vertical="top" wrapText="1"/>
      <protection locked="0"/>
    </xf>
    <xf numFmtId="0" fontId="68" fillId="2" borderId="19" xfId="0" applyFont="1" applyFill="1" applyBorder="1" applyAlignment="1" applyProtection="1">
      <alignment horizontal="center" vertical="center"/>
      <protection hidden="1"/>
    </xf>
    <xf numFmtId="0" fontId="68" fillId="2" borderId="19" xfId="0" applyFont="1" applyFill="1" applyBorder="1" applyAlignment="1" applyProtection="1">
      <alignment horizontal="center" vertical="center" textRotation="90"/>
      <protection locked="0"/>
    </xf>
    <xf numFmtId="9" fontId="68" fillId="2" borderId="19" xfId="0" applyNumberFormat="1" applyFont="1" applyFill="1" applyBorder="1" applyAlignment="1" applyProtection="1">
      <alignment horizontal="center" vertical="center"/>
      <protection hidden="1"/>
    </xf>
    <xf numFmtId="164" fontId="68" fillId="2" borderId="19" xfId="1" applyNumberFormat="1" applyFont="1" applyFill="1" applyBorder="1" applyAlignment="1">
      <alignment horizontal="center" vertical="center"/>
    </xf>
    <xf numFmtId="0" fontId="63" fillId="2" borderId="19" xfId="0" applyFont="1" applyFill="1" applyBorder="1" applyAlignment="1" applyProtection="1">
      <alignment horizontal="center" vertical="center" textRotation="90" wrapText="1"/>
      <protection hidden="1"/>
    </xf>
    <xf numFmtId="9" fontId="68" fillId="2" borderId="19" xfId="0" applyNumberFormat="1" applyFont="1" applyFill="1" applyBorder="1" applyAlignment="1" applyProtection="1">
      <alignment horizontal="center" vertical="center" wrapText="1"/>
      <protection hidden="1"/>
    </xf>
    <xf numFmtId="0" fontId="63" fillId="2" borderId="19" xfId="0" applyFont="1" applyFill="1" applyBorder="1" applyAlignment="1" applyProtection="1">
      <alignment horizontal="center" vertical="center" textRotation="90"/>
      <protection hidden="1"/>
    </xf>
    <xf numFmtId="0" fontId="68" fillId="2" borderId="19" xfId="0" applyNumberFormat="1" applyFont="1" applyFill="1" applyBorder="1" applyAlignment="1" applyProtection="1">
      <alignment horizontal="center" vertical="center"/>
      <protection hidden="1"/>
    </xf>
    <xf numFmtId="0" fontId="68" fillId="2" borderId="19" xfId="0" applyFont="1" applyFill="1" applyBorder="1" applyAlignment="1" applyProtection="1">
      <alignment horizontal="justify" vertical="top"/>
      <protection locked="0"/>
    </xf>
    <xf numFmtId="0" fontId="68" fillId="2" borderId="19" xfId="0" applyFont="1" applyFill="1" applyBorder="1" applyAlignment="1" applyProtection="1">
      <alignment horizontal="left" vertical="top" wrapText="1"/>
      <protection locked="0"/>
    </xf>
    <xf numFmtId="0" fontId="90" fillId="2" borderId="19" xfId="0" applyFont="1" applyFill="1" applyBorder="1"/>
    <xf numFmtId="9" fontId="68" fillId="2" borderId="19" xfId="1" applyFont="1" applyFill="1" applyBorder="1" applyAlignment="1">
      <alignment horizontal="center" vertical="center"/>
    </xf>
    <xf numFmtId="0" fontId="90" fillId="2" borderId="19" xfId="0" applyFont="1" applyFill="1" applyBorder="1" applyAlignment="1">
      <alignment horizontal="center" vertical="center"/>
    </xf>
    <xf numFmtId="0" fontId="95" fillId="0" borderId="0" xfId="0" applyFont="1" applyAlignment="1">
      <alignment horizontal="center" vertical="center"/>
    </xf>
    <xf numFmtId="0" fontId="68" fillId="2" borderId="19" xfId="0" applyFont="1" applyFill="1" applyBorder="1" applyAlignment="1">
      <alignment vertical="top" wrapText="1"/>
    </xf>
    <xf numFmtId="0" fontId="68" fillId="2" borderId="19" xfId="0" applyFont="1" applyFill="1" applyBorder="1" applyAlignment="1" applyProtection="1">
      <alignment horizontal="justify" vertical="center" wrapText="1"/>
      <protection locked="0"/>
    </xf>
    <xf numFmtId="0" fontId="68" fillId="2" borderId="20" xfId="0" applyFont="1" applyFill="1" applyBorder="1" applyAlignment="1">
      <alignment horizontal="center" vertical="center"/>
    </xf>
    <xf numFmtId="0" fontId="68" fillId="2" borderId="20" xfId="0" applyFont="1" applyFill="1" applyBorder="1" applyAlignment="1" applyProtection="1">
      <alignment horizontal="justify" vertical="top" wrapText="1"/>
      <protection locked="0"/>
    </xf>
    <xf numFmtId="0" fontId="68" fillId="2" borderId="20" xfId="0" applyFont="1" applyFill="1" applyBorder="1" applyAlignment="1" applyProtection="1">
      <alignment horizontal="center" vertical="center" wrapText="1"/>
      <protection locked="0"/>
    </xf>
    <xf numFmtId="0" fontId="68" fillId="2" borderId="20" xfId="0" applyFont="1" applyFill="1" applyBorder="1" applyAlignment="1" applyProtection="1">
      <alignment horizontal="center" vertical="center"/>
      <protection hidden="1"/>
    </xf>
    <xf numFmtId="0" fontId="68" fillId="2" borderId="20" xfId="0" applyFont="1" applyFill="1" applyBorder="1" applyAlignment="1" applyProtection="1">
      <alignment horizontal="center" vertical="center" textRotation="90"/>
      <protection locked="0"/>
    </xf>
    <xf numFmtId="9" fontId="68" fillId="2" borderId="20" xfId="0" applyNumberFormat="1" applyFont="1" applyFill="1" applyBorder="1" applyAlignment="1" applyProtection="1">
      <alignment horizontal="center" vertical="center"/>
      <protection hidden="1"/>
    </xf>
    <xf numFmtId="164" fontId="68" fillId="2" borderId="20" xfId="1" applyNumberFormat="1" applyFont="1" applyFill="1" applyBorder="1" applyAlignment="1">
      <alignment horizontal="center" vertical="center"/>
    </xf>
    <xf numFmtId="0" fontId="63" fillId="2" borderId="20" xfId="0" applyFont="1" applyFill="1" applyBorder="1" applyAlignment="1" applyProtection="1">
      <alignment horizontal="center" vertical="center" textRotation="90" wrapText="1"/>
      <protection hidden="1"/>
    </xf>
    <xf numFmtId="0" fontId="63" fillId="2" borderId="20" xfId="0" applyFont="1" applyFill="1" applyBorder="1" applyAlignment="1" applyProtection="1">
      <alignment horizontal="center" vertical="center" textRotation="90"/>
      <protection hidden="1"/>
    </xf>
    <xf numFmtId="9" fontId="68" fillId="2" borderId="20" xfId="0" applyNumberFormat="1" applyFont="1" applyFill="1" applyBorder="1" applyAlignment="1" applyProtection="1">
      <alignment horizontal="center" vertical="center" wrapText="1"/>
      <protection hidden="1"/>
    </xf>
    <xf numFmtId="0" fontId="68" fillId="2" borderId="20" xfId="0" applyNumberFormat="1" applyFont="1" applyFill="1" applyBorder="1" applyAlignment="1" applyProtection="1">
      <alignment horizontal="center" vertical="center"/>
      <protection hidden="1"/>
    </xf>
    <xf numFmtId="0" fontId="65" fillId="0" borderId="19" xfId="0" applyFont="1" applyBorder="1" applyAlignment="1" applyProtection="1">
      <alignment horizontal="justify" vertical="top" wrapText="1"/>
      <protection locked="0"/>
    </xf>
    <xf numFmtId="0" fontId="68" fillId="0" borderId="19" xfId="0" applyFont="1" applyFill="1" applyBorder="1" applyAlignment="1" applyProtection="1">
      <alignment horizontal="center" vertical="center" wrapText="1"/>
      <protection locked="0"/>
    </xf>
    <xf numFmtId="0" fontId="68" fillId="0" borderId="19" xfId="0" applyFont="1" applyFill="1" applyBorder="1" applyAlignment="1" applyProtection="1">
      <alignment horizontal="justify" vertical="top" wrapText="1"/>
      <protection locked="0"/>
    </xf>
    <xf numFmtId="0" fontId="68" fillId="0" borderId="19" xfId="0" applyFont="1" applyFill="1" applyBorder="1" applyAlignment="1">
      <alignment horizontal="center" vertical="center"/>
    </xf>
    <xf numFmtId="0" fontId="68" fillId="0" borderId="19" xfId="0" applyFont="1" applyFill="1" applyBorder="1" applyAlignment="1" applyProtection="1">
      <alignment horizontal="justify" vertical="top"/>
      <protection locked="0"/>
    </xf>
    <xf numFmtId="0" fontId="1" fillId="0" borderId="0" xfId="0" applyFont="1" applyFill="1" applyAlignment="1">
      <alignment horizontal="center" vertical="center" wrapText="1"/>
    </xf>
    <xf numFmtId="0" fontId="68" fillId="0" borderId="19" xfId="0" applyFont="1" applyFill="1" applyBorder="1" applyAlignment="1" applyProtection="1">
      <alignment vertical="center" wrapText="1"/>
      <protection locked="0"/>
    </xf>
    <xf numFmtId="0" fontId="68" fillId="0" borderId="19" xfId="0" applyFont="1" applyFill="1" applyBorder="1" applyAlignment="1" applyProtection="1">
      <alignment horizontal="center" vertical="center" wrapText="1"/>
      <protection locked="0"/>
    </xf>
    <xf numFmtId="0" fontId="68" fillId="0" borderId="19" xfId="0" applyFont="1" applyFill="1" applyBorder="1" applyAlignment="1" applyProtection="1">
      <alignment horizontal="center" vertical="center"/>
      <protection locked="0"/>
    </xf>
    <xf numFmtId="0" fontId="68" fillId="0" borderId="20" xfId="0" applyFont="1" applyFill="1" applyBorder="1" applyAlignment="1" applyProtection="1">
      <alignment horizontal="justify" vertical="center" wrapText="1"/>
      <protection locked="0"/>
    </xf>
    <xf numFmtId="0" fontId="68" fillId="0" borderId="20" xfId="0" applyFont="1" applyFill="1" applyBorder="1" applyAlignment="1" applyProtection="1">
      <alignment horizontal="center" vertical="center" wrapText="1"/>
      <protection locked="0"/>
    </xf>
    <xf numFmtId="0" fontId="68" fillId="0" borderId="19" xfId="0" applyFont="1" applyFill="1" applyBorder="1" applyAlignment="1">
      <alignment vertical="center" wrapText="1"/>
    </xf>
    <xf numFmtId="0" fontId="50" fillId="13" borderId="34" xfId="2" applyFont="1" applyFill="1" applyBorder="1" applyAlignment="1">
      <alignment horizontal="center" vertical="center" wrapText="1"/>
    </xf>
    <xf numFmtId="0" fontId="50" fillId="13" borderId="35" xfId="2" applyFont="1" applyFill="1" applyBorder="1" applyAlignment="1">
      <alignment horizontal="center" vertical="center" wrapText="1"/>
    </xf>
    <xf numFmtId="0" fontId="50" fillId="13" borderId="36" xfId="2" applyFont="1" applyFill="1" applyBorder="1" applyAlignment="1">
      <alignment horizontal="center" vertical="center" wrapText="1"/>
    </xf>
    <xf numFmtId="0" fontId="49" fillId="0" borderId="5"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6" xfId="2" quotePrefix="1" applyFont="1" applyBorder="1" applyAlignment="1">
      <alignment horizontal="left" vertical="center" wrapText="1"/>
    </xf>
    <xf numFmtId="0" fontId="49" fillId="0" borderId="54" xfId="2" quotePrefix="1" applyFont="1" applyBorder="1" applyAlignment="1">
      <alignment horizontal="left" vertical="center" wrapText="1"/>
    </xf>
    <xf numFmtId="0" fontId="49" fillId="0" borderId="55" xfId="2" quotePrefix="1" applyFont="1" applyBorder="1" applyAlignment="1">
      <alignment horizontal="left" vertical="center" wrapText="1"/>
    </xf>
    <xf numFmtId="0" fontId="49" fillId="0" borderId="56" xfId="2" quotePrefix="1" applyFont="1" applyBorder="1" applyAlignment="1">
      <alignment horizontal="left" vertical="center" wrapText="1"/>
    </xf>
    <xf numFmtId="0" fontId="51" fillId="2" borderId="37" xfId="2" quotePrefix="1" applyFont="1" applyFill="1" applyBorder="1" applyAlignment="1">
      <alignment horizontal="left" vertical="top" wrapText="1"/>
    </xf>
    <xf numFmtId="0" fontId="52" fillId="2" borderId="38" xfId="2" quotePrefix="1" applyFont="1" applyFill="1" applyBorder="1" applyAlignment="1">
      <alignment horizontal="left" vertical="top" wrapText="1"/>
    </xf>
    <xf numFmtId="0" fontId="52" fillId="2" borderId="39" xfId="2" quotePrefix="1" applyFont="1" applyFill="1" applyBorder="1" applyAlignment="1">
      <alignment horizontal="left" vertical="top" wrapText="1"/>
    </xf>
    <xf numFmtId="0" fontId="49" fillId="0" borderId="5"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6" xfId="2" quotePrefix="1" applyFont="1" applyBorder="1" applyAlignment="1">
      <alignment horizontal="left" vertical="top" wrapText="1"/>
    </xf>
    <xf numFmtId="0" fontId="54" fillId="13" borderId="40" xfId="3" applyFont="1" applyFill="1" applyBorder="1" applyAlignment="1">
      <alignment horizontal="center" vertical="center" wrapText="1"/>
    </xf>
    <xf numFmtId="0" fontId="54" fillId="13" borderId="41" xfId="3" applyFont="1" applyFill="1" applyBorder="1" applyAlignment="1">
      <alignment horizontal="center" vertical="center" wrapText="1"/>
    </xf>
    <xf numFmtId="0" fontId="54" fillId="13" borderId="42" xfId="2" applyFont="1" applyFill="1" applyBorder="1" applyAlignment="1">
      <alignment horizontal="center" vertical="center"/>
    </xf>
    <xf numFmtId="0" fontId="54" fillId="13" borderId="43" xfId="2" applyFont="1" applyFill="1" applyBorder="1" applyAlignment="1">
      <alignment horizontal="center" vertical="center"/>
    </xf>
    <xf numFmtId="0" fontId="3" fillId="2" borderId="54" xfId="2" quotePrefix="1" applyFont="1" applyFill="1" applyBorder="1" applyAlignment="1">
      <alignment horizontal="justify" vertical="center" wrapText="1"/>
    </xf>
    <xf numFmtId="0" fontId="3" fillId="2" borderId="55" xfId="2" quotePrefix="1" applyFont="1" applyFill="1" applyBorder="1" applyAlignment="1">
      <alignment horizontal="justify" vertical="center" wrapText="1"/>
    </xf>
    <xf numFmtId="0" fontId="3" fillId="2" borderId="56" xfId="2" quotePrefix="1" applyFont="1" applyFill="1" applyBorder="1" applyAlignment="1">
      <alignment horizontal="justify" vertical="center" wrapText="1"/>
    </xf>
    <xf numFmtId="0" fontId="54" fillId="2" borderId="44" xfId="3" applyFont="1" applyFill="1" applyBorder="1" applyAlignment="1">
      <alignment horizontal="left" vertical="top" wrapText="1" readingOrder="1"/>
    </xf>
    <xf numFmtId="0" fontId="54" fillId="2" borderId="45" xfId="3" applyFont="1" applyFill="1" applyBorder="1" applyAlignment="1">
      <alignment horizontal="left" vertical="top" wrapText="1" readingOrder="1"/>
    </xf>
    <xf numFmtId="0" fontId="55" fillId="2" borderId="46" xfId="2" applyFont="1" applyFill="1" applyBorder="1" applyAlignment="1">
      <alignment horizontal="justify" vertical="center" wrapText="1"/>
    </xf>
    <xf numFmtId="0" fontId="55" fillId="2" borderId="47" xfId="2" applyFont="1" applyFill="1" applyBorder="1" applyAlignment="1">
      <alignment horizontal="justify" vertical="center" wrapText="1"/>
    </xf>
    <xf numFmtId="0" fontId="54" fillId="2" borderId="48" xfId="0" applyFont="1" applyFill="1" applyBorder="1" applyAlignment="1">
      <alignment horizontal="left" vertical="center" wrapText="1"/>
    </xf>
    <xf numFmtId="0" fontId="54" fillId="2" borderId="49" xfId="0" applyFont="1" applyFill="1" applyBorder="1" applyAlignment="1">
      <alignment horizontal="left" vertical="center" wrapText="1"/>
    </xf>
    <xf numFmtId="0" fontId="55" fillId="2" borderId="50" xfId="2" applyFont="1" applyFill="1" applyBorder="1" applyAlignment="1">
      <alignment horizontal="justify" vertical="center" wrapText="1"/>
    </xf>
    <xf numFmtId="0" fontId="55" fillId="2" borderId="51" xfId="2" applyFont="1" applyFill="1" applyBorder="1" applyAlignment="1">
      <alignment horizontal="justify" vertical="center" wrapText="1"/>
    </xf>
    <xf numFmtId="0" fontId="49" fillId="2" borderId="5" xfId="2" applyFont="1" applyFill="1" applyBorder="1" applyAlignment="1">
      <alignment horizontal="left" vertical="top" wrapText="1"/>
    </xf>
    <xf numFmtId="0" fontId="49" fillId="2" borderId="0" xfId="2" applyFont="1" applyFill="1" applyAlignment="1">
      <alignment horizontal="left" vertical="top" wrapText="1"/>
    </xf>
    <xf numFmtId="0" fontId="49" fillId="2" borderId="6" xfId="2" applyFont="1" applyFill="1" applyBorder="1" applyAlignment="1">
      <alignment horizontal="left" vertical="top" wrapText="1"/>
    </xf>
    <xf numFmtId="0" fontId="54" fillId="2" borderId="57" xfId="0" applyFont="1" applyFill="1" applyBorder="1" applyAlignment="1">
      <alignment horizontal="left" vertical="center" wrapText="1"/>
    </xf>
    <xf numFmtId="0" fontId="54" fillId="2" borderId="58" xfId="0" applyFont="1" applyFill="1" applyBorder="1" applyAlignment="1">
      <alignment horizontal="left" vertical="center" wrapText="1"/>
    </xf>
    <xf numFmtId="0" fontId="54" fillId="2" borderId="59" xfId="0" applyFont="1" applyFill="1" applyBorder="1" applyAlignment="1">
      <alignment horizontal="left" vertical="center" wrapText="1"/>
    </xf>
    <xf numFmtId="0" fontId="54" fillId="2" borderId="60" xfId="0" applyFont="1" applyFill="1" applyBorder="1" applyAlignment="1">
      <alignment horizontal="left" vertical="center" wrapText="1"/>
    </xf>
    <xf numFmtId="0" fontId="55" fillId="2" borderId="52" xfId="0" applyFont="1" applyFill="1" applyBorder="1" applyAlignment="1">
      <alignment horizontal="justify" vertical="center" wrapText="1"/>
    </xf>
    <xf numFmtId="0" fontId="55" fillId="2" borderId="53" xfId="0" applyFont="1" applyFill="1" applyBorder="1" applyAlignment="1">
      <alignment horizontal="justify" vertical="center" wrapText="1"/>
    </xf>
    <xf numFmtId="0" fontId="3" fillId="2" borderId="74" xfId="2" applyFont="1" applyFill="1" applyBorder="1" applyAlignment="1">
      <alignment horizontal="center"/>
    </xf>
    <xf numFmtId="0" fontId="3" fillId="2" borderId="77" xfId="2" applyFont="1" applyFill="1" applyBorder="1" applyAlignment="1">
      <alignment horizontal="center"/>
    </xf>
    <xf numFmtId="0" fontId="3" fillId="2" borderId="78" xfId="2" applyFont="1" applyFill="1" applyBorder="1" applyAlignment="1">
      <alignment horizontal="center"/>
    </xf>
    <xf numFmtId="0" fontId="52" fillId="13" borderId="19" xfId="2" applyFont="1" applyFill="1" applyBorder="1" applyAlignment="1">
      <alignment horizontal="center" vertical="center" wrapText="1"/>
    </xf>
    <xf numFmtId="0" fontId="65" fillId="2" borderId="40" xfId="2" applyFont="1" applyFill="1" applyBorder="1" applyAlignment="1">
      <alignment horizontal="center"/>
    </xf>
    <xf numFmtId="0" fontId="65" fillId="2" borderId="97" xfId="2" applyFont="1" applyFill="1" applyBorder="1" applyAlignment="1">
      <alignment horizontal="center"/>
    </xf>
    <xf numFmtId="0" fontId="65" fillId="2" borderId="98" xfId="2" applyFont="1" applyFill="1" applyBorder="1" applyAlignment="1">
      <alignment horizontal="center"/>
    </xf>
    <xf numFmtId="0" fontId="65" fillId="2" borderId="0" xfId="2" applyFont="1" applyFill="1" applyAlignment="1">
      <alignment horizontal="center"/>
    </xf>
    <xf numFmtId="0" fontId="65" fillId="2" borderId="99" xfId="2" applyFont="1" applyFill="1" applyBorder="1" applyAlignment="1">
      <alignment horizontal="center"/>
    </xf>
    <xf numFmtId="0" fontId="65" fillId="2" borderId="100" xfId="2" applyFont="1" applyFill="1" applyBorder="1" applyAlignment="1">
      <alignment horizontal="center"/>
    </xf>
    <xf numFmtId="0" fontId="63" fillId="0" borderId="90" xfId="2" applyFont="1" applyBorder="1" applyAlignment="1">
      <alignment horizontal="center" vertical="center" wrapText="1"/>
    </xf>
    <xf numFmtId="0" fontId="63" fillId="0" borderId="91" xfId="2" applyFont="1" applyBorder="1" applyAlignment="1">
      <alignment horizontal="center" vertical="center" wrapText="1"/>
    </xf>
    <xf numFmtId="0" fontId="64" fillId="2" borderId="19" xfId="2" applyFont="1" applyFill="1" applyBorder="1" applyAlignment="1">
      <alignment horizontal="center" vertical="center"/>
    </xf>
    <xf numFmtId="0" fontId="64" fillId="2" borderId="93" xfId="2" applyFont="1" applyFill="1" applyBorder="1" applyAlignment="1">
      <alignment horizontal="center" vertical="center"/>
    </xf>
    <xf numFmtId="0" fontId="65" fillId="2" borderId="95" xfId="2" applyFont="1" applyFill="1" applyBorder="1" applyAlignment="1">
      <alignment horizontal="left" vertical="center"/>
    </xf>
    <xf numFmtId="0" fontId="65" fillId="2" borderId="96" xfId="2" applyFont="1" applyFill="1" applyBorder="1" applyAlignment="1">
      <alignment horizontal="left" vertical="center"/>
    </xf>
    <xf numFmtId="0" fontId="65" fillId="0" borderId="19" xfId="2" quotePrefix="1" applyFont="1" applyBorder="1" applyAlignment="1">
      <alignment horizontal="left" vertical="center" wrapText="1"/>
    </xf>
    <xf numFmtId="0" fontId="69" fillId="2" borderId="19" xfId="2" quotePrefix="1" applyFont="1" applyFill="1" applyBorder="1" applyAlignment="1">
      <alignment horizontal="left" vertical="top" wrapText="1"/>
    </xf>
    <xf numFmtId="0" fontId="64" fillId="2" borderId="19" xfId="2" quotePrefix="1" applyFont="1" applyFill="1" applyBorder="1" applyAlignment="1">
      <alignment horizontal="left" vertical="top" wrapText="1"/>
    </xf>
    <xf numFmtId="0" fontId="65" fillId="2" borderId="19" xfId="2" quotePrefix="1" applyFont="1" applyFill="1" applyBorder="1" applyAlignment="1">
      <alignment horizontal="justify" vertical="center" wrapText="1"/>
    </xf>
    <xf numFmtId="0" fontId="3" fillId="0" borderId="19" xfId="2" quotePrefix="1" applyFont="1" applyBorder="1" applyAlignment="1">
      <alignment horizontal="left" vertical="center" wrapText="1"/>
    </xf>
    <xf numFmtId="0" fontId="64" fillId="13" borderId="80" xfId="3" applyFont="1" applyFill="1" applyBorder="1" applyAlignment="1">
      <alignment horizontal="center" vertical="center" wrapText="1"/>
    </xf>
    <xf numFmtId="0" fontId="64" fillId="13" borderId="81" xfId="3" applyFont="1" applyFill="1" applyBorder="1" applyAlignment="1">
      <alignment horizontal="center" vertical="center" wrapText="1"/>
    </xf>
    <xf numFmtId="0" fontId="64" fillId="13" borderId="42" xfId="2" applyFont="1" applyFill="1" applyBorder="1" applyAlignment="1">
      <alignment horizontal="center" vertical="center"/>
    </xf>
    <xf numFmtId="0" fontId="64" fillId="13" borderId="43" xfId="2" applyFont="1" applyFill="1" applyBorder="1" applyAlignment="1">
      <alignment horizontal="center" vertical="center"/>
    </xf>
    <xf numFmtId="0" fontId="51" fillId="2" borderId="74" xfId="2" quotePrefix="1" applyFont="1" applyFill="1" applyBorder="1" applyAlignment="1">
      <alignment horizontal="center" vertical="top" wrapText="1"/>
    </xf>
    <xf numFmtId="0" fontId="51" fillId="2" borderId="77" xfId="2" quotePrefix="1" applyFont="1" applyFill="1" applyBorder="1" applyAlignment="1">
      <alignment horizontal="center" vertical="top" wrapText="1"/>
    </xf>
    <xf numFmtId="0" fontId="51" fillId="2" borderId="78" xfId="2" quotePrefix="1" applyFont="1" applyFill="1" applyBorder="1" applyAlignment="1">
      <alignment horizontal="center" vertical="top" wrapText="1"/>
    </xf>
    <xf numFmtId="0" fontId="64" fillId="2" borderId="82" xfId="3" applyFont="1" applyFill="1" applyBorder="1" applyAlignment="1">
      <alignment horizontal="left" vertical="top" wrapText="1" readingOrder="1"/>
    </xf>
    <xf numFmtId="0" fontId="64" fillId="2" borderId="83" xfId="3" applyFont="1" applyFill="1" applyBorder="1" applyAlignment="1">
      <alignment horizontal="left" vertical="top" wrapText="1" readingOrder="1"/>
    </xf>
    <xf numFmtId="0" fontId="65" fillId="2" borderId="46" xfId="2" applyFont="1" applyFill="1" applyBorder="1" applyAlignment="1">
      <alignment horizontal="justify" vertical="center" wrapText="1"/>
    </xf>
    <xf numFmtId="0" fontId="65" fillId="2" borderId="47" xfId="2" applyFont="1" applyFill="1" applyBorder="1" applyAlignment="1">
      <alignment horizontal="justify" vertical="center" wrapText="1"/>
    </xf>
    <xf numFmtId="0" fontId="64" fillId="2" borderId="84" xfId="3" applyFont="1" applyFill="1" applyBorder="1" applyAlignment="1">
      <alignment horizontal="left" vertical="top" wrapText="1" readingOrder="1"/>
    </xf>
    <xf numFmtId="0" fontId="64" fillId="2" borderId="85" xfId="3" applyFont="1" applyFill="1" applyBorder="1" applyAlignment="1">
      <alignment horizontal="left" vertical="top" wrapText="1" readingOrder="1"/>
    </xf>
    <xf numFmtId="0" fontId="64" fillId="2" borderId="57" xfId="0" applyFont="1" applyFill="1" applyBorder="1" applyAlignment="1">
      <alignment horizontal="left" vertical="center" wrapText="1"/>
    </xf>
    <xf numFmtId="0" fontId="64" fillId="2" borderId="58" xfId="0" applyFont="1" applyFill="1" applyBorder="1" applyAlignment="1">
      <alignment horizontal="left" vertical="center" wrapText="1"/>
    </xf>
    <xf numFmtId="0" fontId="65" fillId="2" borderId="50" xfId="2" applyFont="1" applyFill="1" applyBorder="1" applyAlignment="1">
      <alignment horizontal="justify" vertical="center" wrapText="1"/>
    </xf>
    <xf numFmtId="0" fontId="65" fillId="2" borderId="51" xfId="2" applyFont="1" applyFill="1" applyBorder="1" applyAlignment="1">
      <alignment horizontal="justify" vertical="center" wrapText="1"/>
    </xf>
    <xf numFmtId="0" fontId="3" fillId="2" borderId="5" xfId="2" applyFont="1" applyFill="1" applyBorder="1" applyAlignment="1">
      <alignment horizontal="left" vertical="top" wrapText="1"/>
    </xf>
    <xf numFmtId="0" fontId="3" fillId="2" borderId="0" xfId="2" applyFont="1" applyFill="1" applyAlignment="1">
      <alignment horizontal="left" vertical="top" wrapText="1"/>
    </xf>
    <xf numFmtId="0" fontId="3" fillId="2" borderId="6" xfId="2" applyFont="1" applyFill="1" applyBorder="1" applyAlignment="1">
      <alignment horizontal="left" vertical="top" wrapText="1"/>
    </xf>
    <xf numFmtId="0" fontId="64" fillId="2" borderId="59" xfId="0" applyFont="1" applyFill="1" applyBorder="1" applyAlignment="1">
      <alignment horizontal="left" vertical="center" wrapText="1"/>
    </xf>
    <xf numFmtId="0" fontId="64" fillId="2" borderId="60" xfId="0" applyFont="1" applyFill="1" applyBorder="1" applyAlignment="1">
      <alignment horizontal="left" vertical="center" wrapText="1"/>
    </xf>
    <xf numFmtId="0" fontId="65" fillId="2" borderId="52" xfId="2" applyFont="1" applyFill="1" applyBorder="1" applyAlignment="1">
      <alignment horizontal="justify" vertical="center" wrapText="1"/>
    </xf>
    <xf numFmtId="0" fontId="65" fillId="2" borderId="53" xfId="2" applyFont="1" applyFill="1" applyBorder="1" applyAlignment="1">
      <alignment horizontal="justify" vertical="center" wrapText="1"/>
    </xf>
    <xf numFmtId="9" fontId="68" fillId="0" borderId="19" xfId="0" applyNumberFormat="1" applyFont="1" applyBorder="1" applyAlignment="1" applyProtection="1">
      <alignment horizontal="center" vertical="center" wrapText="1"/>
      <protection hidden="1"/>
    </xf>
    <xf numFmtId="0" fontId="68" fillId="0" borderId="19" xfId="0" applyFont="1" applyBorder="1" applyAlignment="1" applyProtection="1">
      <alignment horizontal="center" vertical="center" wrapText="1"/>
      <protection locked="0"/>
    </xf>
    <xf numFmtId="0" fontId="63" fillId="0" borderId="19" xfId="0" applyFont="1" applyBorder="1" applyAlignment="1" applyProtection="1">
      <alignment horizontal="center" vertical="center" wrapText="1"/>
      <protection hidden="1"/>
    </xf>
    <xf numFmtId="0" fontId="63" fillId="27" borderId="67" xfId="6" applyFont="1" applyFill="1" applyBorder="1" applyAlignment="1">
      <alignment horizontal="center" vertical="center" wrapText="1"/>
    </xf>
    <xf numFmtId="0" fontId="63" fillId="27" borderId="66" xfId="6" applyFont="1" applyFill="1" applyBorder="1" applyAlignment="1">
      <alignment horizontal="center" vertical="center" wrapText="1"/>
    </xf>
    <xf numFmtId="0" fontId="63" fillId="27" borderId="64" xfId="6" applyFont="1" applyFill="1" applyBorder="1" applyAlignment="1">
      <alignment horizontal="center" vertical="center" wrapText="1"/>
    </xf>
    <xf numFmtId="0" fontId="94" fillId="0" borderId="19" xfId="0" applyFont="1" applyFill="1" applyBorder="1" applyAlignment="1">
      <alignment horizontal="center" vertical="center"/>
    </xf>
    <xf numFmtId="0" fontId="63" fillId="0" borderId="19" xfId="0" applyFont="1" applyFill="1" applyBorder="1" applyAlignment="1">
      <alignment horizontal="center" vertical="center" wrapText="1"/>
    </xf>
    <xf numFmtId="0" fontId="68" fillId="0" borderId="19" xfId="0" applyFont="1" applyFill="1" applyBorder="1" applyAlignment="1" applyProtection="1">
      <alignment horizontal="left" vertical="center" wrapText="1"/>
      <protection locked="0"/>
    </xf>
    <xf numFmtId="0" fontId="68" fillId="0" borderId="19" xfId="0" applyFont="1" applyBorder="1" applyAlignment="1" applyProtection="1">
      <alignment horizontal="left" vertical="center" wrapText="1"/>
      <protection locked="0"/>
    </xf>
    <xf numFmtId="9" fontId="68" fillId="0" borderId="19" xfId="0" applyNumberFormat="1" applyFont="1" applyBorder="1" applyAlignment="1" applyProtection="1">
      <alignment horizontal="center" vertical="center" wrapText="1"/>
      <protection locked="0"/>
    </xf>
    <xf numFmtId="0" fontId="68" fillId="0" borderId="19" xfId="0" applyFont="1" applyBorder="1" applyAlignment="1" applyProtection="1">
      <alignment vertical="center" wrapText="1"/>
      <protection locked="0"/>
    </xf>
    <xf numFmtId="0" fontId="68" fillId="0" borderId="19" xfId="0" applyFont="1" applyBorder="1" applyAlignment="1" applyProtection="1">
      <alignment horizontal="center" vertical="center"/>
      <protection locked="0"/>
    </xf>
    <xf numFmtId="0" fontId="63" fillId="0" borderId="19" xfId="0" applyFont="1" applyFill="1" applyBorder="1" applyAlignment="1">
      <alignment horizontal="center" vertical="center"/>
    </xf>
    <xf numFmtId="0" fontId="63" fillId="0" borderId="19" xfId="0" applyFont="1" applyBorder="1" applyAlignment="1" applyProtection="1">
      <alignment horizontal="center" vertical="center"/>
      <protection hidden="1"/>
    </xf>
    <xf numFmtId="9" fontId="68" fillId="0" borderId="19" xfId="0" applyNumberFormat="1" applyFont="1" applyBorder="1" applyAlignment="1" applyProtection="1">
      <alignment horizontal="center" vertical="top" wrapText="1"/>
      <protection locked="0"/>
    </xf>
    <xf numFmtId="0" fontId="68" fillId="0" borderId="19" xfId="0" applyFont="1" applyBorder="1" applyAlignment="1" applyProtection="1">
      <alignment horizontal="center" vertical="top" wrapText="1"/>
      <protection locked="0"/>
    </xf>
    <xf numFmtId="0" fontId="65" fillId="0" borderId="19" xfId="0" applyFont="1" applyBorder="1" applyAlignment="1" applyProtection="1">
      <alignment horizontal="center" vertical="center"/>
      <protection locked="0"/>
    </xf>
    <xf numFmtId="0" fontId="63" fillId="19" borderId="67" xfId="0" applyFont="1" applyFill="1" applyBorder="1" applyAlignment="1">
      <alignment horizontal="center" vertical="center" textRotation="90" wrapText="1"/>
    </xf>
    <xf numFmtId="0" fontId="63" fillId="19" borderId="66" xfId="0" applyFont="1" applyFill="1" applyBorder="1" applyAlignment="1">
      <alignment horizontal="center" vertical="center" textRotation="90" wrapText="1"/>
    </xf>
    <xf numFmtId="0" fontId="63" fillId="19" borderId="64" xfId="0" applyFont="1" applyFill="1" applyBorder="1" applyAlignment="1">
      <alignment horizontal="center" vertical="center" textRotation="90" wrapText="1"/>
    </xf>
    <xf numFmtId="0" fontId="63" fillId="14" borderId="67" xfId="0" applyFont="1" applyFill="1" applyBorder="1" applyAlignment="1">
      <alignment horizontal="center" vertical="center" textRotation="90"/>
    </xf>
    <xf numFmtId="0" fontId="63" fillId="14" borderId="66" xfId="0" applyFont="1" applyFill="1" applyBorder="1" applyAlignment="1">
      <alignment horizontal="center" vertical="center" textRotation="90"/>
    </xf>
    <xf numFmtId="0" fontId="63" fillId="14" borderId="64" xfId="0" applyFont="1" applyFill="1" applyBorder="1" applyAlignment="1">
      <alignment horizontal="center" vertical="center" textRotation="90"/>
    </xf>
    <xf numFmtId="0" fontId="63" fillId="29" borderId="5" xfId="6" applyFont="1" applyFill="1" applyBorder="1" applyAlignment="1">
      <alignment horizontal="center" vertical="center" wrapText="1"/>
    </xf>
    <xf numFmtId="0" fontId="63" fillId="29" borderId="0" xfId="6" applyFont="1" applyFill="1" applyBorder="1" applyAlignment="1">
      <alignment horizontal="center" vertical="center" wrapText="1"/>
    </xf>
    <xf numFmtId="0" fontId="63" fillId="29" borderId="6" xfId="6" applyFont="1" applyFill="1" applyBorder="1" applyAlignment="1">
      <alignment horizontal="center" vertical="center" wrapText="1"/>
    </xf>
    <xf numFmtId="0" fontId="63" fillId="26" borderId="67" xfId="6" applyFont="1" applyFill="1" applyBorder="1" applyAlignment="1">
      <alignment horizontal="center" vertical="center" wrapText="1"/>
    </xf>
    <xf numFmtId="0" fontId="63" fillId="26" borderId="66" xfId="6" applyFont="1" applyFill="1" applyBorder="1" applyAlignment="1">
      <alignment horizontal="center" vertical="center" wrapText="1"/>
    </xf>
    <xf numFmtId="0" fontId="63" fillId="26" borderId="64" xfId="6" applyFont="1" applyFill="1" applyBorder="1" applyAlignment="1">
      <alignment horizontal="center" vertical="center" wrapText="1"/>
    </xf>
    <xf numFmtId="0" fontId="63" fillId="14" borderId="67" xfId="0" applyFont="1" applyFill="1" applyBorder="1" applyAlignment="1">
      <alignment horizontal="center" vertical="center" textRotation="90" wrapText="1"/>
    </xf>
    <xf numFmtId="0" fontId="63" fillId="14" borderId="66" xfId="0" applyFont="1" applyFill="1" applyBorder="1" applyAlignment="1">
      <alignment horizontal="center" vertical="center" textRotation="90" wrapText="1"/>
    </xf>
    <xf numFmtId="0" fontId="63" fillId="14" borderId="64" xfId="0" applyFont="1" applyFill="1" applyBorder="1" applyAlignment="1">
      <alignment horizontal="center" vertical="center" textRotation="90" wrapText="1"/>
    </xf>
    <xf numFmtId="0" fontId="63" fillId="14" borderId="21" xfId="0" applyFont="1" applyFill="1" applyBorder="1" applyAlignment="1">
      <alignment horizontal="center" vertical="center" wrapText="1"/>
    </xf>
    <xf numFmtId="0" fontId="63" fillId="14" borderId="22" xfId="0" applyFont="1" applyFill="1" applyBorder="1" applyAlignment="1">
      <alignment horizontal="center" vertical="center" wrapText="1"/>
    </xf>
    <xf numFmtId="0" fontId="63" fillId="14" borderId="10" xfId="0" applyFont="1" applyFill="1" applyBorder="1" applyAlignment="1">
      <alignment horizontal="center" vertical="center" wrapText="1"/>
    </xf>
    <xf numFmtId="0" fontId="63" fillId="14" borderId="33" xfId="0" applyFont="1" applyFill="1" applyBorder="1" applyAlignment="1">
      <alignment horizontal="center" vertical="center" wrapText="1"/>
    </xf>
    <xf numFmtId="0" fontId="63" fillId="26" borderId="73" xfId="0" applyFont="1" applyFill="1" applyBorder="1" applyAlignment="1">
      <alignment horizontal="center" vertical="center" wrapText="1"/>
    </xf>
    <xf numFmtId="0" fontId="63" fillId="26" borderId="71" xfId="0" applyFont="1" applyFill="1" applyBorder="1" applyAlignment="1">
      <alignment horizontal="center" vertical="center" wrapText="1"/>
    </xf>
    <xf numFmtId="0" fontId="63" fillId="26" borderId="106" xfId="0" applyFont="1" applyFill="1" applyBorder="1" applyAlignment="1">
      <alignment horizontal="center" vertical="center" wrapText="1"/>
    </xf>
    <xf numFmtId="0" fontId="88" fillId="29" borderId="21" xfId="0" applyFont="1" applyFill="1" applyBorder="1" applyAlignment="1">
      <alignment horizontal="center" vertical="center"/>
    </xf>
    <xf numFmtId="0" fontId="88" fillId="29" borderId="22" xfId="0" applyFont="1" applyFill="1" applyBorder="1" applyAlignment="1">
      <alignment horizontal="center" vertical="center"/>
    </xf>
    <xf numFmtId="0" fontId="88" fillId="29" borderId="33" xfId="0" applyFont="1" applyFill="1" applyBorder="1" applyAlignment="1">
      <alignment horizontal="center" vertical="center"/>
    </xf>
    <xf numFmtId="0" fontId="63" fillId="25" borderId="102" xfId="0" applyFont="1" applyFill="1" applyBorder="1" applyAlignment="1">
      <alignment horizontal="center" vertical="center" textRotation="90" wrapText="1"/>
    </xf>
    <xf numFmtId="0" fontId="63" fillId="25" borderId="103" xfId="0" applyFont="1" applyFill="1" applyBorder="1" applyAlignment="1">
      <alignment horizontal="center" vertical="center" textRotation="90" wrapText="1"/>
    </xf>
    <xf numFmtId="0" fontId="63" fillId="25" borderId="104" xfId="0" applyFont="1" applyFill="1" applyBorder="1" applyAlignment="1">
      <alignment horizontal="center" vertical="center" textRotation="90" wrapText="1"/>
    </xf>
    <xf numFmtId="0" fontId="63" fillId="25" borderId="72" xfId="0" applyFont="1" applyFill="1" applyBorder="1" applyAlignment="1">
      <alignment horizontal="center" vertical="center" textRotation="90" wrapText="1"/>
    </xf>
    <xf numFmtId="0" fontId="63" fillId="25" borderId="69" xfId="0" applyFont="1" applyFill="1" applyBorder="1" applyAlignment="1">
      <alignment horizontal="center" vertical="center" textRotation="90" wrapText="1"/>
    </xf>
    <xf numFmtId="0" fontId="63" fillId="25" borderId="101" xfId="0" applyFont="1" applyFill="1" applyBorder="1" applyAlignment="1">
      <alignment horizontal="center" vertical="center" textRotation="90" wrapText="1"/>
    </xf>
    <xf numFmtId="0" fontId="63" fillId="14" borderId="70" xfId="0" applyFont="1" applyFill="1" applyBorder="1" applyAlignment="1">
      <alignment horizontal="center" vertical="center" textRotation="90"/>
    </xf>
    <xf numFmtId="0" fontId="63" fillId="14" borderId="105" xfId="0" applyFont="1" applyFill="1" applyBorder="1" applyAlignment="1">
      <alignment horizontal="center" vertical="center" textRotation="90"/>
    </xf>
    <xf numFmtId="0" fontId="63" fillId="29" borderId="5" xfId="0" applyFont="1" applyFill="1" applyBorder="1" applyAlignment="1">
      <alignment horizontal="center" vertical="center"/>
    </xf>
    <xf numFmtId="0" fontId="63" fillId="29" borderId="0" xfId="0" applyFont="1" applyFill="1" applyBorder="1" applyAlignment="1">
      <alignment horizontal="center" vertical="center"/>
    </xf>
    <xf numFmtId="0" fontId="63" fillId="29" borderId="6" xfId="0" applyFont="1" applyFill="1" applyBorder="1" applyAlignment="1">
      <alignment horizontal="center" vertical="center"/>
    </xf>
    <xf numFmtId="0" fontId="63" fillId="14" borderId="67" xfId="0" applyFont="1" applyFill="1" applyBorder="1" applyAlignment="1">
      <alignment horizontal="center" vertical="center" wrapText="1"/>
    </xf>
    <xf numFmtId="0" fontId="63" fillId="14" borderId="66" xfId="0" applyFont="1" applyFill="1" applyBorder="1" applyAlignment="1">
      <alignment horizontal="center" vertical="center" wrapText="1"/>
    </xf>
    <xf numFmtId="0" fontId="63" fillId="14" borderId="64" xfId="0" applyFont="1" applyFill="1" applyBorder="1" applyAlignment="1">
      <alignment horizontal="center" vertical="center" wrapText="1"/>
    </xf>
    <xf numFmtId="0" fontId="63" fillId="25" borderId="67" xfId="0" applyFont="1" applyFill="1" applyBorder="1" applyAlignment="1">
      <alignment horizontal="center" vertical="center" textRotation="90" wrapText="1"/>
    </xf>
    <xf numFmtId="0" fontId="63" fillId="25" borderId="66" xfId="0" applyFont="1" applyFill="1" applyBorder="1" applyAlignment="1">
      <alignment horizontal="center" vertical="center" textRotation="90" wrapText="1"/>
    </xf>
    <xf numFmtId="0" fontId="63" fillId="25" borderId="64" xfId="0" applyFont="1" applyFill="1" applyBorder="1" applyAlignment="1">
      <alignment horizontal="center" vertical="center" textRotation="90" wrapText="1"/>
    </xf>
    <xf numFmtId="0" fontId="63" fillId="28" borderId="72" xfId="0" applyFont="1" applyFill="1" applyBorder="1" applyAlignment="1">
      <alignment horizontal="center" vertical="center" wrapText="1"/>
    </xf>
    <xf numFmtId="0" fontId="63" fillId="28" borderId="69" xfId="0" applyFont="1" applyFill="1" applyBorder="1" applyAlignment="1">
      <alignment horizontal="center" vertical="center" wrapText="1"/>
    </xf>
    <xf numFmtId="0" fontId="63" fillId="28" borderId="101" xfId="0" applyFont="1" applyFill="1" applyBorder="1" applyAlignment="1">
      <alignment horizontal="center" vertical="center" wrapText="1"/>
    </xf>
    <xf numFmtId="0" fontId="63" fillId="17" borderId="5" xfId="6" applyFont="1" applyFill="1" applyBorder="1" applyAlignment="1">
      <alignment horizontal="center" vertical="center" wrapText="1"/>
    </xf>
    <xf numFmtId="0" fontId="63" fillId="17" borderId="0" xfId="6" applyFont="1" applyFill="1" applyBorder="1" applyAlignment="1">
      <alignment horizontal="center" vertical="center" wrapText="1"/>
    </xf>
    <xf numFmtId="0" fontId="63" fillId="17" borderId="6" xfId="6" applyFont="1" applyFill="1" applyBorder="1" applyAlignment="1">
      <alignment horizontal="center" vertical="center" wrapText="1"/>
    </xf>
    <xf numFmtId="9" fontId="68" fillId="0" borderId="20" xfId="0" applyNumberFormat="1" applyFont="1" applyBorder="1" applyAlignment="1" applyProtection="1">
      <alignment horizontal="center" vertical="center" wrapText="1"/>
      <protection locked="0"/>
    </xf>
    <xf numFmtId="9" fontId="68" fillId="0" borderId="20" xfId="0" applyNumberFormat="1" applyFont="1" applyBorder="1" applyAlignment="1" applyProtection="1">
      <alignment horizontal="center" vertical="center" wrapText="1"/>
      <protection hidden="1"/>
    </xf>
    <xf numFmtId="0" fontId="63" fillId="0" borderId="20" xfId="0" applyFont="1" applyBorder="1" applyAlignment="1" applyProtection="1">
      <alignment horizontal="center" vertical="center" wrapText="1"/>
      <protection hidden="1"/>
    </xf>
    <xf numFmtId="0" fontId="63" fillId="0" borderId="20" xfId="0" applyFont="1" applyBorder="1" applyAlignment="1" applyProtection="1">
      <alignment horizontal="center" vertical="center"/>
      <protection hidden="1"/>
    </xf>
    <xf numFmtId="0" fontId="68" fillId="0" borderId="20" xfId="0" applyFont="1" applyBorder="1" applyAlignment="1" applyProtection="1">
      <alignment horizontal="center" vertical="center"/>
      <protection locked="0"/>
    </xf>
    <xf numFmtId="0" fontId="63" fillId="28" borderId="67" xfId="0" applyFont="1" applyFill="1" applyBorder="1" applyAlignment="1">
      <alignment horizontal="center" vertical="center" wrapText="1"/>
    </xf>
    <xf numFmtId="0" fontId="63" fillId="28" borderId="66" xfId="0" applyFont="1" applyFill="1" applyBorder="1" applyAlignment="1">
      <alignment horizontal="center" vertical="center" wrapText="1"/>
    </xf>
    <xf numFmtId="0" fontId="63" fillId="28" borderId="64" xfId="0" applyFont="1" applyFill="1" applyBorder="1" applyAlignment="1">
      <alignment horizontal="center" vertical="center" wrapText="1"/>
    </xf>
    <xf numFmtId="0" fontId="63" fillId="28" borderId="67" xfId="6" applyFont="1" applyFill="1" applyBorder="1" applyAlignment="1">
      <alignment horizontal="center" vertical="center" wrapText="1"/>
    </xf>
    <xf numFmtId="0" fontId="63" fillId="28" borderId="66" xfId="6" applyFont="1" applyFill="1" applyBorder="1" applyAlignment="1">
      <alignment horizontal="center" vertical="center" wrapText="1"/>
    </xf>
    <xf numFmtId="0" fontId="63" fillId="28" borderId="64" xfId="6" applyFont="1" applyFill="1" applyBorder="1" applyAlignment="1">
      <alignment horizontal="center" vertical="center" wrapText="1"/>
    </xf>
    <xf numFmtId="0" fontId="63" fillId="27" borderId="3" xfId="0" applyFont="1" applyFill="1" applyBorder="1" applyAlignment="1">
      <alignment horizontal="center" vertical="center" wrapText="1"/>
    </xf>
    <xf numFmtId="0" fontId="63" fillId="27" borderId="4" xfId="0" applyFont="1" applyFill="1" applyBorder="1" applyAlignment="1">
      <alignment horizontal="center" vertical="center" wrapText="1"/>
    </xf>
    <xf numFmtId="0" fontId="63" fillId="27" borderId="7" xfId="0" applyFont="1" applyFill="1" applyBorder="1" applyAlignment="1">
      <alignment horizontal="center" vertical="center" wrapText="1"/>
    </xf>
    <xf numFmtId="0" fontId="63" fillId="27" borderId="8" xfId="0" applyFont="1" applyFill="1" applyBorder="1" applyAlignment="1">
      <alignment horizontal="center" vertical="center" wrapText="1"/>
    </xf>
    <xf numFmtId="0" fontId="63" fillId="27" borderId="67" xfId="0" applyFont="1" applyFill="1" applyBorder="1" applyAlignment="1">
      <alignment horizontal="center" vertical="center" wrapText="1"/>
    </xf>
    <xf numFmtId="0" fontId="63" fillId="27" borderId="64" xfId="0" applyFont="1" applyFill="1" applyBorder="1" applyAlignment="1">
      <alignment horizontal="center" vertical="center" wrapText="1"/>
    </xf>
    <xf numFmtId="0" fontId="68" fillId="0" borderId="20" xfId="0" applyFont="1" applyBorder="1" applyAlignment="1" applyProtection="1">
      <alignment horizontal="center" vertical="center" wrapText="1"/>
      <protection locked="0"/>
    </xf>
    <xf numFmtId="0" fontId="94" fillId="0" borderId="20" xfId="0" applyFont="1" applyFill="1" applyBorder="1" applyAlignment="1">
      <alignment horizontal="center" vertical="center"/>
    </xf>
    <xf numFmtId="0" fontId="63" fillId="0" borderId="20" xfId="0" applyFont="1" applyFill="1" applyBorder="1" applyAlignment="1">
      <alignment horizontal="center" vertical="center"/>
    </xf>
    <xf numFmtId="0" fontId="63" fillId="0" borderId="20" xfId="0" applyFont="1" applyFill="1" applyBorder="1" applyAlignment="1">
      <alignment horizontal="center" vertical="center" wrapText="1"/>
    </xf>
    <xf numFmtId="0" fontId="68" fillId="0" borderId="20" xfId="0" applyFont="1" applyFill="1" applyBorder="1" applyAlignment="1" applyProtection="1">
      <alignment horizontal="left" vertical="center" wrapText="1"/>
      <protection locked="0"/>
    </xf>
    <xf numFmtId="0" fontId="68" fillId="0" borderId="20" xfId="0" applyFont="1" applyBorder="1" applyAlignment="1" applyProtection="1">
      <alignment horizontal="left" vertical="center" wrapText="1"/>
      <protection locked="0"/>
    </xf>
    <xf numFmtId="0" fontId="68" fillId="0" borderId="19" xfId="0" applyFont="1" applyFill="1" applyBorder="1" applyAlignment="1" applyProtection="1">
      <alignment horizontal="center" vertical="center" wrapText="1"/>
      <protection locked="0"/>
    </xf>
    <xf numFmtId="0" fontId="96" fillId="0" borderId="19" xfId="0" applyFont="1" applyFill="1" applyBorder="1" applyAlignment="1">
      <alignment horizontal="center" vertical="center"/>
    </xf>
    <xf numFmtId="0" fontId="68" fillId="0" borderId="19" xfId="0" applyFont="1" applyFill="1" applyBorder="1" applyAlignment="1" applyProtection="1">
      <alignment vertical="center" wrapText="1"/>
      <protection locked="0"/>
    </xf>
    <xf numFmtId="0" fontId="65" fillId="0" borderId="23" xfId="2" quotePrefix="1" applyFont="1" applyBorder="1" applyAlignment="1">
      <alignment horizontal="left" vertical="top" wrapText="1"/>
    </xf>
    <xf numFmtId="0" fontId="65" fillId="0" borderId="19" xfId="2" quotePrefix="1" applyFont="1" applyBorder="1" applyAlignment="1">
      <alignment horizontal="left" vertical="top" wrapText="1"/>
    </xf>
    <xf numFmtId="0" fontId="65" fillId="0" borderId="24" xfId="2" quotePrefix="1" applyFont="1" applyBorder="1" applyAlignment="1">
      <alignment horizontal="left" vertical="top" wrapText="1"/>
    </xf>
    <xf numFmtId="0" fontId="65" fillId="0" borderId="25" xfId="2" quotePrefix="1" applyFont="1" applyBorder="1" applyAlignment="1">
      <alignment horizontal="left" vertical="top" wrapText="1"/>
    </xf>
    <xf numFmtId="0" fontId="65" fillId="0" borderId="26" xfId="2" quotePrefix="1" applyFont="1" applyBorder="1" applyAlignment="1">
      <alignment horizontal="left" vertical="top" wrapText="1"/>
    </xf>
    <xf numFmtId="0" fontId="65" fillId="0" borderId="27" xfId="2" quotePrefix="1" applyFont="1" applyBorder="1" applyAlignment="1">
      <alignment horizontal="left" vertical="top" wrapText="1"/>
    </xf>
    <xf numFmtId="0" fontId="47" fillId="2" borderId="40" xfId="2" applyFill="1" applyBorder="1" applyAlignment="1">
      <alignment horizontal="center"/>
    </xf>
    <xf numFmtId="0" fontId="47" fillId="2" borderId="97" xfId="2" applyFill="1" applyBorder="1" applyAlignment="1">
      <alignment horizontal="center"/>
    </xf>
    <xf numFmtId="0" fontId="47" fillId="2" borderId="98" xfId="2" applyFill="1" applyBorder="1" applyAlignment="1">
      <alignment horizontal="center"/>
    </xf>
    <xf numFmtId="0" fontId="47" fillId="2" borderId="0" xfId="2" applyFill="1" applyAlignment="1">
      <alignment horizontal="center"/>
    </xf>
    <xf numFmtId="0" fontId="47" fillId="2" borderId="99" xfId="2" applyFill="1" applyBorder="1" applyAlignment="1">
      <alignment horizontal="center"/>
    </xf>
    <xf numFmtId="0" fontId="47" fillId="2" borderId="100" xfId="2" applyFill="1" applyBorder="1" applyAlignment="1">
      <alignment horizontal="center"/>
    </xf>
    <xf numFmtId="0" fontId="64" fillId="13" borderId="63" xfId="2" applyFont="1" applyFill="1" applyBorder="1" applyAlignment="1">
      <alignment horizontal="center" vertical="center" wrapText="1"/>
    </xf>
    <xf numFmtId="0" fontId="64" fillId="13" borderId="62" xfId="2" applyFont="1" applyFill="1" applyBorder="1" applyAlignment="1">
      <alignment horizontal="center" vertical="center" wrapText="1"/>
    </xf>
    <xf numFmtId="0" fontId="64" fillId="13" borderId="68" xfId="2" applyFont="1" applyFill="1" applyBorder="1" applyAlignment="1">
      <alignment horizontal="center" vertical="center" wrapText="1"/>
    </xf>
    <xf numFmtId="0" fontId="65" fillId="0" borderId="23" xfId="2" quotePrefix="1" applyFont="1" applyBorder="1" applyAlignment="1">
      <alignment vertical="top" wrapText="1"/>
    </xf>
    <xf numFmtId="0" fontId="65" fillId="0" borderId="19" xfId="2" quotePrefix="1" applyFont="1" applyBorder="1" applyAlignment="1">
      <alignment vertical="top" wrapText="1"/>
    </xf>
    <xf numFmtId="0" fontId="65" fillId="0" borderId="24" xfId="2" quotePrefix="1" applyFont="1" applyBorder="1" applyAlignment="1">
      <alignment vertical="top" wrapText="1"/>
    </xf>
    <xf numFmtId="0" fontId="69" fillId="2" borderId="23" xfId="2" quotePrefix="1" applyFont="1" applyFill="1" applyBorder="1" applyAlignment="1">
      <alignment horizontal="center" vertical="top" wrapText="1"/>
    </xf>
    <xf numFmtId="0" fontId="69" fillId="2" borderId="19" xfId="2" quotePrefix="1" applyFont="1" applyFill="1" applyBorder="1" applyAlignment="1">
      <alignment horizontal="center" vertical="top" wrapText="1"/>
    </xf>
    <xf numFmtId="0" fontId="69" fillId="2" borderId="24" xfId="2" quotePrefix="1" applyFont="1" applyFill="1" applyBorder="1" applyAlignment="1">
      <alignment horizontal="center" vertical="top" wrapText="1"/>
    </xf>
    <xf numFmtId="0" fontId="65" fillId="0" borderId="23" xfId="2" quotePrefix="1" applyFont="1" applyBorder="1" applyAlignment="1">
      <alignment horizontal="left" vertical="center" wrapText="1"/>
    </xf>
    <xf numFmtId="0" fontId="65" fillId="0" borderId="24" xfId="2" quotePrefix="1" applyFont="1" applyBorder="1" applyAlignment="1">
      <alignment horizontal="left" vertical="center" wrapText="1"/>
    </xf>
    <xf numFmtId="0" fontId="3" fillId="2" borderId="76" xfId="2" applyFont="1" applyFill="1" applyBorder="1" applyAlignment="1">
      <alignment horizontal="center"/>
    </xf>
    <xf numFmtId="0" fontId="3" fillId="2" borderId="79" xfId="2" applyFont="1" applyFill="1" applyBorder="1" applyAlignment="1">
      <alignment horizontal="center"/>
    </xf>
    <xf numFmtId="0" fontId="64" fillId="13" borderId="89" xfId="3" applyFont="1" applyFill="1" applyBorder="1" applyAlignment="1">
      <alignment horizontal="center" vertical="center" wrapText="1"/>
    </xf>
    <xf numFmtId="0" fontId="64" fillId="13" borderId="90" xfId="3" applyFont="1" applyFill="1" applyBorder="1" applyAlignment="1">
      <alignment horizontal="center" vertical="center" wrapText="1"/>
    </xf>
    <xf numFmtId="0" fontId="64" fillId="13" borderId="90" xfId="2" applyFont="1" applyFill="1" applyBorder="1" applyAlignment="1">
      <alignment horizontal="center" vertical="center"/>
    </xf>
    <xf numFmtId="0" fontId="64" fillId="13" borderId="91" xfId="2" applyFont="1" applyFill="1" applyBorder="1" applyAlignment="1">
      <alignment horizontal="center" vertical="center"/>
    </xf>
    <xf numFmtId="0" fontId="64" fillId="2" borderId="92" xfId="3" applyFont="1" applyFill="1" applyBorder="1" applyAlignment="1">
      <alignment horizontal="left" vertical="top" wrapText="1" readingOrder="1"/>
    </xf>
    <xf numFmtId="0" fontId="64" fillId="2" borderId="19" xfId="3" applyFont="1" applyFill="1" applyBorder="1" applyAlignment="1">
      <alignment horizontal="left" vertical="top" wrapText="1" readingOrder="1"/>
    </xf>
    <xf numFmtId="0" fontId="65" fillId="2" borderId="19" xfId="2" applyFont="1" applyFill="1" applyBorder="1" applyAlignment="1">
      <alignment horizontal="justify" vertical="center" wrapText="1"/>
    </xf>
    <xf numFmtId="0" fontId="65" fillId="2" borderId="93" xfId="2" applyFont="1" applyFill="1" applyBorder="1" applyAlignment="1">
      <alignment horizontal="justify" vertical="center" wrapText="1"/>
    </xf>
    <xf numFmtId="0" fontId="64" fillId="2" borderId="9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5" fillId="2" borderId="19" xfId="2" applyFont="1" applyFill="1" applyBorder="1" applyAlignment="1">
      <alignment horizontal="left" vertical="center" wrapText="1"/>
    </xf>
    <xf numFmtId="0" fontId="65" fillId="2" borderId="93" xfId="2" applyFont="1" applyFill="1" applyBorder="1" applyAlignment="1">
      <alignment horizontal="left" vertical="center" wrapText="1"/>
    </xf>
    <xf numFmtId="0" fontId="64" fillId="2" borderId="92" xfId="0" applyFont="1" applyFill="1" applyBorder="1" applyAlignment="1">
      <alignment horizontal="center" vertical="center" wrapText="1"/>
    </xf>
    <xf numFmtId="0" fontId="65" fillId="2" borderId="95" xfId="2" applyFont="1" applyFill="1" applyBorder="1" applyAlignment="1">
      <alignment horizontal="justify" vertical="center" wrapText="1"/>
    </xf>
    <xf numFmtId="0" fontId="65" fillId="2" borderId="96" xfId="2" applyFont="1" applyFill="1" applyBorder="1" applyAlignment="1">
      <alignment horizontal="justify" vertical="center" wrapText="1"/>
    </xf>
    <xf numFmtId="0" fontId="64" fillId="2" borderId="94" xfId="0" applyFont="1" applyFill="1" applyBorder="1" applyAlignment="1">
      <alignment horizontal="left" vertical="center" wrapText="1"/>
    </xf>
    <xf numFmtId="0" fontId="64" fillId="2" borderId="95" xfId="0" applyFont="1" applyFill="1" applyBorder="1" applyAlignment="1">
      <alignment horizontal="left" vertical="center" wrapText="1"/>
    </xf>
    <xf numFmtId="0" fontId="94" fillId="0" borderId="19" xfId="0" applyFont="1" applyBorder="1" applyAlignment="1">
      <alignment horizontal="center" vertical="center"/>
    </xf>
    <xf numFmtId="0" fontId="94" fillId="0" borderId="20" xfId="0" applyFont="1" applyBorder="1" applyAlignment="1">
      <alignment horizontal="center" vertical="center"/>
    </xf>
    <xf numFmtId="0" fontId="63" fillId="0" borderId="19" xfId="0" applyFont="1" applyBorder="1" applyAlignment="1">
      <alignment horizontal="center" vertical="center"/>
    </xf>
    <xf numFmtId="0" fontId="68" fillId="0" borderId="19" xfId="0" applyFont="1" applyBorder="1" applyAlignment="1" applyProtection="1">
      <alignment horizontal="center" vertical="center" wrapText="1"/>
      <protection hidden="1"/>
    </xf>
    <xf numFmtId="0" fontId="63" fillId="17" borderId="5" xfId="0" applyFont="1" applyFill="1" applyBorder="1" applyAlignment="1">
      <alignment horizontal="center" vertical="center"/>
    </xf>
    <xf numFmtId="0" fontId="63" fillId="17" borderId="0" xfId="0" applyFont="1" applyFill="1" applyBorder="1" applyAlignment="1">
      <alignment horizontal="center" vertical="center"/>
    </xf>
    <xf numFmtId="0" fontId="63" fillId="17" borderId="6" xfId="0" applyFont="1" applyFill="1" applyBorder="1" applyAlignment="1">
      <alignment horizontal="center" vertical="center"/>
    </xf>
    <xf numFmtId="0" fontId="63" fillId="12" borderId="5" xfId="6" applyFont="1" applyFill="1" applyBorder="1" applyAlignment="1">
      <alignment horizontal="center" vertical="center" wrapText="1"/>
    </xf>
    <xf numFmtId="0" fontId="63" fillId="12" borderId="0" xfId="6" applyFont="1" applyFill="1" applyBorder="1" applyAlignment="1">
      <alignment horizontal="center" vertical="center" wrapText="1"/>
    </xf>
    <xf numFmtId="0" fontId="88" fillId="17" borderId="21" xfId="0" applyFont="1" applyFill="1" applyBorder="1" applyAlignment="1">
      <alignment horizontal="center" vertical="center"/>
    </xf>
    <xf numFmtId="0" fontId="88" fillId="17" borderId="22" xfId="0" applyFont="1" applyFill="1" applyBorder="1" applyAlignment="1">
      <alignment horizontal="center" vertical="center"/>
    </xf>
    <xf numFmtId="0" fontId="63" fillId="12" borderId="72" xfId="0" applyFont="1" applyFill="1" applyBorder="1" applyAlignment="1">
      <alignment horizontal="center" vertical="center" wrapText="1"/>
    </xf>
    <xf numFmtId="0" fontId="63" fillId="12" borderId="69" xfId="0" applyFont="1" applyFill="1" applyBorder="1" applyAlignment="1">
      <alignment horizontal="center" vertical="center" wrapText="1"/>
    </xf>
    <xf numFmtId="0" fontId="63" fillId="12" borderId="101" xfId="0" applyFont="1" applyFill="1" applyBorder="1" applyAlignment="1">
      <alignment horizontal="center" vertical="center" wrapText="1"/>
    </xf>
    <xf numFmtId="0" fontId="63" fillId="12" borderId="67" xfId="0" applyFont="1" applyFill="1" applyBorder="1" applyAlignment="1">
      <alignment horizontal="center" vertical="center" wrapText="1"/>
    </xf>
    <xf numFmtId="0" fontId="63" fillId="12" borderId="66" xfId="0" applyFont="1" applyFill="1" applyBorder="1" applyAlignment="1">
      <alignment horizontal="center" vertical="center" wrapText="1"/>
    </xf>
    <xf numFmtId="0" fontId="63" fillId="12" borderId="64" xfId="0" applyFont="1" applyFill="1" applyBorder="1" applyAlignment="1">
      <alignment horizontal="center" vertical="center" wrapText="1"/>
    </xf>
    <xf numFmtId="0" fontId="89" fillId="25" borderId="72" xfId="0" applyFont="1" applyFill="1" applyBorder="1" applyAlignment="1">
      <alignment horizontal="center" vertical="center" textRotation="90" wrapText="1"/>
    </xf>
    <xf numFmtId="0" fontId="63" fillId="0" borderId="20" xfId="0" applyFont="1" applyBorder="1" applyAlignment="1">
      <alignment horizontal="center" vertical="center"/>
    </xf>
    <xf numFmtId="0" fontId="68" fillId="0" borderId="19" xfId="0" applyFont="1" applyFill="1" applyBorder="1" applyAlignment="1" applyProtection="1">
      <alignment horizontal="center" vertical="center"/>
      <protection locked="0"/>
    </xf>
    <xf numFmtId="0" fontId="68" fillId="0" borderId="21" xfId="0" applyFont="1" applyBorder="1" applyAlignment="1">
      <alignment horizontal="center" vertical="center" wrapText="1"/>
    </xf>
    <xf numFmtId="0" fontId="68" fillId="0" borderId="33" xfId="0" applyFont="1" applyBorder="1" applyAlignment="1">
      <alignment horizontal="center" vertical="center" wrapText="1"/>
    </xf>
    <xf numFmtId="0" fontId="0" fillId="0" borderId="89" xfId="0" applyBorder="1" applyAlignment="1">
      <alignment horizontal="center"/>
    </xf>
    <xf numFmtId="0" fontId="0" fillId="0" borderId="92" xfId="0" applyBorder="1" applyAlignment="1">
      <alignment horizontal="center"/>
    </xf>
    <xf numFmtId="0" fontId="0" fillId="0" borderId="94" xfId="0" applyBorder="1" applyAlignment="1">
      <alignment horizontal="center"/>
    </xf>
    <xf numFmtId="0" fontId="66" fillId="20" borderId="21" xfId="0" applyFont="1" applyFill="1" applyBorder="1" applyAlignment="1">
      <alignment horizontal="center" vertical="center" wrapText="1"/>
    </xf>
    <xf numFmtId="0" fontId="66" fillId="20" borderId="22" xfId="0" applyFont="1" applyFill="1" applyBorder="1" applyAlignment="1">
      <alignment horizontal="center" vertical="center" wrapText="1"/>
    </xf>
    <xf numFmtId="0" fontId="63" fillId="0" borderId="21" xfId="0" applyFont="1" applyBorder="1" applyAlignment="1">
      <alignment horizontal="left" vertical="center" wrapText="1"/>
    </xf>
    <xf numFmtId="0" fontId="63" fillId="0" borderId="22" xfId="0" applyFont="1" applyBorder="1" applyAlignment="1">
      <alignment horizontal="left" vertical="center" wrapText="1"/>
    </xf>
    <xf numFmtId="0" fontId="63" fillId="0" borderId="33" xfId="0" applyFont="1" applyBorder="1" applyAlignment="1">
      <alignment horizontal="left" vertical="center" wrapText="1"/>
    </xf>
    <xf numFmtId="0" fontId="63" fillId="20" borderId="21" xfId="0" applyFont="1" applyFill="1" applyBorder="1" applyAlignment="1">
      <alignment horizontal="center" vertical="center" wrapText="1"/>
    </xf>
    <xf numFmtId="0" fontId="63" fillId="20" borderId="33" xfId="0" applyFont="1" applyFill="1" applyBorder="1" applyAlignment="1">
      <alignment horizontal="center" vertical="center" wrapText="1"/>
    </xf>
    <xf numFmtId="0" fontId="63" fillId="0" borderId="21" xfId="0" applyFont="1" applyBorder="1" applyAlignment="1">
      <alignment horizontal="center" vertical="center" wrapText="1"/>
    </xf>
    <xf numFmtId="0" fontId="63" fillId="0" borderId="33" xfId="0" applyFont="1" applyBorder="1" applyAlignment="1">
      <alignment horizontal="center" vertical="center" wrapText="1"/>
    </xf>
    <xf numFmtId="0" fontId="64" fillId="0" borderId="76" xfId="0" applyFont="1" applyBorder="1" applyAlignment="1">
      <alignment horizontal="center"/>
    </xf>
    <xf numFmtId="0" fontId="64" fillId="0" borderId="78" xfId="0" applyFont="1" applyBorder="1" applyAlignment="1">
      <alignment horizontal="center"/>
    </xf>
    <xf numFmtId="0" fontId="26" fillId="0" borderId="0" xfId="0" applyFont="1" applyAlignment="1">
      <alignment horizontal="center" vertical="center" wrapText="1"/>
    </xf>
    <xf numFmtId="0" fontId="21" fillId="4" borderId="5" xfId="0" applyFont="1" applyFill="1" applyBorder="1" applyAlignment="1" applyProtection="1">
      <alignment horizontal="center" wrapText="1" readingOrder="1"/>
      <protection hidden="1"/>
    </xf>
    <xf numFmtId="0" fontId="21" fillId="4" borderId="0" xfId="0" applyFont="1" applyFill="1" applyAlignment="1" applyProtection="1">
      <alignment horizontal="center" wrapText="1" readingOrder="1"/>
      <protection hidden="1"/>
    </xf>
    <xf numFmtId="0" fontId="21" fillId="4" borderId="6" xfId="0" applyFont="1" applyFill="1" applyBorder="1" applyAlignment="1" applyProtection="1">
      <alignment horizontal="center" wrapText="1" readingOrder="1"/>
      <protection hidden="1"/>
    </xf>
    <xf numFmtId="0" fontId="21" fillId="4" borderId="7" xfId="0" applyFont="1" applyFill="1" applyBorder="1" applyAlignment="1" applyProtection="1">
      <alignment horizontal="center" wrapText="1" readingOrder="1"/>
      <protection hidden="1"/>
    </xf>
    <xf numFmtId="0" fontId="21" fillId="4" borderId="9" xfId="0" applyFont="1" applyFill="1" applyBorder="1" applyAlignment="1" applyProtection="1">
      <alignment horizontal="center" wrapText="1" readingOrder="1"/>
      <protection hidden="1"/>
    </xf>
    <xf numFmtId="0" fontId="21" fillId="4" borderId="8" xfId="0" applyFont="1" applyFill="1" applyBorder="1" applyAlignment="1" applyProtection="1">
      <alignment horizontal="center" wrapText="1" readingOrder="1"/>
      <protection hidden="1"/>
    </xf>
    <xf numFmtId="0" fontId="21" fillId="4" borderId="3" xfId="0" applyFont="1" applyFill="1" applyBorder="1" applyAlignment="1" applyProtection="1">
      <alignment horizontal="center" wrapText="1" readingOrder="1"/>
      <protection hidden="1"/>
    </xf>
    <xf numFmtId="0" fontId="21" fillId="4" borderId="10" xfId="0" applyFont="1" applyFill="1" applyBorder="1" applyAlignment="1" applyProtection="1">
      <alignment horizontal="center" wrapText="1" readingOrder="1"/>
      <protection hidden="1"/>
    </xf>
    <xf numFmtId="0" fontId="21" fillId="4" borderId="4" xfId="0" applyFont="1" applyFill="1" applyBorder="1" applyAlignment="1" applyProtection="1">
      <alignment horizontal="center" wrapText="1" readingOrder="1"/>
      <protection hidden="1"/>
    </xf>
    <xf numFmtId="0" fontId="21" fillId="12" borderId="5"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6" xfId="0" applyFont="1" applyFill="1" applyBorder="1" applyAlignment="1" applyProtection="1">
      <alignment horizontal="center" wrapText="1" readingOrder="1"/>
      <protection hidden="1"/>
    </xf>
    <xf numFmtId="0" fontId="21" fillId="12" borderId="7" xfId="0" applyFont="1" applyFill="1" applyBorder="1" applyAlignment="1" applyProtection="1">
      <alignment horizontal="center" wrapText="1" readingOrder="1"/>
      <protection hidden="1"/>
    </xf>
    <xf numFmtId="0" fontId="21" fillId="12" borderId="9" xfId="0" applyFont="1" applyFill="1" applyBorder="1" applyAlignment="1" applyProtection="1">
      <alignment horizontal="center" wrapText="1" readingOrder="1"/>
      <protection hidden="1"/>
    </xf>
    <xf numFmtId="0" fontId="21" fillId="12" borderId="8" xfId="0" applyFont="1" applyFill="1" applyBorder="1" applyAlignment="1" applyProtection="1">
      <alignment horizontal="center" wrapText="1" readingOrder="1"/>
      <protection hidden="1"/>
    </xf>
    <xf numFmtId="0" fontId="21" fillId="12" borderId="3" xfId="0" applyFont="1" applyFill="1" applyBorder="1" applyAlignment="1" applyProtection="1">
      <alignment horizontal="center" wrapText="1" readingOrder="1"/>
      <protection hidden="1"/>
    </xf>
    <xf numFmtId="0" fontId="21" fillId="12" borderId="10" xfId="0" applyFont="1" applyFill="1" applyBorder="1" applyAlignment="1" applyProtection="1">
      <alignment horizontal="center" wrapText="1" readingOrder="1"/>
      <protection hidden="1"/>
    </xf>
    <xf numFmtId="0" fontId="21" fillId="12" borderId="4" xfId="0" applyFont="1" applyFill="1" applyBorder="1" applyAlignment="1" applyProtection="1">
      <alignment horizontal="center" wrapText="1" readingOrder="1"/>
      <protection hidden="1"/>
    </xf>
    <xf numFmtId="0" fontId="21" fillId="11" borderId="5" xfId="0" applyFont="1" applyFill="1" applyBorder="1" applyAlignment="1" applyProtection="1">
      <alignment horizontal="center" wrapText="1" readingOrder="1"/>
      <protection hidden="1"/>
    </xf>
    <xf numFmtId="0" fontId="21" fillId="11" borderId="0" xfId="0" applyFont="1" applyFill="1" applyAlignment="1" applyProtection="1">
      <alignment horizontal="center" wrapText="1" readingOrder="1"/>
      <protection hidden="1"/>
    </xf>
    <xf numFmtId="0" fontId="21" fillId="11" borderId="6" xfId="0" applyFont="1" applyFill="1" applyBorder="1" applyAlignment="1" applyProtection="1">
      <alignment horizontal="center" wrapText="1" readingOrder="1"/>
      <protection hidden="1"/>
    </xf>
    <xf numFmtId="0" fontId="21" fillId="11" borderId="7" xfId="0" applyFont="1" applyFill="1" applyBorder="1" applyAlignment="1" applyProtection="1">
      <alignment horizontal="center" wrapText="1" readingOrder="1"/>
      <protection hidden="1"/>
    </xf>
    <xf numFmtId="0" fontId="21" fillId="11" borderId="9" xfId="0" applyFont="1" applyFill="1" applyBorder="1" applyAlignment="1" applyProtection="1">
      <alignment horizontal="center" wrapText="1" readingOrder="1"/>
      <protection hidden="1"/>
    </xf>
    <xf numFmtId="0" fontId="21" fillId="11" borderId="8" xfId="0" applyFont="1" applyFill="1" applyBorder="1" applyAlignment="1" applyProtection="1">
      <alignment horizontal="center" wrapText="1" readingOrder="1"/>
      <protection hidden="1"/>
    </xf>
    <xf numFmtId="0" fontId="21" fillId="11" borderId="3" xfId="0" applyFont="1" applyFill="1" applyBorder="1" applyAlignment="1" applyProtection="1">
      <alignment horizontal="center" wrapText="1" readingOrder="1"/>
      <protection hidden="1"/>
    </xf>
    <xf numFmtId="0" fontId="21" fillId="11" borderId="10" xfId="0" applyFont="1" applyFill="1" applyBorder="1" applyAlignment="1" applyProtection="1">
      <alignment horizontal="center" wrapText="1" readingOrder="1"/>
      <protection hidden="1"/>
    </xf>
    <xf numFmtId="0" fontId="21" fillId="11" borderId="4" xfId="0" applyFont="1" applyFill="1" applyBorder="1" applyAlignment="1" applyProtection="1">
      <alignment horizontal="center" wrapText="1" readingOrder="1"/>
      <protection hidden="1"/>
    </xf>
    <xf numFmtId="0" fontId="21" fillId="10" borderId="5" xfId="0" applyFont="1" applyFill="1" applyBorder="1" applyAlignment="1" applyProtection="1">
      <alignment horizontal="center" vertical="center" wrapText="1" readingOrder="1"/>
      <protection hidden="1"/>
    </xf>
    <xf numFmtId="0" fontId="21" fillId="10" borderId="0" xfId="0" applyFont="1" applyFill="1" applyAlignment="1" applyProtection="1">
      <alignment horizontal="center" vertical="center" wrapText="1" readingOrder="1"/>
      <protection hidden="1"/>
    </xf>
    <xf numFmtId="0" fontId="21" fillId="10" borderId="6" xfId="0" applyFont="1" applyFill="1" applyBorder="1" applyAlignment="1" applyProtection="1">
      <alignment horizontal="center" vertical="center" wrapText="1" readingOrder="1"/>
      <protection hidden="1"/>
    </xf>
    <xf numFmtId="0" fontId="21" fillId="10" borderId="7" xfId="0" applyFont="1" applyFill="1" applyBorder="1" applyAlignment="1" applyProtection="1">
      <alignment horizontal="center" vertical="center" wrapText="1" readingOrder="1"/>
      <protection hidden="1"/>
    </xf>
    <xf numFmtId="0" fontId="21" fillId="10" borderId="9" xfId="0" applyFont="1" applyFill="1" applyBorder="1" applyAlignment="1" applyProtection="1">
      <alignment horizontal="center" vertical="center" wrapText="1" readingOrder="1"/>
      <protection hidden="1"/>
    </xf>
    <xf numFmtId="0" fontId="21" fillId="10" borderId="8" xfId="0" applyFont="1" applyFill="1" applyBorder="1" applyAlignment="1" applyProtection="1">
      <alignment horizontal="center" vertical="center" wrapText="1" readingOrder="1"/>
      <protection hidden="1"/>
    </xf>
    <xf numFmtId="0" fontId="21" fillId="10" borderId="3" xfId="0" applyFont="1" applyFill="1" applyBorder="1" applyAlignment="1" applyProtection="1">
      <alignment horizontal="center" vertical="center" wrapText="1" readingOrder="1"/>
      <protection hidden="1"/>
    </xf>
    <xf numFmtId="0" fontId="21" fillId="10" borderId="10" xfId="0" applyFont="1" applyFill="1" applyBorder="1" applyAlignment="1" applyProtection="1">
      <alignment horizontal="center" vertical="center" wrapText="1" readingOrder="1"/>
      <protection hidden="1"/>
    </xf>
    <xf numFmtId="0" fontId="21" fillId="10" borderId="4" xfId="0" applyFont="1" applyFill="1" applyBorder="1" applyAlignment="1" applyProtection="1">
      <alignment horizontal="center" vertical="center" wrapText="1" readingOrder="1"/>
      <protection hidden="1"/>
    </xf>
    <xf numFmtId="0" fontId="19" fillId="9" borderId="0" xfId="0" applyFont="1" applyFill="1" applyAlignment="1">
      <alignment horizontal="center" vertical="center" wrapText="1" readingOrder="1"/>
    </xf>
    <xf numFmtId="0" fontId="18" fillId="0" borderId="3" xfId="0" applyFont="1" applyBorder="1" applyAlignment="1">
      <alignment horizontal="center" vertical="center" wrapText="1"/>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wrapText="1"/>
    </xf>
    <xf numFmtId="0" fontId="19" fillId="9" borderId="0" xfId="0" applyFont="1" applyFill="1" applyAlignment="1">
      <alignment horizontal="center" vertical="center" textRotation="90" wrapText="1" readingOrder="1"/>
    </xf>
    <xf numFmtId="0" fontId="19" fillId="9" borderId="6" xfId="0" applyFont="1" applyFill="1" applyBorder="1" applyAlignment="1">
      <alignment horizontal="center" vertical="center" textRotation="90" wrapText="1" readingOrder="1"/>
    </xf>
    <xf numFmtId="0" fontId="22" fillId="11" borderId="11" xfId="0" applyFont="1" applyFill="1" applyBorder="1" applyAlignment="1">
      <alignment horizontal="center" vertical="center" wrapText="1" readingOrder="1"/>
    </xf>
    <xf numFmtId="0" fontId="22" fillId="11" borderId="12" xfId="0" applyFont="1" applyFill="1" applyBorder="1" applyAlignment="1">
      <alignment horizontal="center" vertical="center" wrapText="1" readingOrder="1"/>
    </xf>
    <xf numFmtId="0" fontId="22" fillId="11" borderId="13" xfId="0" applyFont="1" applyFill="1" applyBorder="1" applyAlignment="1">
      <alignment horizontal="center" vertical="center" wrapText="1" readingOrder="1"/>
    </xf>
    <xf numFmtId="0" fontId="22" fillId="11" borderId="14"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15" xfId="0" applyFont="1" applyFill="1" applyBorder="1" applyAlignment="1">
      <alignment horizontal="center" vertical="center" wrapText="1" readingOrder="1"/>
    </xf>
    <xf numFmtId="0" fontId="22" fillId="11" borderId="16" xfId="0" applyFont="1" applyFill="1" applyBorder="1" applyAlignment="1">
      <alignment horizontal="center" vertical="center" wrapText="1" readingOrder="1"/>
    </xf>
    <xf numFmtId="0" fontId="22" fillId="11" borderId="17" xfId="0" applyFont="1" applyFill="1" applyBorder="1" applyAlignment="1">
      <alignment horizontal="center" vertical="center" wrapText="1" readingOrder="1"/>
    </xf>
    <xf numFmtId="0" fontId="22" fillId="11" borderId="18" xfId="0" applyFont="1" applyFill="1" applyBorder="1" applyAlignment="1">
      <alignment horizontal="center" vertical="center" wrapText="1" readingOrder="1"/>
    </xf>
    <xf numFmtId="0" fontId="22" fillId="10" borderId="11" xfId="0" applyFont="1" applyFill="1" applyBorder="1" applyAlignment="1">
      <alignment horizontal="center" vertical="center" wrapText="1" readingOrder="1"/>
    </xf>
    <xf numFmtId="0" fontId="22" fillId="10" borderId="12" xfId="0" applyFont="1" applyFill="1" applyBorder="1" applyAlignment="1">
      <alignment horizontal="center" vertical="center" wrapText="1" readingOrder="1"/>
    </xf>
    <xf numFmtId="0" fontId="22" fillId="10" borderId="13" xfId="0" applyFont="1" applyFill="1" applyBorder="1" applyAlignment="1">
      <alignment horizontal="center" vertical="center" wrapText="1" readingOrder="1"/>
    </xf>
    <xf numFmtId="0" fontId="22" fillId="10" borderId="14" xfId="0" applyFont="1" applyFill="1" applyBorder="1" applyAlignment="1">
      <alignment horizontal="center" vertical="center" wrapText="1" readingOrder="1"/>
    </xf>
    <xf numFmtId="0" fontId="22" fillId="10" borderId="0" xfId="0" applyFont="1" applyFill="1" applyAlignment="1">
      <alignment horizontal="center" vertical="center" wrapText="1" readingOrder="1"/>
    </xf>
    <xf numFmtId="0" fontId="22" fillId="10" borderId="15" xfId="0" applyFont="1" applyFill="1" applyBorder="1" applyAlignment="1">
      <alignment horizontal="center" vertical="center" wrapText="1" readingOrder="1"/>
    </xf>
    <xf numFmtId="0" fontId="22" fillId="10" borderId="16" xfId="0" applyFont="1" applyFill="1" applyBorder="1" applyAlignment="1">
      <alignment horizontal="center" vertical="center" wrapText="1" readingOrder="1"/>
    </xf>
    <xf numFmtId="0" fontId="22" fillId="10" borderId="17" xfId="0" applyFont="1" applyFill="1" applyBorder="1" applyAlignment="1">
      <alignment horizontal="center" vertical="center" wrapText="1" readingOrder="1"/>
    </xf>
    <xf numFmtId="0" fontId="22" fillId="10" borderId="18" xfId="0" applyFont="1" applyFill="1" applyBorder="1" applyAlignment="1">
      <alignment horizontal="center" vertical="center" wrapText="1" readingOrder="1"/>
    </xf>
    <xf numFmtId="0" fontId="22" fillId="12" borderId="11" xfId="0" applyFont="1" applyFill="1" applyBorder="1" applyAlignment="1">
      <alignment horizontal="center" vertical="center" wrapText="1" readingOrder="1"/>
    </xf>
    <xf numFmtId="0" fontId="22" fillId="12" borderId="12" xfId="0" applyFont="1" applyFill="1" applyBorder="1" applyAlignment="1">
      <alignment horizontal="center" vertical="center" wrapText="1" readingOrder="1"/>
    </xf>
    <xf numFmtId="0" fontId="22" fillId="12" borderId="13" xfId="0" applyFont="1" applyFill="1" applyBorder="1" applyAlignment="1">
      <alignment horizontal="center" vertical="center" wrapText="1" readingOrder="1"/>
    </xf>
    <xf numFmtId="0" fontId="22" fillId="12" borderId="14"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15" xfId="0" applyFont="1" applyFill="1" applyBorder="1" applyAlignment="1">
      <alignment horizontal="center" vertical="center" wrapText="1" readingOrder="1"/>
    </xf>
    <xf numFmtId="0" fontId="22" fillId="12" borderId="16" xfId="0" applyFont="1" applyFill="1" applyBorder="1" applyAlignment="1">
      <alignment horizontal="center" vertical="center" wrapText="1" readingOrder="1"/>
    </xf>
    <xf numFmtId="0" fontId="22" fillId="12" borderId="17" xfId="0" applyFont="1" applyFill="1" applyBorder="1" applyAlignment="1">
      <alignment horizontal="center" vertical="center" wrapText="1" readingOrder="1"/>
    </xf>
    <xf numFmtId="0" fontId="22" fillId="12" borderId="18" xfId="0" applyFont="1" applyFill="1" applyBorder="1" applyAlignment="1">
      <alignment horizontal="center" vertical="center" wrapText="1" readingOrder="1"/>
    </xf>
    <xf numFmtId="0" fontId="22" fillId="4" borderId="11" xfId="0" applyFont="1" applyFill="1" applyBorder="1" applyAlignment="1">
      <alignment horizontal="center" vertical="center" wrapText="1" readingOrder="1"/>
    </xf>
    <xf numFmtId="0" fontId="22" fillId="4" borderId="12" xfId="0" applyFont="1" applyFill="1" applyBorder="1" applyAlignment="1">
      <alignment horizontal="center" vertical="center" wrapText="1" readingOrder="1"/>
    </xf>
    <xf numFmtId="0" fontId="22" fillId="4" borderId="13" xfId="0" applyFont="1" applyFill="1" applyBorder="1" applyAlignment="1">
      <alignment horizontal="center" vertical="center" wrapText="1" readingOrder="1"/>
    </xf>
    <xf numFmtId="0" fontId="22" fillId="4" borderId="14" xfId="0" applyFont="1" applyFill="1" applyBorder="1" applyAlignment="1">
      <alignment horizontal="center" vertical="center" wrapText="1" readingOrder="1"/>
    </xf>
    <xf numFmtId="0" fontId="22" fillId="4" borderId="0" xfId="0" applyFont="1" applyFill="1" applyAlignment="1">
      <alignment horizontal="center" vertical="center" wrapText="1" readingOrder="1"/>
    </xf>
    <xf numFmtId="0" fontId="22" fillId="4" borderId="15" xfId="0" applyFont="1" applyFill="1" applyBorder="1" applyAlignment="1">
      <alignment horizontal="center" vertical="center" wrapText="1" readingOrder="1"/>
    </xf>
    <xf numFmtId="0" fontId="22" fillId="4" borderId="16" xfId="0" applyFont="1" applyFill="1" applyBorder="1" applyAlignment="1">
      <alignment horizontal="center" vertical="center" wrapText="1" readingOrder="1"/>
    </xf>
    <xf numFmtId="0" fontId="22" fillId="4" borderId="17" xfId="0" applyFont="1" applyFill="1" applyBorder="1" applyAlignment="1">
      <alignment horizontal="center" vertical="center" wrapText="1" readingOrder="1"/>
    </xf>
    <xf numFmtId="0" fontId="22" fillId="4" borderId="18" xfId="0" applyFont="1" applyFill="1" applyBorder="1" applyAlignment="1">
      <alignment horizontal="center" vertical="center" wrapText="1" readingOrder="1"/>
    </xf>
    <xf numFmtId="0" fontId="43" fillId="0" borderId="3" xfId="0" applyFont="1" applyBorder="1" applyAlignment="1">
      <alignment horizontal="center" vertical="center" wrapText="1"/>
    </xf>
    <xf numFmtId="0" fontId="43" fillId="0" borderId="10"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wrapText="1"/>
    </xf>
    <xf numFmtId="0" fontId="42" fillId="10" borderId="11" xfId="0" applyFont="1" applyFill="1" applyBorder="1" applyAlignment="1">
      <alignment horizontal="center" vertical="center" wrapText="1" readingOrder="1"/>
    </xf>
    <xf numFmtId="0" fontId="42" fillId="10" borderId="12" xfId="0" applyFont="1" applyFill="1" applyBorder="1" applyAlignment="1">
      <alignment horizontal="center" vertical="center" wrapText="1" readingOrder="1"/>
    </xf>
    <xf numFmtId="0" fontId="42" fillId="10" borderId="13" xfId="0" applyFont="1" applyFill="1" applyBorder="1" applyAlignment="1">
      <alignment horizontal="center" vertical="center" wrapText="1" readingOrder="1"/>
    </xf>
    <xf numFmtId="0" fontId="42" fillId="10" borderId="14" xfId="0" applyFont="1" applyFill="1" applyBorder="1" applyAlignment="1">
      <alignment horizontal="center" vertical="center" wrapText="1" readingOrder="1"/>
    </xf>
    <xf numFmtId="0" fontId="42" fillId="10" borderId="0" xfId="0" applyFont="1" applyFill="1" applyAlignment="1">
      <alignment horizontal="center" vertical="center" wrapText="1" readingOrder="1"/>
    </xf>
    <xf numFmtId="0" fontId="42" fillId="10" borderId="15" xfId="0" applyFont="1" applyFill="1" applyBorder="1" applyAlignment="1">
      <alignment horizontal="center" vertical="center" wrapText="1" readingOrder="1"/>
    </xf>
    <xf numFmtId="0" fontId="42" fillId="10" borderId="16" xfId="0" applyFont="1" applyFill="1" applyBorder="1" applyAlignment="1">
      <alignment horizontal="center" vertical="center" wrapText="1" readingOrder="1"/>
    </xf>
    <xf numFmtId="0" fontId="42" fillId="10" borderId="17" xfId="0" applyFont="1" applyFill="1" applyBorder="1" applyAlignment="1">
      <alignment horizontal="center" vertical="center" wrapText="1" readingOrder="1"/>
    </xf>
    <xf numFmtId="0" fontId="42" fillId="10" borderId="18"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2" fillId="11" borderId="11" xfId="0" applyFont="1" applyFill="1" applyBorder="1" applyAlignment="1">
      <alignment horizontal="center" vertical="center" wrapText="1" readingOrder="1"/>
    </xf>
    <xf numFmtId="0" fontId="42" fillId="11" borderId="12" xfId="0" applyFont="1" applyFill="1" applyBorder="1" applyAlignment="1">
      <alignment horizontal="center" vertical="center" wrapText="1" readingOrder="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4" borderId="11" xfId="0" applyFont="1" applyFill="1" applyBorder="1" applyAlignment="1">
      <alignment horizontal="center" vertical="center" wrapText="1" readingOrder="1"/>
    </xf>
    <xf numFmtId="0" fontId="42" fillId="4" borderId="12" xfId="0" applyFont="1" applyFill="1" applyBorder="1" applyAlignment="1">
      <alignment horizontal="center" vertical="center" wrapText="1" readingOrder="1"/>
    </xf>
    <xf numFmtId="0" fontId="42" fillId="4" borderId="13" xfId="0" applyFont="1" applyFill="1" applyBorder="1" applyAlignment="1">
      <alignment horizontal="center" vertical="center" wrapText="1" readingOrder="1"/>
    </xf>
    <xf numFmtId="0" fontId="42" fillId="4" borderId="14" xfId="0" applyFont="1" applyFill="1" applyBorder="1" applyAlignment="1">
      <alignment horizontal="center" vertical="center" wrapText="1" readingOrder="1"/>
    </xf>
    <xf numFmtId="0" fontId="42" fillId="4" borderId="0" xfId="0" applyFont="1" applyFill="1" applyAlignment="1">
      <alignment horizontal="center" vertical="center" wrapText="1" readingOrder="1"/>
    </xf>
    <xf numFmtId="0" fontId="42" fillId="4" borderId="15" xfId="0" applyFont="1" applyFill="1" applyBorder="1" applyAlignment="1">
      <alignment horizontal="center" vertical="center" wrapText="1" readingOrder="1"/>
    </xf>
    <xf numFmtId="0" fontId="42" fillId="4" borderId="16" xfId="0" applyFont="1" applyFill="1" applyBorder="1" applyAlignment="1">
      <alignment horizontal="center" vertical="center" wrapText="1" readingOrder="1"/>
    </xf>
    <xf numFmtId="0" fontId="42" fillId="4" borderId="17" xfId="0" applyFont="1" applyFill="1" applyBorder="1" applyAlignment="1">
      <alignment horizontal="center" vertical="center" wrapText="1" readingOrder="1"/>
    </xf>
    <xf numFmtId="0" fontId="42" fillId="4" borderId="18" xfId="0" applyFont="1" applyFill="1" applyBorder="1" applyAlignment="1">
      <alignment horizontal="center" vertical="center" wrapText="1" readingOrder="1"/>
    </xf>
    <xf numFmtId="0" fontId="42" fillId="12" borderId="11" xfId="0" applyFont="1" applyFill="1" applyBorder="1" applyAlignment="1">
      <alignment horizontal="center" vertical="center" wrapText="1" readingOrder="1"/>
    </xf>
    <xf numFmtId="0" fontId="42" fillId="12" borderId="12" xfId="0" applyFont="1" applyFill="1" applyBorder="1" applyAlignment="1">
      <alignment horizontal="center" vertical="center" wrapText="1" readingOrder="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21" xfId="0" applyFont="1" applyFill="1" applyBorder="1" applyAlignment="1">
      <alignment horizontal="center" vertical="center" wrapText="1" readingOrder="1"/>
    </xf>
    <xf numFmtId="0" fontId="40" fillId="14" borderId="22" xfId="0" applyFont="1" applyFill="1" applyBorder="1" applyAlignment="1">
      <alignment horizontal="center" vertical="center" wrapText="1" readingOrder="1"/>
    </xf>
    <xf numFmtId="0" fontId="40" fillId="14" borderId="33" xfId="0" applyFont="1" applyFill="1" applyBorder="1" applyAlignment="1">
      <alignment horizontal="center" vertical="center" wrapText="1" readingOrder="1"/>
    </xf>
    <xf numFmtId="0" fontId="35" fillId="2" borderId="0" xfId="0" applyFont="1" applyFill="1" applyAlignment="1">
      <alignment horizontal="justify" vertical="center" wrapText="1"/>
    </xf>
    <xf numFmtId="0" fontId="37" fillId="14" borderId="30" xfId="0" applyFont="1" applyFill="1" applyBorder="1" applyAlignment="1">
      <alignment horizontal="center" vertical="center" wrapText="1" readingOrder="1"/>
    </xf>
    <xf numFmtId="0" fontId="37" fillId="14" borderId="31" xfId="0" applyFont="1" applyFill="1" applyBorder="1" applyAlignment="1">
      <alignment horizontal="center" vertical="center" wrapText="1" readingOrder="1"/>
    </xf>
    <xf numFmtId="0" fontId="37" fillId="2" borderId="28" xfId="0" applyFont="1" applyFill="1" applyBorder="1" applyAlignment="1">
      <alignment horizontal="center" vertical="center" wrapText="1" readingOrder="1"/>
    </xf>
    <xf numFmtId="0" fontId="37" fillId="2" borderId="23" xfId="0" applyFont="1" applyFill="1" applyBorder="1" applyAlignment="1">
      <alignment horizontal="center" vertical="center" wrapText="1" readingOrder="1"/>
    </xf>
    <xf numFmtId="0" fontId="37" fillId="2" borderId="20" xfId="0" applyFont="1" applyFill="1" applyBorder="1" applyAlignment="1">
      <alignment horizontal="center" vertical="center" wrapText="1" readingOrder="1"/>
    </xf>
    <xf numFmtId="0" fontId="37" fillId="2" borderId="19" xfId="0" applyFont="1" applyFill="1" applyBorder="1" applyAlignment="1">
      <alignment horizontal="center" vertical="center" wrapText="1" readingOrder="1"/>
    </xf>
    <xf numFmtId="0" fontId="37" fillId="2" borderId="25" xfId="0" applyFont="1" applyFill="1" applyBorder="1" applyAlignment="1">
      <alignment horizontal="center" vertical="center" wrapText="1" readingOrder="1"/>
    </xf>
    <xf numFmtId="0" fontId="37" fillId="2" borderId="26" xfId="0" applyFont="1" applyFill="1" applyBorder="1" applyAlignment="1">
      <alignment horizontal="center" vertical="center" wrapText="1" readingOrder="1"/>
    </xf>
    <xf numFmtId="0" fontId="71" fillId="0" borderId="19" xfId="0" applyFont="1" applyBorder="1" applyAlignment="1">
      <alignment horizontal="center" vertical="center"/>
    </xf>
    <xf numFmtId="0" fontId="71" fillId="0" borderId="19" xfId="0" applyFont="1" applyBorder="1" applyAlignment="1">
      <alignment horizontal="center" vertical="center" wrapText="1"/>
    </xf>
    <xf numFmtId="0" fontId="0" fillId="0" borderId="0" xfId="0" applyAlignment="1">
      <alignment horizontal="center"/>
    </xf>
    <xf numFmtId="0" fontId="71" fillId="0" borderId="19" xfId="0" applyFont="1" applyBorder="1" applyAlignment="1">
      <alignment horizontal="center" vertical="center" textRotation="90"/>
    </xf>
    <xf numFmtId="0" fontId="0" fillId="0" borderId="74"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72" fillId="0" borderId="19" xfId="0" applyFont="1" applyBorder="1" applyAlignment="1">
      <alignment horizontal="center" vertical="center"/>
    </xf>
    <xf numFmtId="0" fontId="70" fillId="0" borderId="19" xfId="0" applyFont="1" applyBorder="1" applyAlignment="1">
      <alignment horizontal="center" vertical="center" wrapText="1"/>
    </xf>
    <xf numFmtId="0" fontId="70" fillId="0" borderId="75" xfId="0" applyFont="1" applyBorder="1" applyAlignment="1">
      <alignment horizontal="center" vertical="center"/>
    </xf>
    <xf numFmtId="0" fontId="70" fillId="0" borderId="61" xfId="0" applyFont="1" applyBorder="1" applyAlignment="1">
      <alignment horizontal="center" vertical="center"/>
    </xf>
    <xf numFmtId="0" fontId="70" fillId="0" borderId="19" xfId="0" applyFont="1" applyBorder="1" applyAlignment="1">
      <alignment horizontal="center" vertical="center"/>
    </xf>
    <xf numFmtId="0" fontId="61" fillId="16" borderId="19" xfId="0" applyFont="1" applyFill="1" applyBorder="1" applyAlignment="1">
      <alignment horizontal="center" vertical="center" wrapText="1"/>
    </xf>
  </cellXfs>
  <cellStyles count="8">
    <cellStyle name="Normal" xfId="0" builtinId="0"/>
    <cellStyle name="Normal - Style1 2" xfId="2"/>
    <cellStyle name="Normal 11" xfId="7"/>
    <cellStyle name="Normal 2" xfId="4"/>
    <cellStyle name="Normal 2 2" xfId="3"/>
    <cellStyle name="Normal 3" xfId="5"/>
    <cellStyle name="Normal 3 2" xfId="6"/>
    <cellStyle name="Porcentaje" xfId="1" builtinId="5"/>
  </cellStyles>
  <dxfs count="242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FF0000"/>
        </patternFill>
      </fill>
    </dxf>
    <dxf>
      <fill>
        <patternFill>
          <bgColor rgb="FFFF6600"/>
        </patternFill>
      </fill>
    </dxf>
    <dxf>
      <fill>
        <patternFill>
          <bgColor rgb="FFFFC000"/>
        </patternFill>
      </fill>
    </dxf>
    <dxf>
      <fill>
        <patternFill>
          <bgColor rgb="FFFFFF66"/>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6600"/>
        </patternFill>
      </fill>
    </dxf>
    <dxf>
      <fill>
        <patternFill>
          <bgColor rgb="FFFFC000"/>
        </patternFill>
      </fill>
    </dxf>
    <dxf>
      <fill>
        <patternFill>
          <bgColor rgb="FFFFFF66"/>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6600"/>
      <color rgb="FFFFFF99"/>
      <color rgb="FFFF9900"/>
      <color rgb="FFE6EFF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12989</xdr:colOff>
      <xdr:row>0</xdr:row>
      <xdr:rowOff>34636</xdr:rowOff>
    </xdr:from>
    <xdr:to>
      <xdr:col>28</xdr:col>
      <xdr:colOff>370176</xdr:colOff>
      <xdr:row>0</xdr:row>
      <xdr:rowOff>900545</xdr:rowOff>
    </xdr:to>
    <xdr:pic>
      <xdr:nvPicPr>
        <xdr:cNvPr id="2" name="Imagen 1" descr="logo vertical color">
          <a:extLst>
            <a:ext uri="{FF2B5EF4-FFF2-40B4-BE49-F238E27FC236}">
              <a16:creationId xmlns="" xmlns:a16="http://schemas.microsoft.com/office/drawing/2014/main" id="{B2170602-1A88-4F64-BA61-B87A19589B2E}"/>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45230762" y="34636"/>
          <a:ext cx="859414" cy="86590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685800</xdr:colOff>
      <xdr:row>0</xdr:row>
      <xdr:rowOff>19050</xdr:rowOff>
    </xdr:from>
    <xdr:to>
      <xdr:col>32</xdr:col>
      <xdr:colOff>402771</xdr:colOff>
      <xdr:row>0</xdr:row>
      <xdr:rowOff>628650</xdr:rowOff>
    </xdr:to>
    <xdr:pic>
      <xdr:nvPicPr>
        <xdr:cNvPr id="2" name="Imagen 1" descr="logo vertical color">
          <a:extLst>
            <a:ext uri="{FF2B5EF4-FFF2-40B4-BE49-F238E27FC236}">
              <a16:creationId xmlns="" xmlns:a16="http://schemas.microsoft.com/office/drawing/2014/main" id="{B2170602-1A88-4F64-BA61-B87A19589B2E}"/>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48354343" y="19050"/>
          <a:ext cx="435428"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TRIZ%20DE%20IDENTIFICACI&#211;N%20Y%20VALORACI&#211;N%20DE%20RIESGOS%20OPERATIVOS%20IGAC%20FINAL%20AMBIENTAL%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Downloads\MATRIZ%20DE%20IDENTIFICACI&#211;N%20Y%20VALORACI&#211;N%20DE%20RIESGOS%20OPERATIVOS%20IGAC%20FINAL%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 val="Opciones Tratamiento"/>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tivo R. Gestión"/>
      <sheetName val="R. Gestión "/>
      <sheetName val="Instructivo R. Corrupción"/>
      <sheetName val="R. Corrupción"/>
      <sheetName val="Impacto Corrupción"/>
      <sheetName val="Impacto Corrupcion Contractual"/>
      <sheetName val="Impacto Corrup Financiera"/>
      <sheetName val="Hoja1"/>
      <sheetName val="Impacto Corrupcion Ciudadano"/>
      <sheetName val="Impacto Corrupcion Bienes y Ser"/>
      <sheetName val="Impacto Corrupción Disciplinari"/>
      <sheetName val="Impacto Corrupcion Habilitacion"/>
      <sheetName val="Impacto Corrupcion Agrologia"/>
      <sheetName val="Corrupcion Documental"/>
      <sheetName val="Corrupcion Cartografia"/>
      <sheetName val="Corrupcion Evaluacion y Seguim"/>
      <sheetName val="Corrupción Geografica R30"/>
      <sheetName val="Corrupción Geografica R31"/>
      <sheetName val="Corrupción Catastro"/>
      <sheetName val="Matriz Calor Inherente"/>
      <sheetName val="Matriz Calor Residual"/>
      <sheetName val="Tabla probabilidad"/>
      <sheetName val="Tabla Impacto"/>
      <sheetName val="Tabla Valoración controles"/>
      <sheetName val="Opciones Tratamiento"/>
      <sheetName val="ListasRSec"/>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gac.gov.co/sites/igac.gov.co/files/listadomaestro/ct-pry_gestion_de_proyecto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6" zoomScale="70" zoomScaleNormal="70" workbookViewId="0">
      <selection activeCell="I35" sqref="I35"/>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4.7109375" style="72" customWidth="1"/>
    <col min="6" max="6" width="27.7109375" style="72" customWidth="1"/>
    <col min="7" max="8" width="24.7109375" style="72" customWidth="1"/>
    <col min="9" max="16384" width="11.42578125" style="72"/>
  </cols>
  <sheetData>
    <row r="1" spans="2:8" ht="15.75" thickBot="1" x14ac:dyDescent="0.3"/>
    <row r="2" spans="2:8" ht="18" x14ac:dyDescent="0.25">
      <c r="B2" s="361" t="s">
        <v>132</v>
      </c>
      <c r="C2" s="362"/>
      <c r="D2" s="362"/>
      <c r="E2" s="362"/>
      <c r="F2" s="362"/>
      <c r="G2" s="362"/>
      <c r="H2" s="363"/>
    </row>
    <row r="3" spans="2:8" x14ac:dyDescent="0.25">
      <c r="B3" s="73"/>
      <c r="C3" s="74"/>
      <c r="D3" s="74"/>
      <c r="E3" s="74"/>
      <c r="F3" s="74"/>
      <c r="G3" s="74"/>
      <c r="H3" s="75"/>
    </row>
    <row r="4" spans="2:8" ht="63" customHeight="1" x14ac:dyDescent="0.25">
      <c r="B4" s="364" t="s">
        <v>175</v>
      </c>
      <c r="C4" s="365"/>
      <c r="D4" s="365"/>
      <c r="E4" s="365"/>
      <c r="F4" s="365"/>
      <c r="G4" s="365"/>
      <c r="H4" s="366"/>
    </row>
    <row r="5" spans="2:8" ht="63" customHeight="1" x14ac:dyDescent="0.25">
      <c r="B5" s="367"/>
      <c r="C5" s="368"/>
      <c r="D5" s="368"/>
      <c r="E5" s="368"/>
      <c r="F5" s="368"/>
      <c r="G5" s="368"/>
      <c r="H5" s="369"/>
    </row>
    <row r="6" spans="2:8" ht="16.5" x14ac:dyDescent="0.25">
      <c r="B6" s="370" t="s">
        <v>130</v>
      </c>
      <c r="C6" s="371"/>
      <c r="D6" s="371"/>
      <c r="E6" s="371"/>
      <c r="F6" s="371"/>
      <c r="G6" s="371"/>
      <c r="H6" s="372"/>
    </row>
    <row r="7" spans="2:8" ht="95.25" customHeight="1" x14ac:dyDescent="0.25">
      <c r="B7" s="380" t="s">
        <v>135</v>
      </c>
      <c r="C7" s="381"/>
      <c r="D7" s="381"/>
      <c r="E7" s="381"/>
      <c r="F7" s="381"/>
      <c r="G7" s="381"/>
      <c r="H7" s="382"/>
    </row>
    <row r="8" spans="2:8" ht="16.5" x14ac:dyDescent="0.25">
      <c r="B8" s="109"/>
      <c r="C8" s="110"/>
      <c r="D8" s="110"/>
      <c r="E8" s="110"/>
      <c r="F8" s="110"/>
      <c r="G8" s="110"/>
      <c r="H8" s="111"/>
    </row>
    <row r="9" spans="2:8" ht="16.5" customHeight="1" x14ac:dyDescent="0.25">
      <c r="B9" s="373" t="s">
        <v>168</v>
      </c>
      <c r="C9" s="374"/>
      <c r="D9" s="374"/>
      <c r="E9" s="374"/>
      <c r="F9" s="374"/>
      <c r="G9" s="374"/>
      <c r="H9" s="375"/>
    </row>
    <row r="10" spans="2:8" ht="44.25" customHeight="1" x14ac:dyDescent="0.25">
      <c r="B10" s="373"/>
      <c r="C10" s="374"/>
      <c r="D10" s="374"/>
      <c r="E10" s="374"/>
      <c r="F10" s="374"/>
      <c r="G10" s="374"/>
      <c r="H10" s="375"/>
    </row>
    <row r="11" spans="2:8" ht="15.75" thickBot="1" x14ac:dyDescent="0.3">
      <c r="B11" s="98"/>
      <c r="C11" s="101"/>
      <c r="D11" s="106"/>
      <c r="E11" s="107"/>
      <c r="F11" s="107"/>
      <c r="G11" s="108"/>
      <c r="H11" s="102"/>
    </row>
    <row r="12" spans="2:8" ht="15.75" thickTop="1" x14ac:dyDescent="0.25">
      <c r="B12" s="98"/>
      <c r="C12" s="376" t="s">
        <v>131</v>
      </c>
      <c r="D12" s="377"/>
      <c r="E12" s="378" t="s">
        <v>169</v>
      </c>
      <c r="F12" s="379"/>
      <c r="G12" s="101"/>
      <c r="H12" s="102"/>
    </row>
    <row r="13" spans="2:8" ht="35.25" customHeight="1" x14ac:dyDescent="0.25">
      <c r="B13" s="98"/>
      <c r="C13" s="383" t="s">
        <v>162</v>
      </c>
      <c r="D13" s="384"/>
      <c r="E13" s="385" t="s">
        <v>167</v>
      </c>
      <c r="F13" s="386"/>
      <c r="G13" s="101"/>
      <c r="H13" s="102"/>
    </row>
    <row r="14" spans="2:8" ht="17.25" customHeight="1" x14ac:dyDescent="0.25">
      <c r="B14" s="98"/>
      <c r="C14" s="383" t="s">
        <v>163</v>
      </c>
      <c r="D14" s="384"/>
      <c r="E14" s="385" t="s">
        <v>165</v>
      </c>
      <c r="F14" s="386"/>
      <c r="G14" s="101"/>
      <c r="H14" s="102"/>
    </row>
    <row r="15" spans="2:8" ht="19.5" customHeight="1" x14ac:dyDescent="0.25">
      <c r="B15" s="98"/>
      <c r="C15" s="383" t="s">
        <v>164</v>
      </c>
      <c r="D15" s="384"/>
      <c r="E15" s="385" t="s">
        <v>166</v>
      </c>
      <c r="F15" s="386"/>
      <c r="G15" s="101"/>
      <c r="H15" s="102"/>
    </row>
    <row r="16" spans="2:8" ht="69.75" customHeight="1" x14ac:dyDescent="0.25">
      <c r="B16" s="98"/>
      <c r="C16" s="383" t="s">
        <v>133</v>
      </c>
      <c r="D16" s="384"/>
      <c r="E16" s="385" t="s">
        <v>134</v>
      </c>
      <c r="F16" s="386"/>
      <c r="G16" s="101"/>
      <c r="H16" s="102"/>
    </row>
    <row r="17" spans="2:8" ht="34.5" customHeight="1" x14ac:dyDescent="0.25">
      <c r="B17" s="98"/>
      <c r="C17" s="387" t="s">
        <v>1</v>
      </c>
      <c r="D17" s="388"/>
      <c r="E17" s="389" t="s">
        <v>176</v>
      </c>
      <c r="F17" s="390"/>
      <c r="G17" s="101"/>
      <c r="H17" s="102"/>
    </row>
    <row r="18" spans="2:8" ht="27.75" customHeight="1" x14ac:dyDescent="0.25">
      <c r="B18" s="98"/>
      <c r="C18" s="387" t="s">
        <v>2</v>
      </c>
      <c r="D18" s="388"/>
      <c r="E18" s="389" t="s">
        <v>177</v>
      </c>
      <c r="F18" s="390"/>
      <c r="G18" s="101"/>
      <c r="H18" s="102"/>
    </row>
    <row r="19" spans="2:8" ht="28.5" customHeight="1" x14ac:dyDescent="0.25">
      <c r="B19" s="98"/>
      <c r="C19" s="387" t="s">
        <v>32</v>
      </c>
      <c r="D19" s="388"/>
      <c r="E19" s="389" t="s">
        <v>178</v>
      </c>
      <c r="F19" s="390"/>
      <c r="G19" s="101"/>
      <c r="H19" s="102"/>
    </row>
    <row r="20" spans="2:8" ht="72.75" customHeight="1" x14ac:dyDescent="0.25">
      <c r="B20" s="98"/>
      <c r="C20" s="387" t="s">
        <v>0</v>
      </c>
      <c r="D20" s="388"/>
      <c r="E20" s="389" t="s">
        <v>179</v>
      </c>
      <c r="F20" s="390"/>
      <c r="G20" s="101"/>
      <c r="H20" s="102"/>
    </row>
    <row r="21" spans="2:8" ht="64.5" customHeight="1" x14ac:dyDescent="0.25">
      <c r="B21" s="98"/>
      <c r="C21" s="387" t="s">
        <v>36</v>
      </c>
      <c r="D21" s="388"/>
      <c r="E21" s="389" t="s">
        <v>137</v>
      </c>
      <c r="F21" s="390"/>
      <c r="G21" s="101"/>
      <c r="H21" s="102"/>
    </row>
    <row r="22" spans="2:8" ht="71.25" customHeight="1" x14ac:dyDescent="0.25">
      <c r="B22" s="98"/>
      <c r="C22" s="387" t="s">
        <v>136</v>
      </c>
      <c r="D22" s="388"/>
      <c r="E22" s="389" t="s">
        <v>138</v>
      </c>
      <c r="F22" s="390"/>
      <c r="G22" s="101"/>
      <c r="H22" s="102"/>
    </row>
    <row r="23" spans="2:8" ht="55.5" customHeight="1" x14ac:dyDescent="0.25">
      <c r="B23" s="98"/>
      <c r="C23" s="394" t="s">
        <v>139</v>
      </c>
      <c r="D23" s="395"/>
      <c r="E23" s="389" t="s">
        <v>140</v>
      </c>
      <c r="F23" s="390"/>
      <c r="G23" s="101"/>
      <c r="H23" s="102"/>
    </row>
    <row r="24" spans="2:8" ht="42" customHeight="1" x14ac:dyDescent="0.25">
      <c r="B24" s="98"/>
      <c r="C24" s="394" t="s">
        <v>35</v>
      </c>
      <c r="D24" s="395"/>
      <c r="E24" s="389" t="s">
        <v>141</v>
      </c>
      <c r="F24" s="390"/>
      <c r="G24" s="101"/>
      <c r="H24" s="102"/>
    </row>
    <row r="25" spans="2:8" ht="59.25" customHeight="1" x14ac:dyDescent="0.25">
      <c r="B25" s="98"/>
      <c r="C25" s="394" t="s">
        <v>129</v>
      </c>
      <c r="D25" s="395"/>
      <c r="E25" s="389" t="s">
        <v>142</v>
      </c>
      <c r="F25" s="390"/>
      <c r="G25" s="101"/>
      <c r="H25" s="102"/>
    </row>
    <row r="26" spans="2:8" ht="23.25" customHeight="1" x14ac:dyDescent="0.25">
      <c r="B26" s="98"/>
      <c r="C26" s="394" t="s">
        <v>11</v>
      </c>
      <c r="D26" s="395"/>
      <c r="E26" s="389" t="s">
        <v>143</v>
      </c>
      <c r="F26" s="390"/>
      <c r="G26" s="101"/>
      <c r="H26" s="102"/>
    </row>
    <row r="27" spans="2:8" ht="30.75" customHeight="1" x14ac:dyDescent="0.25">
      <c r="B27" s="98"/>
      <c r="C27" s="394" t="s">
        <v>147</v>
      </c>
      <c r="D27" s="395"/>
      <c r="E27" s="389" t="s">
        <v>144</v>
      </c>
      <c r="F27" s="390"/>
      <c r="G27" s="101"/>
      <c r="H27" s="102"/>
    </row>
    <row r="28" spans="2:8" ht="35.25" customHeight="1" x14ac:dyDescent="0.25">
      <c r="B28" s="98"/>
      <c r="C28" s="394" t="s">
        <v>148</v>
      </c>
      <c r="D28" s="395"/>
      <c r="E28" s="389" t="s">
        <v>145</v>
      </c>
      <c r="F28" s="390"/>
      <c r="G28" s="101"/>
      <c r="H28" s="102"/>
    </row>
    <row r="29" spans="2:8" ht="33" customHeight="1" x14ac:dyDescent="0.25">
      <c r="B29" s="98"/>
      <c r="C29" s="394" t="s">
        <v>148</v>
      </c>
      <c r="D29" s="395"/>
      <c r="E29" s="389" t="s">
        <v>145</v>
      </c>
      <c r="F29" s="390"/>
      <c r="G29" s="101"/>
      <c r="H29" s="102"/>
    </row>
    <row r="30" spans="2:8" ht="30" customHeight="1" x14ac:dyDescent="0.25">
      <c r="B30" s="98"/>
      <c r="C30" s="394" t="s">
        <v>149</v>
      </c>
      <c r="D30" s="395"/>
      <c r="E30" s="389" t="s">
        <v>146</v>
      </c>
      <c r="F30" s="390"/>
      <c r="G30" s="101"/>
      <c r="H30" s="102"/>
    </row>
    <row r="31" spans="2:8" ht="35.25" customHeight="1" x14ac:dyDescent="0.25">
      <c r="B31" s="98"/>
      <c r="C31" s="394" t="s">
        <v>150</v>
      </c>
      <c r="D31" s="395"/>
      <c r="E31" s="389" t="s">
        <v>151</v>
      </c>
      <c r="F31" s="390"/>
      <c r="G31" s="101"/>
      <c r="H31" s="102"/>
    </row>
    <row r="32" spans="2:8" ht="31.5" customHeight="1" x14ac:dyDescent="0.25">
      <c r="B32" s="98"/>
      <c r="C32" s="394" t="s">
        <v>152</v>
      </c>
      <c r="D32" s="395"/>
      <c r="E32" s="389" t="s">
        <v>153</v>
      </c>
      <c r="F32" s="390"/>
      <c r="G32" s="101"/>
      <c r="H32" s="102"/>
    </row>
    <row r="33" spans="2:8" ht="35.25" customHeight="1" x14ac:dyDescent="0.25">
      <c r="B33" s="98"/>
      <c r="C33" s="394" t="s">
        <v>154</v>
      </c>
      <c r="D33" s="395"/>
      <c r="E33" s="389" t="s">
        <v>155</v>
      </c>
      <c r="F33" s="390"/>
      <c r="G33" s="101"/>
      <c r="H33" s="102"/>
    </row>
    <row r="34" spans="2:8" ht="59.25" customHeight="1" x14ac:dyDescent="0.25">
      <c r="B34" s="98"/>
      <c r="C34" s="394" t="s">
        <v>156</v>
      </c>
      <c r="D34" s="395"/>
      <c r="E34" s="389" t="s">
        <v>157</v>
      </c>
      <c r="F34" s="390"/>
      <c r="G34" s="101"/>
      <c r="H34" s="102"/>
    </row>
    <row r="35" spans="2:8" ht="29.25" customHeight="1" x14ac:dyDescent="0.25">
      <c r="B35" s="98"/>
      <c r="C35" s="394" t="s">
        <v>25</v>
      </c>
      <c r="D35" s="395"/>
      <c r="E35" s="389" t="s">
        <v>158</v>
      </c>
      <c r="F35" s="390"/>
      <c r="G35" s="101"/>
      <c r="H35" s="102"/>
    </row>
    <row r="36" spans="2:8" ht="82.5" customHeight="1" x14ac:dyDescent="0.25">
      <c r="B36" s="98"/>
      <c r="C36" s="394" t="s">
        <v>160</v>
      </c>
      <c r="D36" s="395"/>
      <c r="E36" s="389" t="s">
        <v>159</v>
      </c>
      <c r="F36" s="390"/>
      <c r="G36" s="101"/>
      <c r="H36" s="102"/>
    </row>
    <row r="37" spans="2:8" ht="46.5" customHeight="1" x14ac:dyDescent="0.25">
      <c r="B37" s="98"/>
      <c r="C37" s="394" t="s">
        <v>29</v>
      </c>
      <c r="D37" s="395"/>
      <c r="E37" s="389" t="s">
        <v>161</v>
      </c>
      <c r="F37" s="390"/>
      <c r="G37" s="101"/>
      <c r="H37" s="102"/>
    </row>
    <row r="38" spans="2:8" ht="6.75" customHeight="1" thickBot="1" x14ac:dyDescent="0.3">
      <c r="B38" s="98"/>
      <c r="C38" s="396"/>
      <c r="D38" s="397"/>
      <c r="E38" s="398"/>
      <c r="F38" s="399"/>
      <c r="G38" s="101"/>
      <c r="H38" s="102"/>
    </row>
    <row r="39" spans="2:8" ht="15.75" thickTop="1" x14ac:dyDescent="0.25">
      <c r="B39" s="98"/>
      <c r="C39" s="99"/>
      <c r="D39" s="99"/>
      <c r="E39" s="100"/>
      <c r="F39" s="100"/>
      <c r="G39" s="101"/>
      <c r="H39" s="102"/>
    </row>
    <row r="40" spans="2:8" ht="21" customHeight="1" x14ac:dyDescent="0.25">
      <c r="B40" s="391" t="s">
        <v>170</v>
      </c>
      <c r="C40" s="392"/>
      <c r="D40" s="392"/>
      <c r="E40" s="392"/>
      <c r="F40" s="392"/>
      <c r="G40" s="392"/>
      <c r="H40" s="393"/>
    </row>
    <row r="41" spans="2:8" ht="20.25" customHeight="1" x14ac:dyDescent="0.25">
      <c r="B41" s="391" t="s">
        <v>171</v>
      </c>
      <c r="C41" s="392"/>
      <c r="D41" s="392"/>
      <c r="E41" s="392"/>
      <c r="F41" s="392"/>
      <c r="G41" s="392"/>
      <c r="H41" s="393"/>
    </row>
    <row r="42" spans="2:8" ht="20.25" customHeight="1" x14ac:dyDescent="0.25">
      <c r="B42" s="391" t="s">
        <v>172</v>
      </c>
      <c r="C42" s="392"/>
      <c r="D42" s="392"/>
      <c r="E42" s="392"/>
      <c r="F42" s="392"/>
      <c r="G42" s="392"/>
      <c r="H42" s="393"/>
    </row>
    <row r="43" spans="2:8" ht="20.25" customHeight="1" x14ac:dyDescent="0.25">
      <c r="B43" s="391" t="s">
        <v>173</v>
      </c>
      <c r="C43" s="392"/>
      <c r="D43" s="392"/>
      <c r="E43" s="392"/>
      <c r="F43" s="392"/>
      <c r="G43" s="392"/>
      <c r="H43" s="393"/>
    </row>
    <row r="44" spans="2:8" x14ac:dyDescent="0.25">
      <c r="B44" s="391" t="s">
        <v>174</v>
      </c>
      <c r="C44" s="392"/>
      <c r="D44" s="392"/>
      <c r="E44" s="392"/>
      <c r="F44" s="392"/>
      <c r="G44" s="392"/>
      <c r="H44" s="393"/>
    </row>
    <row r="45" spans="2:8" ht="15.75" thickBot="1" x14ac:dyDescent="0.3">
      <c r="B45" s="103"/>
      <c r="C45" s="104"/>
      <c r="D45" s="104"/>
      <c r="E45" s="104"/>
      <c r="F45" s="104"/>
      <c r="G45" s="104"/>
      <c r="H45" s="10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zoomScale="120" zoomScaleNormal="120" workbookViewId="0">
      <selection activeCell="A32" sqref="A32"/>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293</v>
      </c>
      <c r="D10" s="600"/>
    </row>
    <row r="11" spans="1:4" ht="15.75" thickBot="1" x14ac:dyDescent="0.3">
      <c r="A11" s="182">
        <v>3</v>
      </c>
      <c r="B11" s="183" t="s">
        <v>209</v>
      </c>
      <c r="C11" s="599" t="s">
        <v>293</v>
      </c>
      <c r="D11" s="600"/>
    </row>
    <row r="12" spans="1:4" ht="15.75" thickBot="1" x14ac:dyDescent="0.3">
      <c r="A12" s="182">
        <v>4</v>
      </c>
      <c r="B12" s="183" t="s">
        <v>208</v>
      </c>
      <c r="C12" s="599" t="s">
        <v>293</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293</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293</v>
      </c>
      <c r="D21" s="600"/>
    </row>
    <row r="22" spans="1:4" ht="15.75" thickBot="1" x14ac:dyDescent="0.3">
      <c r="A22" s="182">
        <v>14</v>
      </c>
      <c r="B22" s="183" t="s">
        <v>198</v>
      </c>
      <c r="C22" s="599" t="s">
        <v>293</v>
      </c>
      <c r="D22" s="600"/>
    </row>
    <row r="23" spans="1:4" ht="15.75" thickBot="1" x14ac:dyDescent="0.3">
      <c r="A23" s="182">
        <v>15</v>
      </c>
      <c r="B23" s="183" t="s">
        <v>197</v>
      </c>
      <c r="C23" s="599" t="s">
        <v>293</v>
      </c>
      <c r="D23" s="600"/>
    </row>
    <row r="24" spans="1:4" ht="15.75" thickBot="1" x14ac:dyDescent="0.3">
      <c r="A24" s="182">
        <v>16</v>
      </c>
      <c r="B24" s="183" t="s">
        <v>196</v>
      </c>
      <c r="C24" s="599" t="s">
        <v>293</v>
      </c>
      <c r="D24" s="600"/>
    </row>
    <row r="25" spans="1:4" ht="15.75" thickBot="1" x14ac:dyDescent="0.3">
      <c r="A25" s="182">
        <v>17</v>
      </c>
      <c r="B25" s="183" t="s">
        <v>195</v>
      </c>
      <c r="C25" s="599" t="s">
        <v>293</v>
      </c>
      <c r="D25" s="600"/>
    </row>
    <row r="26" spans="1:4" ht="15.75" thickBot="1" x14ac:dyDescent="0.3">
      <c r="A26" s="182">
        <v>18</v>
      </c>
      <c r="B26" s="183" t="s">
        <v>194</v>
      </c>
      <c r="C26" s="599" t="s">
        <v>293</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8</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workbookViewId="0">
      <selection sqref="A1:XFD1048576"/>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912</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292</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292</v>
      </c>
      <c r="D23" s="600"/>
    </row>
    <row r="24" spans="1:4" ht="15.75" thickBot="1" x14ac:dyDescent="0.3">
      <c r="A24" s="182">
        <v>16</v>
      </c>
      <c r="B24" s="183" t="s">
        <v>196</v>
      </c>
      <c r="C24" s="599" t="s">
        <v>292</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292</v>
      </c>
      <c r="D27" s="600"/>
    </row>
    <row r="28" spans="1:4" ht="15.75" customHeight="1" thickBot="1" x14ac:dyDescent="0.3">
      <c r="A28" s="184"/>
      <c r="B28" s="184"/>
      <c r="C28" s="184"/>
      <c r="D28" s="184"/>
    </row>
    <row r="29" spans="1:4" ht="15.75" thickBot="1" x14ac:dyDescent="0.3">
      <c r="A29" s="609" t="s">
        <v>190</v>
      </c>
      <c r="B29" s="610"/>
      <c r="C29" s="613">
        <f>COUNTIF(C9:D27,"SI")</f>
        <v>19</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workbookViewId="0">
      <selection activeCell="B32" sqref="B32"/>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912</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293</v>
      </c>
      <c r="D10" s="600"/>
    </row>
    <row r="11" spans="1:4" ht="15.75" thickBot="1" x14ac:dyDescent="0.3">
      <c r="A11" s="182">
        <v>3</v>
      </c>
      <c r="B11" s="183" t="s">
        <v>209</v>
      </c>
      <c r="C11" s="599" t="s">
        <v>292</v>
      </c>
      <c r="D11" s="600"/>
    </row>
    <row r="12" spans="1:4" ht="15.75" thickBot="1" x14ac:dyDescent="0.3">
      <c r="A12" s="182">
        <v>4</v>
      </c>
      <c r="B12" s="183" t="s">
        <v>208</v>
      </c>
      <c r="C12" s="599" t="s">
        <v>293</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293</v>
      </c>
      <c r="D16" s="600"/>
    </row>
    <row r="17" spans="1:4" ht="15.75" thickBot="1" x14ac:dyDescent="0.3">
      <c r="A17" s="182">
        <v>9</v>
      </c>
      <c r="B17" s="183" t="s">
        <v>203</v>
      </c>
      <c r="C17" s="599" t="s">
        <v>293</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293</v>
      </c>
      <c r="D21" s="600"/>
    </row>
    <row r="22" spans="1:4" ht="15.75" thickBot="1" x14ac:dyDescent="0.3">
      <c r="A22" s="182">
        <v>14</v>
      </c>
      <c r="B22" s="183" t="s">
        <v>198</v>
      </c>
      <c r="C22" s="599" t="s">
        <v>293</v>
      </c>
      <c r="D22" s="600"/>
    </row>
    <row r="23" spans="1:4" ht="15.75" thickBot="1" x14ac:dyDescent="0.3">
      <c r="A23" s="182">
        <v>15</v>
      </c>
      <c r="B23" s="183" t="s">
        <v>197</v>
      </c>
      <c r="C23" s="599" t="s">
        <v>293</v>
      </c>
      <c r="D23" s="600"/>
    </row>
    <row r="24" spans="1:4" ht="15.75" thickBot="1" x14ac:dyDescent="0.3">
      <c r="A24" s="182">
        <v>16</v>
      </c>
      <c r="B24" s="183" t="s">
        <v>196</v>
      </c>
      <c r="C24" s="599" t="s">
        <v>292</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11</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12:D12"/>
    <mergeCell ref="A1:A3"/>
    <mergeCell ref="B1:D1"/>
    <mergeCell ref="B2:D2"/>
    <mergeCell ref="A5:D5"/>
    <mergeCell ref="A6:D6"/>
    <mergeCell ref="C7:D7"/>
    <mergeCell ref="A8:B8"/>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A29:B29"/>
    <mergeCell ref="C29:D2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3" workbookViewId="0">
      <selection activeCell="A32" sqref="A32"/>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293</v>
      </c>
      <c r="D11" s="600"/>
    </row>
    <row r="12" spans="1:4" ht="15.75" thickBot="1" x14ac:dyDescent="0.3">
      <c r="A12" s="182">
        <v>4</v>
      </c>
      <c r="B12" s="183" t="s">
        <v>208</v>
      </c>
      <c r="C12" s="599" t="s">
        <v>293</v>
      </c>
      <c r="D12" s="600"/>
    </row>
    <row r="13" spans="1:4" ht="15.75" thickBot="1" x14ac:dyDescent="0.3">
      <c r="A13" s="182">
        <v>5</v>
      </c>
      <c r="B13" s="183" t="s">
        <v>207</v>
      </c>
      <c r="C13" s="599" t="s">
        <v>292</v>
      </c>
      <c r="D13" s="600"/>
    </row>
    <row r="14" spans="1:4" ht="15.75" thickBot="1" x14ac:dyDescent="0.3">
      <c r="A14" s="182">
        <v>6</v>
      </c>
      <c r="B14" s="183" t="s">
        <v>206</v>
      </c>
      <c r="C14" s="599" t="s">
        <v>293</v>
      </c>
      <c r="D14" s="600"/>
    </row>
    <row r="15" spans="1:4" ht="15.75" thickBot="1" x14ac:dyDescent="0.3">
      <c r="A15" s="182">
        <v>7</v>
      </c>
      <c r="B15" s="183" t="s">
        <v>205</v>
      </c>
      <c r="C15" s="599" t="s">
        <v>293</v>
      </c>
      <c r="D15" s="600"/>
    </row>
    <row r="16" spans="1:4" ht="15.75" thickBot="1" x14ac:dyDescent="0.3">
      <c r="A16" s="182">
        <v>8</v>
      </c>
      <c r="B16" s="183" t="s">
        <v>204</v>
      </c>
      <c r="C16" s="599" t="s">
        <v>292</v>
      </c>
      <c r="D16" s="600"/>
    </row>
    <row r="17" spans="1:4" ht="15.75" thickBot="1" x14ac:dyDescent="0.3">
      <c r="A17" s="182">
        <v>9</v>
      </c>
      <c r="B17" s="183" t="s">
        <v>203</v>
      </c>
      <c r="C17" s="599" t="s">
        <v>293</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293</v>
      </c>
      <c r="D21" s="600"/>
    </row>
    <row r="22" spans="1:4" ht="15.75" thickBot="1" x14ac:dyDescent="0.3">
      <c r="A22" s="182">
        <v>14</v>
      </c>
      <c r="B22" s="183" t="s">
        <v>198</v>
      </c>
      <c r="C22" s="599" t="s">
        <v>292</v>
      </c>
      <c r="D22" s="600"/>
    </row>
    <row r="23" spans="1:4" ht="15.75" thickBot="1" x14ac:dyDescent="0.3">
      <c r="A23" s="182">
        <v>15</v>
      </c>
      <c r="B23" s="183" t="s">
        <v>197</v>
      </c>
      <c r="C23" s="599" t="s">
        <v>293</v>
      </c>
      <c r="D23" s="600"/>
    </row>
    <row r="24" spans="1:4" ht="15.75" thickBot="1" x14ac:dyDescent="0.3">
      <c r="A24" s="182">
        <v>16</v>
      </c>
      <c r="B24" s="183" t="s">
        <v>196</v>
      </c>
      <c r="C24" s="599" t="s">
        <v>293</v>
      </c>
      <c r="D24" s="600"/>
    </row>
    <row r="25" spans="1:4" ht="15.75" thickBot="1" x14ac:dyDescent="0.3">
      <c r="A25" s="182">
        <v>17</v>
      </c>
      <c r="B25" s="183" t="s">
        <v>195</v>
      </c>
      <c r="C25" s="599" t="s">
        <v>293</v>
      </c>
      <c r="D25" s="600"/>
    </row>
    <row r="26" spans="1:4" ht="15.75" thickBot="1" x14ac:dyDescent="0.3">
      <c r="A26" s="182">
        <v>18</v>
      </c>
      <c r="B26" s="183" t="s">
        <v>194</v>
      </c>
      <c r="C26" s="599" t="s">
        <v>293</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8</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6" workbookViewId="0">
      <selection activeCell="A16" sqref="A1:XFD1048576"/>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292</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17</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12:D12"/>
    <mergeCell ref="A1:A3"/>
    <mergeCell ref="B1:D1"/>
    <mergeCell ref="B2:D2"/>
    <mergeCell ref="A5:D5"/>
    <mergeCell ref="A6:D6"/>
    <mergeCell ref="C7:D7"/>
    <mergeCell ref="A8:B8"/>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A29:B29"/>
    <mergeCell ref="C29:D2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workbookViewId="0">
      <selection activeCell="B21" sqref="B21"/>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293</v>
      </c>
      <c r="D11" s="600"/>
    </row>
    <row r="12" spans="1:4" ht="15.75" thickBot="1" x14ac:dyDescent="0.3">
      <c r="A12" s="182">
        <v>4</v>
      </c>
      <c r="B12" s="183" t="s">
        <v>208</v>
      </c>
      <c r="C12" s="599" t="s">
        <v>293</v>
      </c>
      <c r="D12" s="600"/>
    </row>
    <row r="13" spans="1:4" ht="15.75" thickBot="1" x14ac:dyDescent="0.3">
      <c r="A13" s="182">
        <v>5</v>
      </c>
      <c r="B13" s="183" t="s">
        <v>207</v>
      </c>
      <c r="C13" s="599" t="s">
        <v>292</v>
      </c>
      <c r="D13" s="600"/>
    </row>
    <row r="14" spans="1:4" ht="15.75" thickBot="1" x14ac:dyDescent="0.3">
      <c r="A14" s="182">
        <v>6</v>
      </c>
      <c r="B14" s="183" t="s">
        <v>206</v>
      </c>
      <c r="C14" s="599" t="s">
        <v>293</v>
      </c>
      <c r="D14" s="600"/>
    </row>
    <row r="15" spans="1:4" ht="15.75" thickBot="1" x14ac:dyDescent="0.3">
      <c r="A15" s="182">
        <v>7</v>
      </c>
      <c r="B15" s="183" t="s">
        <v>205</v>
      </c>
      <c r="C15" s="599" t="s">
        <v>292</v>
      </c>
      <c r="D15" s="600"/>
    </row>
    <row r="16" spans="1:4" ht="15.75" thickBot="1" x14ac:dyDescent="0.3">
      <c r="A16" s="182">
        <v>8</v>
      </c>
      <c r="B16" s="183" t="s">
        <v>204</v>
      </c>
      <c r="C16" s="599" t="s">
        <v>292</v>
      </c>
      <c r="D16" s="600"/>
    </row>
    <row r="17" spans="1:4" ht="15.75" thickBot="1" x14ac:dyDescent="0.3">
      <c r="A17" s="182">
        <v>9</v>
      </c>
      <c r="B17" s="183" t="s">
        <v>203</v>
      </c>
      <c r="C17" s="599" t="s">
        <v>293</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292</v>
      </c>
      <c r="D27" s="600"/>
    </row>
    <row r="28" spans="1:4" ht="15.75" customHeight="1" thickBot="1" x14ac:dyDescent="0.3">
      <c r="A28" s="184"/>
      <c r="B28" s="184"/>
      <c r="C28" s="184"/>
      <c r="D28" s="184"/>
    </row>
    <row r="29" spans="1:4" ht="15.75" thickBot="1" x14ac:dyDescent="0.3">
      <c r="A29" s="609" t="s">
        <v>190</v>
      </c>
      <c r="B29" s="610"/>
      <c r="C29" s="613">
        <f>COUNTIF(C9:D27,"SI")</f>
        <v>14</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7" workbookViewId="0">
      <selection activeCell="A29" sqref="A29:B29"/>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293</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293</v>
      </c>
      <c r="D21" s="600"/>
    </row>
    <row r="22" spans="1:4" ht="15.75" thickBot="1" x14ac:dyDescent="0.3">
      <c r="A22" s="182">
        <v>14</v>
      </c>
      <c r="B22" s="183" t="s">
        <v>198</v>
      </c>
      <c r="C22" s="599" t="s">
        <v>293</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12:D12"/>
    <mergeCell ref="A1:A3"/>
    <mergeCell ref="B1:D1"/>
    <mergeCell ref="B2:D2"/>
    <mergeCell ref="A5:D5"/>
    <mergeCell ref="A6:D6"/>
    <mergeCell ref="C7:D7"/>
    <mergeCell ref="A8:B8"/>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A29:B29"/>
    <mergeCell ref="C29:D29"/>
  </mergeCells>
  <pageMargins left="0.7" right="0.7" top="0.75" bottom="0.75" header="0.3" footer="0.3"/>
  <legacy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Listas!$B$48:$B$49</xm:f>
          </x14:formula1>
          <xm:sqref>C9:D27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9" workbookViewId="0">
      <selection activeCell="C29" sqref="C29:D29"/>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293</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293</v>
      </c>
      <c r="D21" s="600"/>
    </row>
    <row r="22" spans="1:4" ht="15.75" thickBot="1" x14ac:dyDescent="0.3">
      <c r="A22" s="182">
        <v>14</v>
      </c>
      <c r="B22" s="183" t="s">
        <v>198</v>
      </c>
      <c r="C22" s="599" t="s">
        <v>293</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293</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13</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workbookViewId="0">
      <selection sqref="A1:XFD1048576"/>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293</v>
      </c>
      <c r="D11" s="600"/>
    </row>
    <row r="12" spans="1:4" ht="15.75" thickBot="1" x14ac:dyDescent="0.3">
      <c r="A12" s="182">
        <v>4</v>
      </c>
      <c r="B12" s="183" t="s">
        <v>208</v>
      </c>
      <c r="C12" s="599" t="s">
        <v>293</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293</v>
      </c>
      <c r="D15" s="600"/>
    </row>
    <row r="16" spans="1:4" ht="15.75" thickBot="1" x14ac:dyDescent="0.3">
      <c r="A16" s="182">
        <v>8</v>
      </c>
      <c r="B16" s="183" t="s">
        <v>204</v>
      </c>
      <c r="C16" s="599" t="s">
        <v>293</v>
      </c>
      <c r="D16" s="600"/>
    </row>
    <row r="17" spans="1:4" ht="15.75" thickBot="1" x14ac:dyDescent="0.3">
      <c r="A17" s="182">
        <v>9</v>
      </c>
      <c r="B17" s="183" t="s">
        <v>203</v>
      </c>
      <c r="C17" s="599" t="s">
        <v>293</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293</v>
      </c>
      <c r="D23" s="600"/>
    </row>
    <row r="24" spans="1:4" ht="15.75" thickBot="1" x14ac:dyDescent="0.3">
      <c r="A24" s="182">
        <v>16</v>
      </c>
      <c r="B24" s="183" t="s">
        <v>196</v>
      </c>
      <c r="C24" s="599" t="s">
        <v>293</v>
      </c>
      <c r="D24" s="600"/>
    </row>
    <row r="25" spans="1:4" ht="15.75" thickBot="1" x14ac:dyDescent="0.3">
      <c r="A25" s="182">
        <v>17</v>
      </c>
      <c r="B25" s="183" t="s">
        <v>195</v>
      </c>
      <c r="C25" s="599" t="s">
        <v>293</v>
      </c>
      <c r="D25" s="600"/>
    </row>
    <row r="26" spans="1:4" ht="15.75" thickBot="1" x14ac:dyDescent="0.3">
      <c r="A26" s="182">
        <v>18</v>
      </c>
      <c r="B26" s="183" t="s">
        <v>194</v>
      </c>
      <c r="C26" s="599" t="s">
        <v>293</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9</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12:D12"/>
    <mergeCell ref="A1:A3"/>
    <mergeCell ref="B1:D1"/>
    <mergeCell ref="B2:D2"/>
    <mergeCell ref="A5:D5"/>
    <mergeCell ref="A6:D6"/>
    <mergeCell ref="C7:D7"/>
    <mergeCell ref="A8:B8"/>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A29:B29"/>
    <mergeCell ref="C29:D2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9" workbookViewId="0">
      <selection activeCell="B16" sqref="B16"/>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293</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293</v>
      </c>
      <c r="D21" s="600"/>
    </row>
    <row r="22" spans="1:4" ht="15.75" thickBot="1" x14ac:dyDescent="0.3">
      <c r="A22" s="182">
        <v>14</v>
      </c>
      <c r="B22" s="183" t="s">
        <v>198</v>
      </c>
      <c r="C22" s="599" t="s">
        <v>293</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14</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12:D12"/>
    <mergeCell ref="A1:A3"/>
    <mergeCell ref="B1:D1"/>
    <mergeCell ref="B2:D2"/>
    <mergeCell ref="A5:D5"/>
    <mergeCell ref="A6:D6"/>
    <mergeCell ref="C7:D7"/>
    <mergeCell ref="A8:B8"/>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A29:B29"/>
    <mergeCell ref="C29:D2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H45"/>
  <sheetViews>
    <sheetView topLeftCell="A45" zoomScale="60" zoomScaleNormal="60" workbookViewId="0">
      <selection activeCell="A53" sqref="A47:XFD53"/>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5.7109375" style="72" customWidth="1"/>
    <col min="6" max="6" width="31.42578125" style="72" customWidth="1"/>
    <col min="7" max="8" width="24.7109375" style="72" customWidth="1"/>
    <col min="9" max="16384" width="11.42578125" style="72"/>
  </cols>
  <sheetData>
    <row r="1" spans="1:8" s="131" customFormat="1" ht="28.5" customHeight="1" thickTop="1" x14ac:dyDescent="0.2">
      <c r="A1" s="404"/>
      <c r="B1" s="405"/>
      <c r="C1" s="410" t="s">
        <v>274</v>
      </c>
      <c r="D1" s="410"/>
      <c r="E1" s="410"/>
      <c r="F1" s="410"/>
      <c r="G1" s="410"/>
      <c r="H1" s="411"/>
    </row>
    <row r="2" spans="1:8" s="131" customFormat="1" ht="27.75" customHeight="1" x14ac:dyDescent="0.2">
      <c r="A2" s="406"/>
      <c r="B2" s="407"/>
      <c r="C2" s="412" t="s">
        <v>588</v>
      </c>
      <c r="D2" s="412"/>
      <c r="E2" s="412"/>
      <c r="F2" s="412"/>
      <c r="G2" s="412"/>
      <c r="H2" s="413"/>
    </row>
    <row r="3" spans="1:8" s="131" customFormat="1" ht="24" customHeight="1" thickBot="1" x14ac:dyDescent="0.25">
      <c r="A3" s="408"/>
      <c r="B3" s="409"/>
      <c r="C3" s="414"/>
      <c r="D3" s="414"/>
      <c r="E3" s="414"/>
      <c r="F3" s="414"/>
      <c r="G3" s="414"/>
      <c r="H3" s="415"/>
    </row>
    <row r="4" spans="1:8" ht="15.75" thickTop="1" x14ac:dyDescent="0.25">
      <c r="A4" s="190"/>
      <c r="B4" s="190"/>
      <c r="C4" s="190"/>
      <c r="D4" s="190"/>
      <c r="E4" s="190"/>
      <c r="F4" s="190"/>
      <c r="G4" s="190"/>
      <c r="H4" s="190"/>
    </row>
    <row r="5" spans="1:8" ht="16.5" x14ac:dyDescent="0.25">
      <c r="A5" s="190"/>
      <c r="B5" s="403" t="s">
        <v>132</v>
      </c>
      <c r="C5" s="403"/>
      <c r="D5" s="403"/>
      <c r="E5" s="403"/>
      <c r="F5" s="403"/>
      <c r="G5" s="403"/>
      <c r="H5" s="403"/>
    </row>
    <row r="6" spans="1:8" ht="16.5" x14ac:dyDescent="0.3">
      <c r="A6" s="190"/>
      <c r="B6" s="400"/>
      <c r="C6" s="401"/>
      <c r="D6" s="401"/>
      <c r="E6" s="401"/>
      <c r="F6" s="401"/>
      <c r="G6" s="401"/>
      <c r="H6" s="402"/>
    </row>
    <row r="7" spans="1:8" ht="63" customHeight="1" x14ac:dyDescent="0.25">
      <c r="A7" s="190"/>
      <c r="B7" s="416" t="s">
        <v>569</v>
      </c>
      <c r="C7" s="416"/>
      <c r="D7" s="416"/>
      <c r="E7" s="416"/>
      <c r="F7" s="416"/>
      <c r="G7" s="416"/>
      <c r="H7" s="416"/>
    </row>
    <row r="8" spans="1:8" ht="90.75" customHeight="1" x14ac:dyDescent="0.25">
      <c r="A8" s="190"/>
      <c r="B8" s="416"/>
      <c r="C8" s="416"/>
      <c r="D8" s="416"/>
      <c r="E8" s="416"/>
      <c r="F8" s="416"/>
      <c r="G8" s="416"/>
      <c r="H8" s="416"/>
    </row>
    <row r="9" spans="1:8" x14ac:dyDescent="0.25">
      <c r="A9" s="190"/>
      <c r="B9" s="417" t="s">
        <v>130</v>
      </c>
      <c r="C9" s="418"/>
      <c r="D9" s="418"/>
      <c r="E9" s="418"/>
      <c r="F9" s="418"/>
      <c r="G9" s="418"/>
      <c r="H9" s="418"/>
    </row>
    <row r="10" spans="1:8" ht="95.25" customHeight="1" x14ac:dyDescent="0.25">
      <c r="A10" s="190"/>
      <c r="B10" s="419" t="s">
        <v>570</v>
      </c>
      <c r="C10" s="419"/>
      <c r="D10" s="419"/>
      <c r="E10" s="419"/>
      <c r="F10" s="419"/>
      <c r="G10" s="419"/>
      <c r="H10" s="419"/>
    </row>
    <row r="11" spans="1:8" ht="16.5" x14ac:dyDescent="0.25">
      <c r="A11" s="190"/>
      <c r="B11" s="425"/>
      <c r="C11" s="426"/>
      <c r="D11" s="426"/>
      <c r="E11" s="426"/>
      <c r="F11" s="426"/>
      <c r="G11" s="426"/>
      <c r="H11" s="427"/>
    </row>
    <row r="12" spans="1:8" ht="16.5" customHeight="1" x14ac:dyDescent="0.25">
      <c r="A12" s="190"/>
      <c r="B12" s="416" t="s">
        <v>533</v>
      </c>
      <c r="C12" s="420"/>
      <c r="D12" s="420"/>
      <c r="E12" s="420"/>
      <c r="F12" s="420"/>
      <c r="G12" s="420"/>
      <c r="H12" s="420"/>
    </row>
    <row r="13" spans="1:8" ht="96" customHeight="1" x14ac:dyDescent="0.25">
      <c r="A13" s="190"/>
      <c r="B13" s="420"/>
      <c r="C13" s="420"/>
      <c r="D13" s="420"/>
      <c r="E13" s="420"/>
      <c r="F13" s="420"/>
      <c r="G13" s="420"/>
      <c r="H13" s="420"/>
    </row>
    <row r="14" spans="1:8" ht="17.25" thickBot="1" x14ac:dyDescent="0.35">
      <c r="A14" s="190"/>
      <c r="B14" s="191"/>
      <c r="C14" s="192"/>
      <c r="D14" s="193"/>
      <c r="E14" s="194"/>
      <c r="F14" s="194"/>
      <c r="G14" s="195"/>
      <c r="H14" s="196"/>
    </row>
    <row r="15" spans="1:8" ht="17.25" thickTop="1" x14ac:dyDescent="0.3">
      <c r="A15" s="190"/>
      <c r="B15" s="191"/>
      <c r="C15" s="421" t="s">
        <v>131</v>
      </c>
      <c r="D15" s="422"/>
      <c r="E15" s="423" t="s">
        <v>169</v>
      </c>
      <c r="F15" s="424"/>
      <c r="G15" s="192"/>
      <c r="H15" s="196"/>
    </row>
    <row r="16" spans="1:8" ht="109.5" customHeight="1" x14ac:dyDescent="0.3">
      <c r="A16" s="190"/>
      <c r="B16" s="191"/>
      <c r="C16" s="428" t="s">
        <v>133</v>
      </c>
      <c r="D16" s="429"/>
      <c r="E16" s="430" t="s">
        <v>294</v>
      </c>
      <c r="F16" s="431"/>
      <c r="G16" s="192"/>
      <c r="H16" s="196"/>
    </row>
    <row r="17" spans="1:8" ht="41.25" customHeight="1" x14ac:dyDescent="0.3">
      <c r="A17" s="190"/>
      <c r="B17" s="191"/>
      <c r="C17" s="432" t="s">
        <v>162</v>
      </c>
      <c r="D17" s="433"/>
      <c r="E17" s="430" t="s">
        <v>167</v>
      </c>
      <c r="F17" s="431"/>
      <c r="G17" s="192"/>
      <c r="H17" s="196"/>
    </row>
    <row r="18" spans="1:8" ht="45.75" customHeight="1" x14ac:dyDescent="0.3">
      <c r="A18" s="190"/>
      <c r="B18" s="191"/>
      <c r="C18" s="434" t="s">
        <v>1</v>
      </c>
      <c r="D18" s="435"/>
      <c r="E18" s="436" t="s">
        <v>176</v>
      </c>
      <c r="F18" s="437"/>
      <c r="G18" s="192"/>
      <c r="H18" s="196"/>
    </row>
    <row r="19" spans="1:8" ht="45.75" customHeight="1" x14ac:dyDescent="0.3">
      <c r="A19" s="190"/>
      <c r="B19" s="191"/>
      <c r="C19" s="434" t="s">
        <v>2</v>
      </c>
      <c r="D19" s="435"/>
      <c r="E19" s="436" t="s">
        <v>177</v>
      </c>
      <c r="F19" s="437"/>
      <c r="G19" s="192"/>
      <c r="H19" s="196"/>
    </row>
    <row r="20" spans="1:8" ht="50.25" customHeight="1" x14ac:dyDescent="0.3">
      <c r="A20" s="190"/>
      <c r="B20" s="191"/>
      <c r="C20" s="434" t="s">
        <v>32</v>
      </c>
      <c r="D20" s="435"/>
      <c r="E20" s="436" t="s">
        <v>178</v>
      </c>
      <c r="F20" s="437"/>
      <c r="G20" s="192"/>
      <c r="H20" s="196"/>
    </row>
    <row r="21" spans="1:8" ht="102.75" customHeight="1" x14ac:dyDescent="0.3">
      <c r="A21" s="190"/>
      <c r="B21" s="191"/>
      <c r="C21" s="434" t="s">
        <v>0</v>
      </c>
      <c r="D21" s="435"/>
      <c r="E21" s="436" t="s">
        <v>571</v>
      </c>
      <c r="F21" s="437"/>
      <c r="G21" s="192"/>
      <c r="H21" s="196"/>
    </row>
    <row r="22" spans="1:8" ht="97.5" customHeight="1" x14ac:dyDescent="0.3">
      <c r="A22" s="190"/>
      <c r="B22" s="191"/>
      <c r="C22" s="434" t="s">
        <v>36</v>
      </c>
      <c r="D22" s="435"/>
      <c r="E22" s="436" t="s">
        <v>534</v>
      </c>
      <c r="F22" s="437"/>
      <c r="G22" s="192"/>
      <c r="H22" s="196"/>
    </row>
    <row r="23" spans="1:8" ht="99.75" customHeight="1" x14ac:dyDescent="0.3">
      <c r="A23" s="190"/>
      <c r="B23" s="191"/>
      <c r="C23" s="434" t="s">
        <v>136</v>
      </c>
      <c r="D23" s="435"/>
      <c r="E23" s="436" t="s">
        <v>535</v>
      </c>
      <c r="F23" s="437"/>
      <c r="G23" s="192"/>
      <c r="H23" s="196"/>
    </row>
    <row r="24" spans="1:8" ht="81" customHeight="1" x14ac:dyDescent="0.3">
      <c r="A24" s="190"/>
      <c r="B24" s="191"/>
      <c r="C24" s="434" t="s">
        <v>139</v>
      </c>
      <c r="D24" s="435"/>
      <c r="E24" s="436" t="s">
        <v>536</v>
      </c>
      <c r="F24" s="437"/>
      <c r="G24" s="192"/>
      <c r="H24" s="196"/>
    </row>
    <row r="25" spans="1:8" ht="60.75" customHeight="1" x14ac:dyDescent="0.3">
      <c r="A25" s="190"/>
      <c r="B25" s="191"/>
      <c r="C25" s="434" t="s">
        <v>35</v>
      </c>
      <c r="D25" s="435"/>
      <c r="E25" s="436" t="s">
        <v>295</v>
      </c>
      <c r="F25" s="437"/>
      <c r="G25" s="192"/>
      <c r="H25" s="196"/>
    </row>
    <row r="26" spans="1:8" ht="73.5" customHeight="1" x14ac:dyDescent="0.3">
      <c r="A26" s="190"/>
      <c r="B26" s="191"/>
      <c r="C26" s="434" t="s">
        <v>129</v>
      </c>
      <c r="D26" s="435"/>
      <c r="E26" s="436" t="s">
        <v>572</v>
      </c>
      <c r="F26" s="437"/>
      <c r="G26" s="192"/>
      <c r="H26" s="196"/>
    </row>
    <row r="27" spans="1:8" ht="45.75" customHeight="1" x14ac:dyDescent="0.3">
      <c r="A27" s="190"/>
      <c r="B27" s="191"/>
      <c r="C27" s="434" t="s">
        <v>11</v>
      </c>
      <c r="D27" s="435"/>
      <c r="E27" s="436" t="s">
        <v>296</v>
      </c>
      <c r="F27" s="437"/>
      <c r="G27" s="192"/>
      <c r="H27" s="196"/>
    </row>
    <row r="28" spans="1:8" ht="48.75" customHeight="1" x14ac:dyDescent="0.3">
      <c r="A28" s="190"/>
      <c r="B28" s="191"/>
      <c r="C28" s="434" t="s">
        <v>573</v>
      </c>
      <c r="D28" s="435"/>
      <c r="E28" s="436" t="s">
        <v>537</v>
      </c>
      <c r="F28" s="437"/>
      <c r="G28" s="192"/>
      <c r="H28" s="196"/>
    </row>
    <row r="29" spans="1:8" ht="35.25" customHeight="1" x14ac:dyDescent="0.3">
      <c r="A29" s="190"/>
      <c r="B29" s="191"/>
      <c r="C29" s="434" t="s">
        <v>574</v>
      </c>
      <c r="D29" s="435"/>
      <c r="E29" s="436" t="s">
        <v>538</v>
      </c>
      <c r="F29" s="437"/>
      <c r="G29" s="192"/>
      <c r="H29" s="196"/>
    </row>
    <row r="30" spans="1:8" ht="40.5" customHeight="1" x14ac:dyDescent="0.3">
      <c r="A30" s="190"/>
      <c r="B30" s="191"/>
      <c r="C30" s="434" t="s">
        <v>574</v>
      </c>
      <c r="D30" s="435"/>
      <c r="E30" s="436" t="s">
        <v>538</v>
      </c>
      <c r="F30" s="437"/>
      <c r="G30" s="192"/>
      <c r="H30" s="196"/>
    </row>
    <row r="31" spans="1:8" ht="34.5" customHeight="1" x14ac:dyDescent="0.3">
      <c r="A31" s="190"/>
      <c r="B31" s="191"/>
      <c r="C31" s="434" t="s">
        <v>575</v>
      </c>
      <c r="D31" s="435"/>
      <c r="E31" s="436" t="s">
        <v>297</v>
      </c>
      <c r="F31" s="437"/>
      <c r="G31" s="192"/>
      <c r="H31" s="196"/>
    </row>
    <row r="32" spans="1:8" ht="47.25" customHeight="1" x14ac:dyDescent="0.3">
      <c r="A32" s="190"/>
      <c r="B32" s="191"/>
      <c r="C32" s="434" t="s">
        <v>576</v>
      </c>
      <c r="D32" s="435"/>
      <c r="E32" s="436" t="s">
        <v>539</v>
      </c>
      <c r="F32" s="437"/>
      <c r="G32" s="192"/>
      <c r="H32" s="196"/>
    </row>
    <row r="33" spans="1:8" ht="50.25" customHeight="1" x14ac:dyDescent="0.3">
      <c r="A33" s="190"/>
      <c r="B33" s="191"/>
      <c r="C33" s="434" t="s">
        <v>577</v>
      </c>
      <c r="D33" s="435"/>
      <c r="E33" s="436" t="s">
        <v>540</v>
      </c>
      <c r="F33" s="437"/>
      <c r="G33" s="192"/>
      <c r="H33" s="196"/>
    </row>
    <row r="34" spans="1:8" ht="48.75" customHeight="1" x14ac:dyDescent="0.3">
      <c r="A34" s="190"/>
      <c r="B34" s="191"/>
      <c r="C34" s="434" t="s">
        <v>578</v>
      </c>
      <c r="D34" s="435"/>
      <c r="E34" s="436" t="s">
        <v>541</v>
      </c>
      <c r="F34" s="437"/>
      <c r="G34" s="192"/>
      <c r="H34" s="196"/>
    </row>
    <row r="35" spans="1:8" ht="60.75" customHeight="1" x14ac:dyDescent="0.3">
      <c r="A35" s="190"/>
      <c r="B35" s="191"/>
      <c r="C35" s="434" t="s">
        <v>156</v>
      </c>
      <c r="D35" s="435"/>
      <c r="E35" s="436" t="s">
        <v>579</v>
      </c>
      <c r="F35" s="437"/>
      <c r="G35" s="192"/>
      <c r="H35" s="196"/>
    </row>
    <row r="36" spans="1:8" ht="51" customHeight="1" x14ac:dyDescent="0.3">
      <c r="A36" s="190"/>
      <c r="B36" s="191"/>
      <c r="C36" s="434" t="s">
        <v>25</v>
      </c>
      <c r="D36" s="435"/>
      <c r="E36" s="436" t="s">
        <v>542</v>
      </c>
      <c r="F36" s="437"/>
      <c r="G36" s="192"/>
      <c r="H36" s="196"/>
    </row>
    <row r="37" spans="1:8" ht="118.5" customHeight="1" x14ac:dyDescent="0.3">
      <c r="A37" s="190"/>
      <c r="B37" s="191"/>
      <c r="C37" s="434" t="s">
        <v>580</v>
      </c>
      <c r="D37" s="435"/>
      <c r="E37" s="436" t="s">
        <v>543</v>
      </c>
      <c r="F37" s="437"/>
      <c r="G37" s="192"/>
      <c r="H37" s="196"/>
    </row>
    <row r="38" spans="1:8" ht="61.5" customHeight="1" thickBot="1" x14ac:dyDescent="0.35">
      <c r="A38" s="190"/>
      <c r="B38" s="191"/>
      <c r="C38" s="441" t="s">
        <v>29</v>
      </c>
      <c r="D38" s="442"/>
      <c r="E38" s="443" t="s">
        <v>544</v>
      </c>
      <c r="F38" s="444"/>
      <c r="G38" s="192"/>
      <c r="H38" s="196"/>
    </row>
    <row r="39" spans="1:8" ht="17.25" thickTop="1" x14ac:dyDescent="0.3">
      <c r="A39" s="190"/>
      <c r="B39" s="191"/>
      <c r="C39" s="197"/>
      <c r="D39" s="197"/>
      <c r="E39" s="198"/>
      <c r="F39" s="198"/>
      <c r="G39" s="192"/>
      <c r="H39" s="196"/>
    </row>
    <row r="40" spans="1:8" ht="21" hidden="1" customHeight="1" x14ac:dyDescent="0.25">
      <c r="A40" s="190"/>
      <c r="B40" s="438" t="s">
        <v>581</v>
      </c>
      <c r="C40" s="439"/>
      <c r="D40" s="439"/>
      <c r="E40" s="439"/>
      <c r="F40" s="439"/>
      <c r="G40" s="439"/>
      <c r="H40" s="440"/>
    </row>
    <row r="41" spans="1:8" ht="20.25" hidden="1" customHeight="1" x14ac:dyDescent="0.25">
      <c r="A41" s="190"/>
      <c r="B41" s="438" t="s">
        <v>582</v>
      </c>
      <c r="C41" s="439"/>
      <c r="D41" s="439"/>
      <c r="E41" s="439"/>
      <c r="F41" s="439"/>
      <c r="G41" s="439"/>
      <c r="H41" s="440"/>
    </row>
    <row r="42" spans="1:8" ht="20.25" hidden="1" customHeight="1" x14ac:dyDescent="0.25">
      <c r="A42" s="190"/>
      <c r="B42" s="438" t="s">
        <v>583</v>
      </c>
      <c r="C42" s="439"/>
      <c r="D42" s="439"/>
      <c r="E42" s="439"/>
      <c r="F42" s="439"/>
      <c r="G42" s="439"/>
      <c r="H42" s="440"/>
    </row>
    <row r="43" spans="1:8" ht="20.25" hidden="1" customHeight="1" x14ac:dyDescent="0.25">
      <c r="A43" s="190"/>
      <c r="B43" s="438" t="s">
        <v>584</v>
      </c>
      <c r="C43" s="439"/>
      <c r="D43" s="439"/>
      <c r="E43" s="439"/>
      <c r="F43" s="439"/>
      <c r="G43" s="439"/>
      <c r="H43" s="440"/>
    </row>
    <row r="44" spans="1:8" ht="16.5" hidden="1" x14ac:dyDescent="0.25">
      <c r="A44" s="190"/>
      <c r="B44" s="438" t="s">
        <v>585</v>
      </c>
      <c r="C44" s="439"/>
      <c r="D44" s="439"/>
      <c r="E44" s="439"/>
      <c r="F44" s="439"/>
      <c r="G44" s="439"/>
      <c r="H44" s="440"/>
    </row>
    <row r="45" spans="1:8" ht="17.25" thickBot="1" x14ac:dyDescent="0.35">
      <c r="A45" s="190"/>
      <c r="B45" s="199"/>
      <c r="C45" s="200"/>
      <c r="D45" s="200"/>
      <c r="E45" s="200"/>
      <c r="F45" s="200"/>
      <c r="G45" s="200"/>
      <c r="H45" s="201"/>
    </row>
  </sheetData>
  <mergeCells count="65">
    <mergeCell ref="B41:H41"/>
    <mergeCell ref="B42:H42"/>
    <mergeCell ref="B43:H43"/>
    <mergeCell ref="B44:H44"/>
    <mergeCell ref="C37:D37"/>
    <mergeCell ref="E37:F37"/>
    <mergeCell ref="C38:D38"/>
    <mergeCell ref="E38:F38"/>
    <mergeCell ref="B40:H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B7:H8"/>
    <mergeCell ref="B9:H9"/>
    <mergeCell ref="B10:H10"/>
    <mergeCell ref="B12:H13"/>
    <mergeCell ref="C15:D15"/>
    <mergeCell ref="E15:F15"/>
    <mergeCell ref="B11:H11"/>
    <mergeCell ref="B6:H6"/>
    <mergeCell ref="B5:H5"/>
    <mergeCell ref="A1:B3"/>
    <mergeCell ref="C1:H1"/>
    <mergeCell ref="C2:H2"/>
    <mergeCell ref="C3:F3"/>
    <mergeCell ref="G3:H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6" workbookViewId="0">
      <selection activeCell="F8" sqref="F8"/>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293</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293</v>
      </c>
      <c r="D21" s="600"/>
    </row>
    <row r="22" spans="1:4" ht="15.75" thickBot="1" x14ac:dyDescent="0.3">
      <c r="A22" s="182">
        <v>14</v>
      </c>
      <c r="B22" s="183" t="s">
        <v>198</v>
      </c>
      <c r="C22" s="599" t="s">
        <v>293</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14</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5" workbookViewId="0">
      <selection activeCell="C32" sqref="C32"/>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292</v>
      </c>
      <c r="D16" s="600"/>
    </row>
    <row r="17" spans="1:4" ht="15.75" thickBot="1" x14ac:dyDescent="0.3">
      <c r="A17" s="182">
        <v>9</v>
      </c>
      <c r="B17" s="183" t="s">
        <v>203</v>
      </c>
      <c r="C17" s="599" t="s">
        <v>292</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292</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17</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12:D12"/>
    <mergeCell ref="A1:A3"/>
    <mergeCell ref="B1:D1"/>
    <mergeCell ref="B2:D2"/>
    <mergeCell ref="A5:D5"/>
    <mergeCell ref="A6:D6"/>
    <mergeCell ref="C7:D7"/>
    <mergeCell ref="A8:B8"/>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A29:B29"/>
    <mergeCell ref="C29:D2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30" zoomScaleNormal="30" workbookViewId="0"/>
  </sheetViews>
  <sheetFormatPr baseColWidth="10" defaultColWidth="11.42578125" defaultRowHeight="15" x14ac:dyDescent="0.25"/>
  <cols>
    <col min="2" max="39" width="5.7109375" customWidth="1"/>
    <col min="41" max="46" width="5.7109375" customWidth="1"/>
  </cols>
  <sheetData>
    <row r="1" spans="1:99"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x14ac:dyDescent="0.25">
      <c r="A2" s="72"/>
      <c r="B2" s="615" t="s">
        <v>127</v>
      </c>
      <c r="C2" s="615"/>
      <c r="D2" s="615"/>
      <c r="E2" s="615"/>
      <c r="F2" s="615"/>
      <c r="G2" s="615"/>
      <c r="H2" s="615"/>
      <c r="I2" s="615"/>
      <c r="J2" s="652" t="s">
        <v>1</v>
      </c>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x14ac:dyDescent="0.25">
      <c r="A3" s="72"/>
      <c r="B3" s="615"/>
      <c r="C3" s="615"/>
      <c r="D3" s="615"/>
      <c r="E3" s="615"/>
      <c r="F3" s="615"/>
      <c r="G3" s="615"/>
      <c r="H3" s="615"/>
      <c r="I3" s="615"/>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x14ac:dyDescent="0.25">
      <c r="A4" s="72"/>
      <c r="B4" s="615"/>
      <c r="C4" s="615"/>
      <c r="D4" s="615"/>
      <c r="E4" s="615"/>
      <c r="F4" s="615"/>
      <c r="G4" s="615"/>
      <c r="H4" s="615"/>
      <c r="I4" s="615"/>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x14ac:dyDescent="0.25">
      <c r="A6" s="72"/>
      <c r="B6" s="663" t="s">
        <v>3</v>
      </c>
      <c r="C6" s="663"/>
      <c r="D6" s="664"/>
      <c r="E6" s="653" t="s">
        <v>100</v>
      </c>
      <c r="F6" s="654"/>
      <c r="G6" s="654"/>
      <c r="H6" s="654"/>
      <c r="I6" s="655"/>
      <c r="J6" s="649" t="e">
        <f>IF(AND('R. Gestión '!#REF!="Muy Alta",'R. Gestión '!#REF!="Leve"),CONCATENATE("R",'R. Gestión '!#REF!),"")</f>
        <v>#REF!</v>
      </c>
      <c r="K6" s="650"/>
      <c r="L6" s="650" t="e">
        <f>IF(AND('R. Gestión '!#REF!="Muy Alta",'R. Gestión '!#REF!="Leve"),CONCATENATE("R",'R. Gestión '!#REF!),"")</f>
        <v>#REF!</v>
      </c>
      <c r="M6" s="650"/>
      <c r="N6" s="650" t="e">
        <f>IF(AND('R. Gestión '!#REF!="Muy Alta",'R. Gestión '!#REF!="Leve"),CONCATENATE("R",'R. Gestión '!#REF!),"")</f>
        <v>#REF!</v>
      </c>
      <c r="O6" s="651"/>
      <c r="P6" s="649" t="e">
        <f>IF(AND('R. Gestión '!#REF!="Muy Alta",'R. Gestión '!#REF!="Menor"),CONCATENATE("R",'R. Gestión '!#REF!),"")</f>
        <v>#REF!</v>
      </c>
      <c r="Q6" s="650"/>
      <c r="R6" s="650" t="e">
        <f>IF(AND('R. Gestión '!#REF!="Muy Alta",'R. Gestión '!#REF!="Menor"),CONCATENATE("R",'R. Gestión '!#REF!),"")</f>
        <v>#REF!</v>
      </c>
      <c r="S6" s="650"/>
      <c r="T6" s="650" t="e">
        <f>IF(AND('R. Gestión '!#REF!="Muy Alta",'R. Gestión '!#REF!="Menor"),CONCATENATE("R",'R. Gestión '!#REF!),"")</f>
        <v>#REF!</v>
      </c>
      <c r="U6" s="651"/>
      <c r="V6" s="649" t="e">
        <f>IF(AND('R. Gestión '!#REF!="Muy Alta",'R. Gestión '!#REF!="Moderado"),CONCATENATE("R",'R. Gestión '!#REF!),"")</f>
        <v>#REF!</v>
      </c>
      <c r="W6" s="650"/>
      <c r="X6" s="650" t="e">
        <f>IF(AND('R. Gestión '!#REF!="Muy Alta",'R. Gestión '!#REF!="Moderado"),CONCATENATE("R",'R. Gestión '!#REF!),"")</f>
        <v>#REF!</v>
      </c>
      <c r="Y6" s="650"/>
      <c r="Z6" s="650" t="e">
        <f>IF(AND('R. Gestión '!#REF!="Muy Alta",'R. Gestión '!#REF!="Moderado"),CONCATENATE("R",'R. Gestión '!#REF!),"")</f>
        <v>#REF!</v>
      </c>
      <c r="AA6" s="651"/>
      <c r="AB6" s="649" t="e">
        <f>IF(AND('R. Gestión '!#REF!="Muy Alta",'R. Gestión '!#REF!="Mayor"),CONCATENATE("R",'R. Gestión '!#REF!),"")</f>
        <v>#REF!</v>
      </c>
      <c r="AC6" s="650"/>
      <c r="AD6" s="650" t="e">
        <f>IF(AND('R. Gestión '!#REF!="Muy Alta",'R. Gestión '!#REF!="Mayor"),CONCATENATE("R",'R. Gestión '!#REF!),"")</f>
        <v>#REF!</v>
      </c>
      <c r="AE6" s="650"/>
      <c r="AF6" s="650" t="e">
        <f>IF(AND('R. Gestión '!#REF!="Muy Alta",'R. Gestión '!#REF!="Mayor"),CONCATENATE("R",'R. Gestión '!#REF!),"")</f>
        <v>#REF!</v>
      </c>
      <c r="AG6" s="651"/>
      <c r="AH6" s="640" t="e">
        <f>IF(AND('R. Gestión '!#REF!="Muy Alta",'R. Gestión '!#REF!="Catastrófico"),CONCATENATE("R",'R. Gestión '!#REF!),"")</f>
        <v>#REF!</v>
      </c>
      <c r="AI6" s="641"/>
      <c r="AJ6" s="641" t="e">
        <f>IF(AND('R. Gestión '!#REF!="Muy Alta",'R. Gestión '!#REF!="Catastrófico"),CONCATENATE("R",'R. Gestión '!#REF!),"")</f>
        <v>#REF!</v>
      </c>
      <c r="AK6" s="641"/>
      <c r="AL6" s="641" t="e">
        <f>IF(AND('R. Gestión '!#REF!="Muy Alta",'R. Gestión '!#REF!="Catastrófico"),CONCATENATE("R",'R. Gestión '!#REF!),"")</f>
        <v>#REF!</v>
      </c>
      <c r="AM6" s="642"/>
      <c r="AO6" s="665" t="s">
        <v>65</v>
      </c>
      <c r="AP6" s="666"/>
      <c r="AQ6" s="666"/>
      <c r="AR6" s="666"/>
      <c r="AS6" s="666"/>
      <c r="AT6" s="667"/>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x14ac:dyDescent="0.25">
      <c r="A7" s="72"/>
      <c r="B7" s="663"/>
      <c r="C7" s="663"/>
      <c r="D7" s="664"/>
      <c r="E7" s="656"/>
      <c r="F7" s="657"/>
      <c r="G7" s="657"/>
      <c r="H7" s="657"/>
      <c r="I7" s="658"/>
      <c r="J7" s="643"/>
      <c r="K7" s="644"/>
      <c r="L7" s="644"/>
      <c r="M7" s="644"/>
      <c r="N7" s="644"/>
      <c r="O7" s="645"/>
      <c r="P7" s="643"/>
      <c r="Q7" s="644"/>
      <c r="R7" s="644"/>
      <c r="S7" s="644"/>
      <c r="T7" s="644"/>
      <c r="U7" s="645"/>
      <c r="V7" s="643"/>
      <c r="W7" s="644"/>
      <c r="X7" s="644"/>
      <c r="Y7" s="644"/>
      <c r="Z7" s="644"/>
      <c r="AA7" s="645"/>
      <c r="AB7" s="643"/>
      <c r="AC7" s="644"/>
      <c r="AD7" s="644"/>
      <c r="AE7" s="644"/>
      <c r="AF7" s="644"/>
      <c r="AG7" s="645"/>
      <c r="AH7" s="634"/>
      <c r="AI7" s="635"/>
      <c r="AJ7" s="635"/>
      <c r="AK7" s="635"/>
      <c r="AL7" s="635"/>
      <c r="AM7" s="636"/>
      <c r="AN7" s="72"/>
      <c r="AO7" s="668"/>
      <c r="AP7" s="669"/>
      <c r="AQ7" s="669"/>
      <c r="AR7" s="669"/>
      <c r="AS7" s="669"/>
      <c r="AT7" s="670"/>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x14ac:dyDescent="0.25">
      <c r="A8" s="72"/>
      <c r="B8" s="663"/>
      <c r="C8" s="663"/>
      <c r="D8" s="664"/>
      <c r="E8" s="656"/>
      <c r="F8" s="657"/>
      <c r="G8" s="657"/>
      <c r="H8" s="657"/>
      <c r="I8" s="658"/>
      <c r="J8" s="643" t="str">
        <f>IF(AND('R. Gestión '!$L$239="Muy Alta",'R. Gestión '!$P$239="Leve"),CONCATENATE("R",'R. Gestión '!$A$239),"")</f>
        <v/>
      </c>
      <c r="K8" s="644"/>
      <c r="L8" s="644" t="str">
        <f>IF(AND('R. Gestión '!$L$257="Muy Alta",'R. Gestión '!$P$257="Leve"),CONCATENATE("R",'R. Gestión '!$A$257),"")</f>
        <v/>
      </c>
      <c r="M8" s="644"/>
      <c r="N8" s="644" t="e">
        <f>IF(AND('R. Gestión '!#REF!="Muy Alta",'R. Gestión '!#REF!="Leve"),CONCATENATE("R",'R. Gestión '!#REF!),"")</f>
        <v>#REF!</v>
      </c>
      <c r="O8" s="645"/>
      <c r="P8" s="643" t="str">
        <f>IF(AND('R. Gestión '!$L$239="Muy Alta",'R. Gestión '!$P$239="Menor"),CONCATENATE("R",'R. Gestión '!$A$239),"")</f>
        <v/>
      </c>
      <c r="Q8" s="644"/>
      <c r="R8" s="644" t="str">
        <f>IF(AND('R. Gestión '!$L$257="Muy Alta",'R. Gestión '!$P$257="Menor"),CONCATENATE("R",'R. Gestión '!$A$257),"")</f>
        <v/>
      </c>
      <c r="S8" s="644"/>
      <c r="T8" s="644" t="e">
        <f>IF(AND('R. Gestión '!#REF!="Muy Alta",'R. Gestión '!#REF!="Menor"),CONCATENATE("R",'R. Gestión '!#REF!),"")</f>
        <v>#REF!</v>
      </c>
      <c r="U8" s="645"/>
      <c r="V8" s="643" t="str">
        <f>IF(AND('R. Gestión '!$L$239="Muy Alta",'R. Gestión '!$P$239="Moderado"),CONCATENATE("R",'R. Gestión '!$A$239),"")</f>
        <v/>
      </c>
      <c r="W8" s="644"/>
      <c r="X8" s="644" t="str">
        <f>IF(AND('R. Gestión '!$L$257="Muy Alta",'R. Gestión '!$P$257="Moderado"),CONCATENATE("R",'R. Gestión '!$A$257),"")</f>
        <v/>
      </c>
      <c r="Y8" s="644"/>
      <c r="Z8" s="644" t="e">
        <f>IF(AND('R. Gestión '!#REF!="Muy Alta",'R. Gestión '!#REF!="Moderado"),CONCATENATE("R",'R. Gestión '!#REF!),"")</f>
        <v>#REF!</v>
      </c>
      <c r="AA8" s="645"/>
      <c r="AB8" s="643" t="str">
        <f>IF(AND('R. Gestión '!$L$239="Muy Alta",'R. Gestión '!$P$239="Mayor"),CONCATENATE("R",'R. Gestión '!$A$239),"")</f>
        <v/>
      </c>
      <c r="AC8" s="644"/>
      <c r="AD8" s="644" t="str">
        <f>IF(AND('R. Gestión '!$L$257="Muy Alta",'R. Gestión '!$P$257="Mayor"),CONCATENATE("R",'R. Gestión '!$A$257),"")</f>
        <v/>
      </c>
      <c r="AE8" s="644"/>
      <c r="AF8" s="644" t="e">
        <f>IF(AND('R. Gestión '!#REF!="Muy Alta",'R. Gestión '!#REF!="Mayor"),CONCATENATE("R",'R. Gestión '!#REF!),"")</f>
        <v>#REF!</v>
      </c>
      <c r="AG8" s="645"/>
      <c r="AH8" s="634" t="str">
        <f>IF(AND('R. Gestión '!$L$239="Muy Alta",'R. Gestión '!$P$239="Catastrófico"),CONCATENATE("R",'R. Gestión '!$A$239),"")</f>
        <v/>
      </c>
      <c r="AI8" s="635"/>
      <c r="AJ8" s="635" t="str">
        <f>IF(AND('R. Gestión '!$L$257="Muy Alta",'R. Gestión '!$P$257="Catastrófico"),CONCATENATE("R",'R. Gestión '!$A$257),"")</f>
        <v/>
      </c>
      <c r="AK8" s="635"/>
      <c r="AL8" s="635" t="e">
        <f>IF(AND('R. Gestión '!#REF!="Muy Alta",'R. Gestión '!#REF!="Catastrófico"),CONCATENATE("R",'R. Gestión '!#REF!),"")</f>
        <v>#REF!</v>
      </c>
      <c r="AM8" s="636"/>
      <c r="AN8" s="72"/>
      <c r="AO8" s="668"/>
      <c r="AP8" s="669"/>
      <c r="AQ8" s="669"/>
      <c r="AR8" s="669"/>
      <c r="AS8" s="669"/>
      <c r="AT8" s="670"/>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x14ac:dyDescent="0.25">
      <c r="A9" s="72"/>
      <c r="B9" s="663"/>
      <c r="C9" s="663"/>
      <c r="D9" s="664"/>
      <c r="E9" s="656"/>
      <c r="F9" s="657"/>
      <c r="G9" s="657"/>
      <c r="H9" s="657"/>
      <c r="I9" s="658"/>
      <c r="J9" s="643"/>
      <c r="K9" s="644"/>
      <c r="L9" s="644"/>
      <c r="M9" s="644"/>
      <c r="N9" s="644"/>
      <c r="O9" s="645"/>
      <c r="P9" s="643"/>
      <c r="Q9" s="644"/>
      <c r="R9" s="644"/>
      <c r="S9" s="644"/>
      <c r="T9" s="644"/>
      <c r="U9" s="645"/>
      <c r="V9" s="643"/>
      <c r="W9" s="644"/>
      <c r="X9" s="644"/>
      <c r="Y9" s="644"/>
      <c r="Z9" s="644"/>
      <c r="AA9" s="645"/>
      <c r="AB9" s="643"/>
      <c r="AC9" s="644"/>
      <c r="AD9" s="644"/>
      <c r="AE9" s="644"/>
      <c r="AF9" s="644"/>
      <c r="AG9" s="645"/>
      <c r="AH9" s="634"/>
      <c r="AI9" s="635"/>
      <c r="AJ9" s="635"/>
      <c r="AK9" s="635"/>
      <c r="AL9" s="635"/>
      <c r="AM9" s="636"/>
      <c r="AN9" s="72"/>
      <c r="AO9" s="668"/>
      <c r="AP9" s="669"/>
      <c r="AQ9" s="669"/>
      <c r="AR9" s="669"/>
      <c r="AS9" s="669"/>
      <c r="AT9" s="670"/>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x14ac:dyDescent="0.25">
      <c r="A10" s="72"/>
      <c r="B10" s="663"/>
      <c r="C10" s="663"/>
      <c r="D10" s="664"/>
      <c r="E10" s="656"/>
      <c r="F10" s="657"/>
      <c r="G10" s="657"/>
      <c r="H10" s="657"/>
      <c r="I10" s="658"/>
      <c r="J10" s="643" t="e">
        <f>IF(AND('R. Gestión '!#REF!="Muy Alta",'R. Gestión '!#REF!="Leve"),CONCATENATE("R",'R. Gestión '!#REF!),"")</f>
        <v>#REF!</v>
      </c>
      <c r="K10" s="644"/>
      <c r="L10" s="644" t="str">
        <f>IF(AND('R. Gestión '!$L$281="Muy Alta",'R. Gestión '!$P$281="Leve"),CONCATENATE("R",'R. Gestión '!$A$281),"")</f>
        <v/>
      </c>
      <c r="M10" s="644"/>
      <c r="N10" s="644" t="e">
        <f>IF(AND('R. Gestión '!#REF!="Muy Alta",'R. Gestión '!#REF!="Leve"),CONCATENATE("R",'R. Gestión '!#REF!),"")</f>
        <v>#REF!</v>
      </c>
      <c r="O10" s="645"/>
      <c r="P10" s="643" t="e">
        <f>IF(AND('R. Gestión '!#REF!="Muy Alta",'R. Gestión '!#REF!="Menor"),CONCATENATE("R",'R. Gestión '!#REF!),"")</f>
        <v>#REF!</v>
      </c>
      <c r="Q10" s="644"/>
      <c r="R10" s="644" t="str">
        <f>IF(AND('R. Gestión '!$L$281="Muy Alta",'R. Gestión '!$P$281="Menor"),CONCATENATE("R",'R. Gestión '!$A$281),"")</f>
        <v/>
      </c>
      <c r="S10" s="644"/>
      <c r="T10" s="644" t="e">
        <f>IF(AND('R. Gestión '!#REF!="Muy Alta",'R. Gestión '!#REF!="Menor"),CONCATENATE("R",'R. Gestión '!#REF!),"")</f>
        <v>#REF!</v>
      </c>
      <c r="U10" s="645"/>
      <c r="V10" s="643" t="e">
        <f>IF(AND('R. Gestión '!#REF!="Muy Alta",'R. Gestión '!#REF!="Moderado"),CONCATENATE("R",'R. Gestión '!#REF!),"")</f>
        <v>#REF!</v>
      </c>
      <c r="W10" s="644"/>
      <c r="X10" s="644" t="str">
        <f>IF(AND('R. Gestión '!$L$281="Muy Alta",'R. Gestión '!$P$281="Moderado"),CONCATENATE("R",'R. Gestión '!$A$281),"")</f>
        <v/>
      </c>
      <c r="Y10" s="644"/>
      <c r="Z10" s="644" t="e">
        <f>IF(AND('R. Gestión '!#REF!="Muy Alta",'R. Gestión '!#REF!="Moderado"),CONCATENATE("R",'R. Gestión '!#REF!),"")</f>
        <v>#REF!</v>
      </c>
      <c r="AA10" s="645"/>
      <c r="AB10" s="643" t="e">
        <f>IF(AND('R. Gestión '!#REF!="Muy Alta",'R. Gestión '!#REF!="Mayor"),CONCATENATE("R",'R. Gestión '!#REF!),"")</f>
        <v>#REF!</v>
      </c>
      <c r="AC10" s="644"/>
      <c r="AD10" s="644" t="str">
        <f>IF(AND('R. Gestión '!$L$281="Muy Alta",'R. Gestión '!$P$281="Mayor"),CONCATENATE("R",'R. Gestión '!$A$281),"")</f>
        <v/>
      </c>
      <c r="AE10" s="644"/>
      <c r="AF10" s="644" t="e">
        <f>IF(AND('R. Gestión '!#REF!="Muy Alta",'R. Gestión '!#REF!="Mayor"),CONCATENATE("R",'R. Gestión '!#REF!),"")</f>
        <v>#REF!</v>
      </c>
      <c r="AG10" s="645"/>
      <c r="AH10" s="634" t="e">
        <f>IF(AND('R. Gestión '!#REF!="Muy Alta",'R. Gestión '!#REF!="Catastrófico"),CONCATENATE("R",'R. Gestión '!#REF!),"")</f>
        <v>#REF!</v>
      </c>
      <c r="AI10" s="635"/>
      <c r="AJ10" s="635" t="str">
        <f>IF(AND('R. Gestión '!$L$281="Muy Alta",'R. Gestión '!$P$281="Catastrófico"),CONCATENATE("R",'R. Gestión '!$A$281),"")</f>
        <v/>
      </c>
      <c r="AK10" s="635"/>
      <c r="AL10" s="635" t="e">
        <f>IF(AND('R. Gestión '!#REF!="Muy Alta",'R. Gestión '!#REF!="Catastrófico"),CONCATENATE("R",'R. Gestión '!#REF!),"")</f>
        <v>#REF!</v>
      </c>
      <c r="AM10" s="636"/>
      <c r="AN10" s="72"/>
      <c r="AO10" s="668"/>
      <c r="AP10" s="669"/>
      <c r="AQ10" s="669"/>
      <c r="AR10" s="669"/>
      <c r="AS10" s="669"/>
      <c r="AT10" s="670"/>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x14ac:dyDescent="0.25">
      <c r="A11" s="72"/>
      <c r="B11" s="663"/>
      <c r="C11" s="663"/>
      <c r="D11" s="664"/>
      <c r="E11" s="656"/>
      <c r="F11" s="657"/>
      <c r="G11" s="657"/>
      <c r="H11" s="657"/>
      <c r="I11" s="658"/>
      <c r="J11" s="643"/>
      <c r="K11" s="644"/>
      <c r="L11" s="644"/>
      <c r="M11" s="644"/>
      <c r="N11" s="644"/>
      <c r="O11" s="645"/>
      <c r="P11" s="643"/>
      <c r="Q11" s="644"/>
      <c r="R11" s="644"/>
      <c r="S11" s="644"/>
      <c r="T11" s="644"/>
      <c r="U11" s="645"/>
      <c r="V11" s="643"/>
      <c r="W11" s="644"/>
      <c r="X11" s="644"/>
      <c r="Y11" s="644"/>
      <c r="Z11" s="644"/>
      <c r="AA11" s="645"/>
      <c r="AB11" s="643"/>
      <c r="AC11" s="644"/>
      <c r="AD11" s="644"/>
      <c r="AE11" s="644"/>
      <c r="AF11" s="644"/>
      <c r="AG11" s="645"/>
      <c r="AH11" s="634"/>
      <c r="AI11" s="635"/>
      <c r="AJ11" s="635"/>
      <c r="AK11" s="635"/>
      <c r="AL11" s="635"/>
      <c r="AM11" s="636"/>
      <c r="AN11" s="72"/>
      <c r="AO11" s="668"/>
      <c r="AP11" s="669"/>
      <c r="AQ11" s="669"/>
      <c r="AR11" s="669"/>
      <c r="AS11" s="669"/>
      <c r="AT11" s="670"/>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x14ac:dyDescent="0.25">
      <c r="A12" s="72"/>
      <c r="B12" s="663"/>
      <c r="C12" s="663"/>
      <c r="D12" s="664"/>
      <c r="E12" s="656"/>
      <c r="F12" s="657"/>
      <c r="G12" s="657"/>
      <c r="H12" s="657"/>
      <c r="I12" s="658"/>
      <c r="J12" s="643" t="e">
        <f>IF(AND('R. Gestión '!#REF!="Muy Alta",'R. Gestión '!#REF!="Leve"),CONCATENATE("R",'R. Gestión '!#REF!),"")</f>
        <v>#REF!</v>
      </c>
      <c r="K12" s="644"/>
      <c r="L12" s="644" t="e">
        <f>IF(AND('R. Gestión '!#REF!="Muy Alta",'R. Gestión '!#REF!="Leve"),CONCATENATE("R",'R. Gestión '!#REF!),"")</f>
        <v>#REF!</v>
      </c>
      <c r="M12" s="644"/>
      <c r="N12" s="644" t="e">
        <f>IF(AND('R. Gestión '!#REF!="Muy Alta",'R. Gestión '!#REF!="Leve"),CONCATENATE("R",'R. Gestión '!#REF!),"")</f>
        <v>#REF!</v>
      </c>
      <c r="O12" s="645"/>
      <c r="P12" s="643" t="e">
        <f>IF(AND('R. Gestión '!#REF!="Muy Alta",'R. Gestión '!#REF!="Menor"),CONCATENATE("R",'R. Gestión '!#REF!),"")</f>
        <v>#REF!</v>
      </c>
      <c r="Q12" s="644"/>
      <c r="R12" s="644" t="e">
        <f>IF(AND('R. Gestión '!#REF!="Muy Alta",'R. Gestión '!#REF!="Menor"),CONCATENATE("R",'R. Gestión '!#REF!),"")</f>
        <v>#REF!</v>
      </c>
      <c r="S12" s="644"/>
      <c r="T12" s="644" t="e">
        <f>IF(AND('R. Gestión '!#REF!="Muy Alta",'R. Gestión '!#REF!="Menor"),CONCATENATE("R",'R. Gestión '!#REF!),"")</f>
        <v>#REF!</v>
      </c>
      <c r="U12" s="645"/>
      <c r="V12" s="643" t="e">
        <f>IF(AND('R. Gestión '!#REF!="Muy Alta",'R. Gestión '!#REF!="Moderado"),CONCATENATE("R",'R. Gestión '!#REF!),"")</f>
        <v>#REF!</v>
      </c>
      <c r="W12" s="644"/>
      <c r="X12" s="644" t="e">
        <f>IF(AND('R. Gestión '!#REF!="Muy Alta",'R. Gestión '!#REF!="Moderado"),CONCATENATE("R",'R. Gestión '!#REF!),"")</f>
        <v>#REF!</v>
      </c>
      <c r="Y12" s="644"/>
      <c r="Z12" s="644" t="e">
        <f>IF(AND('R. Gestión '!#REF!="Muy Alta",'R. Gestión '!#REF!="Moderado"),CONCATENATE("R",'R. Gestión '!#REF!),"")</f>
        <v>#REF!</v>
      </c>
      <c r="AA12" s="645"/>
      <c r="AB12" s="643" t="e">
        <f>IF(AND('R. Gestión '!#REF!="Muy Alta",'R. Gestión '!#REF!="Mayor"),CONCATENATE("R",'R. Gestión '!#REF!),"")</f>
        <v>#REF!</v>
      </c>
      <c r="AC12" s="644"/>
      <c r="AD12" s="644" t="e">
        <f>IF(AND('R. Gestión '!#REF!="Muy Alta",'R. Gestión '!#REF!="Mayor"),CONCATENATE("R",'R. Gestión '!#REF!),"")</f>
        <v>#REF!</v>
      </c>
      <c r="AE12" s="644"/>
      <c r="AF12" s="644" t="e">
        <f>IF(AND('R. Gestión '!#REF!="Muy Alta",'R. Gestión '!#REF!="Mayor"),CONCATENATE("R",'R. Gestión '!#REF!),"")</f>
        <v>#REF!</v>
      </c>
      <c r="AG12" s="645"/>
      <c r="AH12" s="634" t="e">
        <f>IF(AND('R. Gestión '!#REF!="Muy Alta",'R. Gestión '!#REF!="Catastrófico"),CONCATENATE("R",'R. Gestión '!#REF!),"")</f>
        <v>#REF!</v>
      </c>
      <c r="AI12" s="635"/>
      <c r="AJ12" s="635" t="e">
        <f>IF(AND('R. Gestión '!#REF!="Muy Alta",'R. Gestión '!#REF!="Catastrófico"),CONCATENATE("R",'R. Gestión '!#REF!),"")</f>
        <v>#REF!</v>
      </c>
      <c r="AK12" s="635"/>
      <c r="AL12" s="635" t="e">
        <f>IF(AND('R. Gestión '!#REF!="Muy Alta",'R. Gestión '!#REF!="Catastrófico"),CONCATENATE("R",'R. Gestión '!#REF!),"")</f>
        <v>#REF!</v>
      </c>
      <c r="AM12" s="636"/>
      <c r="AN12" s="72"/>
      <c r="AO12" s="668"/>
      <c r="AP12" s="669"/>
      <c r="AQ12" s="669"/>
      <c r="AR12" s="669"/>
      <c r="AS12" s="669"/>
      <c r="AT12" s="670"/>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x14ac:dyDescent="0.3">
      <c r="A13" s="72"/>
      <c r="B13" s="663"/>
      <c r="C13" s="663"/>
      <c r="D13" s="664"/>
      <c r="E13" s="659"/>
      <c r="F13" s="660"/>
      <c r="G13" s="660"/>
      <c r="H13" s="660"/>
      <c r="I13" s="661"/>
      <c r="J13" s="643"/>
      <c r="K13" s="644"/>
      <c r="L13" s="644"/>
      <c r="M13" s="644"/>
      <c r="N13" s="644"/>
      <c r="O13" s="645"/>
      <c r="P13" s="643"/>
      <c r="Q13" s="644"/>
      <c r="R13" s="644"/>
      <c r="S13" s="644"/>
      <c r="T13" s="644"/>
      <c r="U13" s="645"/>
      <c r="V13" s="643"/>
      <c r="W13" s="644"/>
      <c r="X13" s="644"/>
      <c r="Y13" s="644"/>
      <c r="Z13" s="644"/>
      <c r="AA13" s="645"/>
      <c r="AB13" s="643"/>
      <c r="AC13" s="644"/>
      <c r="AD13" s="644"/>
      <c r="AE13" s="644"/>
      <c r="AF13" s="644"/>
      <c r="AG13" s="645"/>
      <c r="AH13" s="637"/>
      <c r="AI13" s="638"/>
      <c r="AJ13" s="638"/>
      <c r="AK13" s="638"/>
      <c r="AL13" s="638"/>
      <c r="AM13" s="639"/>
      <c r="AN13" s="72"/>
      <c r="AO13" s="671"/>
      <c r="AP13" s="672"/>
      <c r="AQ13" s="672"/>
      <c r="AR13" s="672"/>
      <c r="AS13" s="672"/>
      <c r="AT13" s="673"/>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x14ac:dyDescent="0.25">
      <c r="A14" s="72"/>
      <c r="B14" s="663"/>
      <c r="C14" s="663"/>
      <c r="D14" s="664"/>
      <c r="E14" s="653" t="s">
        <v>99</v>
      </c>
      <c r="F14" s="654"/>
      <c r="G14" s="654"/>
      <c r="H14" s="654"/>
      <c r="I14" s="654"/>
      <c r="J14" s="631" t="e">
        <f>IF(AND('R. Gestión '!#REF!="Alta",'R. Gestión '!#REF!="Leve"),CONCATENATE("R",'R. Gestión '!#REF!),"")</f>
        <v>#REF!</v>
      </c>
      <c r="K14" s="632"/>
      <c r="L14" s="632" t="e">
        <f>IF(AND('R. Gestión '!#REF!="Alta",'R. Gestión '!#REF!="Leve"),CONCATENATE("R",'R. Gestión '!#REF!),"")</f>
        <v>#REF!</v>
      </c>
      <c r="M14" s="632"/>
      <c r="N14" s="632" t="e">
        <f>IF(AND('R. Gestión '!#REF!="Alta",'R. Gestión '!#REF!="Leve"),CONCATENATE("R",'R. Gestión '!#REF!),"")</f>
        <v>#REF!</v>
      </c>
      <c r="O14" s="633"/>
      <c r="P14" s="631" t="e">
        <f>IF(AND('R. Gestión '!#REF!="Alta",'R. Gestión '!#REF!="Menor"),CONCATENATE("R",'R. Gestión '!#REF!),"")</f>
        <v>#REF!</v>
      </c>
      <c r="Q14" s="632"/>
      <c r="R14" s="632" t="e">
        <f>IF(AND('R. Gestión '!#REF!="Alta",'R. Gestión '!#REF!="Menor"),CONCATENATE("R",'R. Gestión '!#REF!),"")</f>
        <v>#REF!</v>
      </c>
      <c r="S14" s="632"/>
      <c r="T14" s="632" t="e">
        <f>IF(AND('R. Gestión '!#REF!="Alta",'R. Gestión '!#REF!="Menor"),CONCATENATE("R",'R. Gestión '!#REF!),"")</f>
        <v>#REF!</v>
      </c>
      <c r="U14" s="633"/>
      <c r="V14" s="649" t="e">
        <f>IF(AND('R. Gestión '!#REF!="Alta",'R. Gestión '!#REF!="Moderado"),CONCATENATE("R",'R. Gestión '!#REF!),"")</f>
        <v>#REF!</v>
      </c>
      <c r="W14" s="650"/>
      <c r="X14" s="650" t="e">
        <f>IF(AND('R. Gestión '!#REF!="Alta",'R. Gestión '!#REF!="Moderado"),CONCATENATE("R",'R. Gestión '!#REF!),"")</f>
        <v>#REF!</v>
      </c>
      <c r="Y14" s="650"/>
      <c r="Z14" s="650" t="e">
        <f>IF(AND('R. Gestión '!#REF!="Alta",'R. Gestión '!#REF!="Moderado"),CONCATENATE("R",'R. Gestión '!#REF!),"")</f>
        <v>#REF!</v>
      </c>
      <c r="AA14" s="651"/>
      <c r="AB14" s="649" t="e">
        <f>IF(AND('R. Gestión '!#REF!="Alta",'R. Gestión '!#REF!="Mayor"),CONCATENATE("R",'R. Gestión '!#REF!),"")</f>
        <v>#REF!</v>
      </c>
      <c r="AC14" s="650"/>
      <c r="AD14" s="650" t="e">
        <f>IF(AND('R. Gestión '!#REF!="Alta",'R. Gestión '!#REF!="Mayor"),CONCATENATE("R",'R. Gestión '!#REF!),"")</f>
        <v>#REF!</v>
      </c>
      <c r="AE14" s="650"/>
      <c r="AF14" s="650" t="e">
        <f>IF(AND('R. Gestión '!#REF!="Alta",'R. Gestión '!#REF!="Mayor"),CONCATENATE("R",'R. Gestión '!#REF!),"")</f>
        <v>#REF!</v>
      </c>
      <c r="AG14" s="651"/>
      <c r="AH14" s="640" t="e">
        <f>IF(AND('R. Gestión '!#REF!="Alta",'R. Gestión '!#REF!="Catastrófico"),CONCATENATE("R",'R. Gestión '!#REF!),"")</f>
        <v>#REF!</v>
      </c>
      <c r="AI14" s="641"/>
      <c r="AJ14" s="641" t="e">
        <f>IF(AND('R. Gestión '!#REF!="Alta",'R. Gestión '!#REF!="Catastrófico"),CONCATENATE("R",'R. Gestión '!#REF!),"")</f>
        <v>#REF!</v>
      </c>
      <c r="AK14" s="641"/>
      <c r="AL14" s="641" t="e">
        <f>IF(AND('R. Gestión '!#REF!="Alta",'R. Gestión '!#REF!="Catastrófico"),CONCATENATE("R",'R. Gestión '!#REF!),"")</f>
        <v>#REF!</v>
      </c>
      <c r="AM14" s="642"/>
      <c r="AN14" s="72"/>
      <c r="AO14" s="674" t="s">
        <v>66</v>
      </c>
      <c r="AP14" s="675"/>
      <c r="AQ14" s="675"/>
      <c r="AR14" s="675"/>
      <c r="AS14" s="675"/>
      <c r="AT14" s="676"/>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x14ac:dyDescent="0.25">
      <c r="A15" s="72"/>
      <c r="B15" s="663"/>
      <c r="C15" s="663"/>
      <c r="D15" s="664"/>
      <c r="E15" s="656"/>
      <c r="F15" s="657"/>
      <c r="G15" s="657"/>
      <c r="H15" s="657"/>
      <c r="I15" s="657"/>
      <c r="J15" s="625"/>
      <c r="K15" s="626"/>
      <c r="L15" s="626"/>
      <c r="M15" s="626"/>
      <c r="N15" s="626"/>
      <c r="O15" s="627"/>
      <c r="P15" s="625"/>
      <c r="Q15" s="626"/>
      <c r="R15" s="626"/>
      <c r="S15" s="626"/>
      <c r="T15" s="626"/>
      <c r="U15" s="627"/>
      <c r="V15" s="643"/>
      <c r="W15" s="644"/>
      <c r="X15" s="644"/>
      <c r="Y15" s="644"/>
      <c r="Z15" s="644"/>
      <c r="AA15" s="645"/>
      <c r="AB15" s="643"/>
      <c r="AC15" s="644"/>
      <c r="AD15" s="644"/>
      <c r="AE15" s="644"/>
      <c r="AF15" s="644"/>
      <c r="AG15" s="645"/>
      <c r="AH15" s="634"/>
      <c r="AI15" s="635"/>
      <c r="AJ15" s="635"/>
      <c r="AK15" s="635"/>
      <c r="AL15" s="635"/>
      <c r="AM15" s="636"/>
      <c r="AN15" s="72"/>
      <c r="AO15" s="677"/>
      <c r="AP15" s="678"/>
      <c r="AQ15" s="678"/>
      <c r="AR15" s="678"/>
      <c r="AS15" s="678"/>
      <c r="AT15" s="679"/>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x14ac:dyDescent="0.25">
      <c r="A16" s="72"/>
      <c r="B16" s="663"/>
      <c r="C16" s="663"/>
      <c r="D16" s="664"/>
      <c r="E16" s="656"/>
      <c r="F16" s="657"/>
      <c r="G16" s="657"/>
      <c r="H16" s="657"/>
      <c r="I16" s="657"/>
      <c r="J16" s="625" t="str">
        <f>IF(AND('R. Gestión '!$L$239="Alta",'R. Gestión '!$P$239="Leve"),CONCATENATE("R",'R. Gestión '!$A$239),"")</f>
        <v/>
      </c>
      <c r="K16" s="626"/>
      <c r="L16" s="626" t="str">
        <f>IF(AND('R. Gestión '!$L$257="Alta",'R. Gestión '!$P$257="Leve"),CONCATENATE("R",'R. Gestión '!$A$257),"")</f>
        <v/>
      </c>
      <c r="M16" s="626"/>
      <c r="N16" s="626" t="e">
        <f>IF(AND('R. Gestión '!#REF!="Alta",'R. Gestión '!#REF!="Leve"),CONCATENATE("R",'R. Gestión '!#REF!),"")</f>
        <v>#REF!</v>
      </c>
      <c r="O16" s="627"/>
      <c r="P16" s="625" t="str">
        <f>IF(AND('R. Gestión '!$L$239="Alta",'R. Gestión '!$P$239="Menor"),CONCATENATE("R",'R. Gestión '!$A$239),"")</f>
        <v/>
      </c>
      <c r="Q16" s="626"/>
      <c r="R16" s="626" t="str">
        <f>IF(AND('R. Gestión '!$L$257="Alta",'R. Gestión '!$P$257="Menor"),CONCATENATE("R",'R. Gestión '!$A$257),"")</f>
        <v/>
      </c>
      <c r="S16" s="626"/>
      <c r="T16" s="626" t="e">
        <f>IF(AND('R. Gestión '!#REF!="Alta",'R. Gestión '!#REF!="Menor"),CONCATENATE("R",'R. Gestión '!#REF!),"")</f>
        <v>#REF!</v>
      </c>
      <c r="U16" s="627"/>
      <c r="V16" s="643" t="str">
        <f>IF(AND('R. Gestión '!$L$239="Alta",'R. Gestión '!$P$239="Moderado"),CONCATENATE("R",'R. Gestión '!$A$239),"")</f>
        <v/>
      </c>
      <c r="W16" s="644"/>
      <c r="X16" s="644" t="str">
        <f>IF(AND('R. Gestión '!$L$257="Alta",'R. Gestión '!$P$257="Moderado"),CONCATENATE("R",'R. Gestión '!$A$257),"")</f>
        <v/>
      </c>
      <c r="Y16" s="644"/>
      <c r="Z16" s="644" t="e">
        <f>IF(AND('R. Gestión '!#REF!="Alta",'R. Gestión '!#REF!="Moderado"),CONCATENATE("R",'R. Gestión '!#REF!),"")</f>
        <v>#REF!</v>
      </c>
      <c r="AA16" s="645"/>
      <c r="AB16" s="643" t="str">
        <f>IF(AND('R. Gestión '!$L$239="Alta",'R. Gestión '!$P$239="Mayor"),CONCATENATE("R",'R. Gestión '!$A$239),"")</f>
        <v/>
      </c>
      <c r="AC16" s="644"/>
      <c r="AD16" s="644" t="str">
        <f>IF(AND('R. Gestión '!$L$257="Alta",'R. Gestión '!$P$257="Mayor"),CONCATENATE("R",'R. Gestión '!$A$257),"")</f>
        <v/>
      </c>
      <c r="AE16" s="644"/>
      <c r="AF16" s="644" t="e">
        <f>IF(AND('R. Gestión '!#REF!="Alta",'R. Gestión '!#REF!="Mayor"),CONCATENATE("R",'R. Gestión '!#REF!),"")</f>
        <v>#REF!</v>
      </c>
      <c r="AG16" s="645"/>
      <c r="AH16" s="634" t="str">
        <f>IF(AND('R. Gestión '!$L$239="Alta",'R. Gestión '!$P$239="Catastrófico"),CONCATENATE("R",'R. Gestión '!$A$239),"")</f>
        <v/>
      </c>
      <c r="AI16" s="635"/>
      <c r="AJ16" s="635" t="str">
        <f>IF(AND('R. Gestión '!$L$257="Alta",'R. Gestión '!$P$257="Catastrófico"),CONCATENATE("R",'R. Gestión '!$A$257),"")</f>
        <v/>
      </c>
      <c r="AK16" s="635"/>
      <c r="AL16" s="635" t="e">
        <f>IF(AND('R. Gestión '!#REF!="Alta",'R. Gestión '!#REF!="Catastrófico"),CONCATENATE("R",'R. Gestión '!#REF!),"")</f>
        <v>#REF!</v>
      </c>
      <c r="AM16" s="636"/>
      <c r="AN16" s="72"/>
      <c r="AO16" s="677"/>
      <c r="AP16" s="678"/>
      <c r="AQ16" s="678"/>
      <c r="AR16" s="678"/>
      <c r="AS16" s="678"/>
      <c r="AT16" s="679"/>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x14ac:dyDescent="0.25">
      <c r="A17" s="72"/>
      <c r="B17" s="663"/>
      <c r="C17" s="663"/>
      <c r="D17" s="664"/>
      <c r="E17" s="656"/>
      <c r="F17" s="657"/>
      <c r="G17" s="657"/>
      <c r="H17" s="657"/>
      <c r="I17" s="657"/>
      <c r="J17" s="625"/>
      <c r="K17" s="626"/>
      <c r="L17" s="626"/>
      <c r="M17" s="626"/>
      <c r="N17" s="626"/>
      <c r="O17" s="627"/>
      <c r="P17" s="625"/>
      <c r="Q17" s="626"/>
      <c r="R17" s="626"/>
      <c r="S17" s="626"/>
      <c r="T17" s="626"/>
      <c r="U17" s="627"/>
      <c r="V17" s="643"/>
      <c r="W17" s="644"/>
      <c r="X17" s="644"/>
      <c r="Y17" s="644"/>
      <c r="Z17" s="644"/>
      <c r="AA17" s="645"/>
      <c r="AB17" s="643"/>
      <c r="AC17" s="644"/>
      <c r="AD17" s="644"/>
      <c r="AE17" s="644"/>
      <c r="AF17" s="644"/>
      <c r="AG17" s="645"/>
      <c r="AH17" s="634"/>
      <c r="AI17" s="635"/>
      <c r="AJ17" s="635"/>
      <c r="AK17" s="635"/>
      <c r="AL17" s="635"/>
      <c r="AM17" s="636"/>
      <c r="AN17" s="72"/>
      <c r="AO17" s="677"/>
      <c r="AP17" s="678"/>
      <c r="AQ17" s="678"/>
      <c r="AR17" s="678"/>
      <c r="AS17" s="678"/>
      <c r="AT17" s="679"/>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x14ac:dyDescent="0.25">
      <c r="A18" s="72"/>
      <c r="B18" s="663"/>
      <c r="C18" s="663"/>
      <c r="D18" s="664"/>
      <c r="E18" s="656"/>
      <c r="F18" s="657"/>
      <c r="G18" s="657"/>
      <c r="H18" s="657"/>
      <c r="I18" s="657"/>
      <c r="J18" s="625" t="e">
        <f>IF(AND('R. Gestión '!#REF!="Alta",'R. Gestión '!#REF!="Leve"),CONCATENATE("R",'R. Gestión '!#REF!),"")</f>
        <v>#REF!</v>
      </c>
      <c r="K18" s="626"/>
      <c r="L18" s="626" t="str">
        <f>IF(AND('R. Gestión '!$L$281="Alta",'R. Gestión '!$P$281="Leve"),CONCATENATE("R",'R. Gestión '!$A$281),"")</f>
        <v/>
      </c>
      <c r="M18" s="626"/>
      <c r="N18" s="626" t="e">
        <f>IF(AND('R. Gestión '!#REF!="Alta",'R. Gestión '!#REF!="Leve"),CONCATENATE("R",'R. Gestión '!#REF!),"")</f>
        <v>#REF!</v>
      </c>
      <c r="O18" s="627"/>
      <c r="P18" s="625" t="e">
        <f>IF(AND('R. Gestión '!#REF!="Alta",'R. Gestión '!#REF!="Menor"),CONCATENATE("R",'R. Gestión '!#REF!),"")</f>
        <v>#REF!</v>
      </c>
      <c r="Q18" s="626"/>
      <c r="R18" s="626" t="str">
        <f>IF(AND('R. Gestión '!$L$281="Alta",'R. Gestión '!$P$281="Menor"),CONCATENATE("R",'R. Gestión '!$A$281),"")</f>
        <v/>
      </c>
      <c r="S18" s="626"/>
      <c r="T18" s="626" t="e">
        <f>IF(AND('R. Gestión '!#REF!="Alta",'R. Gestión '!#REF!="Menor"),CONCATENATE("R",'R. Gestión '!#REF!),"")</f>
        <v>#REF!</v>
      </c>
      <c r="U18" s="627"/>
      <c r="V18" s="643" t="e">
        <f>IF(AND('R. Gestión '!#REF!="Alta",'R. Gestión '!#REF!="Moderado"),CONCATENATE("R",'R. Gestión '!#REF!),"")</f>
        <v>#REF!</v>
      </c>
      <c r="W18" s="644"/>
      <c r="X18" s="644" t="str">
        <f>IF(AND('R. Gestión '!$L$281="Alta",'R. Gestión '!$P$281="Moderado"),CONCATENATE("R",'R. Gestión '!$A$281),"")</f>
        <v/>
      </c>
      <c r="Y18" s="644"/>
      <c r="Z18" s="644" t="e">
        <f>IF(AND('R. Gestión '!#REF!="Alta",'R. Gestión '!#REF!="Moderado"),CONCATENATE("R",'R. Gestión '!#REF!),"")</f>
        <v>#REF!</v>
      </c>
      <c r="AA18" s="645"/>
      <c r="AB18" s="643" t="e">
        <f>IF(AND('R. Gestión '!#REF!="Alta",'R. Gestión '!#REF!="Mayor"),CONCATENATE("R",'R. Gestión '!#REF!),"")</f>
        <v>#REF!</v>
      </c>
      <c r="AC18" s="644"/>
      <c r="AD18" s="644" t="str">
        <f>IF(AND('R. Gestión '!$L$281="Alta",'R. Gestión '!$P$281="Mayor"),CONCATENATE("R",'R. Gestión '!$A$281),"")</f>
        <v/>
      </c>
      <c r="AE18" s="644"/>
      <c r="AF18" s="644" t="e">
        <f>IF(AND('R. Gestión '!#REF!="Alta",'R. Gestión '!#REF!="Mayor"),CONCATENATE("R",'R. Gestión '!#REF!),"")</f>
        <v>#REF!</v>
      </c>
      <c r="AG18" s="645"/>
      <c r="AH18" s="634" t="e">
        <f>IF(AND('R. Gestión '!#REF!="Alta",'R. Gestión '!#REF!="Catastrófico"),CONCATENATE("R",'R. Gestión '!#REF!),"")</f>
        <v>#REF!</v>
      </c>
      <c r="AI18" s="635"/>
      <c r="AJ18" s="635" t="str">
        <f>IF(AND('R. Gestión '!$L$281="Alta",'R. Gestión '!$P$281="Catastrófico"),CONCATENATE("R",'R. Gestión '!$A$281),"")</f>
        <v/>
      </c>
      <c r="AK18" s="635"/>
      <c r="AL18" s="635" t="e">
        <f>IF(AND('R. Gestión '!#REF!="Alta",'R. Gestión '!#REF!="Catastrófico"),CONCATENATE("R",'R. Gestión '!#REF!),"")</f>
        <v>#REF!</v>
      </c>
      <c r="AM18" s="636"/>
      <c r="AN18" s="72"/>
      <c r="AO18" s="677"/>
      <c r="AP18" s="678"/>
      <c r="AQ18" s="678"/>
      <c r="AR18" s="678"/>
      <c r="AS18" s="678"/>
      <c r="AT18" s="679"/>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x14ac:dyDescent="0.25">
      <c r="A19" s="72"/>
      <c r="B19" s="663"/>
      <c r="C19" s="663"/>
      <c r="D19" s="664"/>
      <c r="E19" s="656"/>
      <c r="F19" s="657"/>
      <c r="G19" s="657"/>
      <c r="H19" s="657"/>
      <c r="I19" s="657"/>
      <c r="J19" s="625"/>
      <c r="K19" s="626"/>
      <c r="L19" s="626"/>
      <c r="M19" s="626"/>
      <c r="N19" s="626"/>
      <c r="O19" s="627"/>
      <c r="P19" s="625"/>
      <c r="Q19" s="626"/>
      <c r="R19" s="626"/>
      <c r="S19" s="626"/>
      <c r="T19" s="626"/>
      <c r="U19" s="627"/>
      <c r="V19" s="643"/>
      <c r="W19" s="644"/>
      <c r="X19" s="644"/>
      <c r="Y19" s="644"/>
      <c r="Z19" s="644"/>
      <c r="AA19" s="645"/>
      <c r="AB19" s="643"/>
      <c r="AC19" s="644"/>
      <c r="AD19" s="644"/>
      <c r="AE19" s="644"/>
      <c r="AF19" s="644"/>
      <c r="AG19" s="645"/>
      <c r="AH19" s="634"/>
      <c r="AI19" s="635"/>
      <c r="AJ19" s="635"/>
      <c r="AK19" s="635"/>
      <c r="AL19" s="635"/>
      <c r="AM19" s="636"/>
      <c r="AN19" s="72"/>
      <c r="AO19" s="677"/>
      <c r="AP19" s="678"/>
      <c r="AQ19" s="678"/>
      <c r="AR19" s="678"/>
      <c r="AS19" s="678"/>
      <c r="AT19" s="679"/>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x14ac:dyDescent="0.25">
      <c r="A20" s="72"/>
      <c r="B20" s="663"/>
      <c r="C20" s="663"/>
      <c r="D20" s="664"/>
      <c r="E20" s="656"/>
      <c r="F20" s="657"/>
      <c r="G20" s="657"/>
      <c r="H20" s="657"/>
      <c r="I20" s="657"/>
      <c r="J20" s="625" t="e">
        <f>IF(AND('R. Gestión '!#REF!="Alta",'R. Gestión '!#REF!="Leve"),CONCATENATE("R",'R. Gestión '!#REF!),"")</f>
        <v>#REF!</v>
      </c>
      <c r="K20" s="626"/>
      <c r="L20" s="626" t="e">
        <f>IF(AND('R. Gestión '!#REF!="Alta",'R. Gestión '!#REF!="Leve"),CONCATENATE("R",'R. Gestión '!#REF!),"")</f>
        <v>#REF!</v>
      </c>
      <c r="M20" s="626"/>
      <c r="N20" s="626" t="e">
        <f>IF(AND('R. Gestión '!#REF!="Alta",'R. Gestión '!#REF!="Leve"),CONCATENATE("R",'R. Gestión '!#REF!),"")</f>
        <v>#REF!</v>
      </c>
      <c r="O20" s="627"/>
      <c r="P20" s="625" t="e">
        <f>IF(AND('R. Gestión '!#REF!="Alta",'R. Gestión '!#REF!="Menor"),CONCATENATE("R",'R. Gestión '!#REF!),"")</f>
        <v>#REF!</v>
      </c>
      <c r="Q20" s="626"/>
      <c r="R20" s="626" t="e">
        <f>IF(AND('R. Gestión '!#REF!="Alta",'R. Gestión '!#REF!="Menor"),CONCATENATE("R",'R. Gestión '!#REF!),"")</f>
        <v>#REF!</v>
      </c>
      <c r="S20" s="626"/>
      <c r="T20" s="626" t="e">
        <f>IF(AND('R. Gestión '!#REF!="Alta",'R. Gestión '!#REF!="Menor"),CONCATENATE("R",'R. Gestión '!#REF!),"")</f>
        <v>#REF!</v>
      </c>
      <c r="U20" s="627"/>
      <c r="V20" s="643" t="e">
        <f>IF(AND('R. Gestión '!#REF!="Alta",'R. Gestión '!#REF!="Moderado"),CONCATENATE("R",'R. Gestión '!#REF!),"")</f>
        <v>#REF!</v>
      </c>
      <c r="W20" s="644"/>
      <c r="X20" s="644" t="e">
        <f>IF(AND('R. Gestión '!#REF!="Alta",'R. Gestión '!#REF!="Moderado"),CONCATENATE("R",'R. Gestión '!#REF!),"")</f>
        <v>#REF!</v>
      </c>
      <c r="Y20" s="644"/>
      <c r="Z20" s="644" t="e">
        <f>IF(AND('R. Gestión '!#REF!="Alta",'R. Gestión '!#REF!="Moderado"),CONCATENATE("R",'R. Gestión '!#REF!),"")</f>
        <v>#REF!</v>
      </c>
      <c r="AA20" s="645"/>
      <c r="AB20" s="643" t="e">
        <f>IF(AND('R. Gestión '!#REF!="Alta",'R. Gestión '!#REF!="Mayor"),CONCATENATE("R",'R. Gestión '!#REF!),"")</f>
        <v>#REF!</v>
      </c>
      <c r="AC20" s="644"/>
      <c r="AD20" s="644" t="e">
        <f>IF(AND('R. Gestión '!#REF!="Alta",'R. Gestión '!#REF!="Mayor"),CONCATENATE("R",'R. Gestión '!#REF!),"")</f>
        <v>#REF!</v>
      </c>
      <c r="AE20" s="644"/>
      <c r="AF20" s="644" t="e">
        <f>IF(AND('R. Gestión '!#REF!="Alta",'R. Gestión '!#REF!="Mayor"),CONCATENATE("R",'R. Gestión '!#REF!),"")</f>
        <v>#REF!</v>
      </c>
      <c r="AG20" s="645"/>
      <c r="AH20" s="634" t="e">
        <f>IF(AND('R. Gestión '!#REF!="Alta",'R. Gestión '!#REF!="Catastrófico"),CONCATENATE("R",'R. Gestión '!#REF!),"")</f>
        <v>#REF!</v>
      </c>
      <c r="AI20" s="635"/>
      <c r="AJ20" s="635" t="e">
        <f>IF(AND('R. Gestión '!#REF!="Alta",'R. Gestión '!#REF!="Catastrófico"),CONCATENATE("R",'R. Gestión '!#REF!),"")</f>
        <v>#REF!</v>
      </c>
      <c r="AK20" s="635"/>
      <c r="AL20" s="635" t="e">
        <f>IF(AND('R. Gestión '!#REF!="Alta",'R. Gestión '!#REF!="Catastrófico"),CONCATENATE("R",'R. Gestión '!#REF!),"")</f>
        <v>#REF!</v>
      </c>
      <c r="AM20" s="636"/>
      <c r="AN20" s="72"/>
      <c r="AO20" s="677"/>
      <c r="AP20" s="678"/>
      <c r="AQ20" s="678"/>
      <c r="AR20" s="678"/>
      <c r="AS20" s="678"/>
      <c r="AT20" s="679"/>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x14ac:dyDescent="0.3">
      <c r="A21" s="72"/>
      <c r="B21" s="663"/>
      <c r="C21" s="663"/>
      <c r="D21" s="664"/>
      <c r="E21" s="659"/>
      <c r="F21" s="660"/>
      <c r="G21" s="660"/>
      <c r="H21" s="660"/>
      <c r="I21" s="660"/>
      <c r="J21" s="628"/>
      <c r="K21" s="629"/>
      <c r="L21" s="629"/>
      <c r="M21" s="629"/>
      <c r="N21" s="629"/>
      <c r="O21" s="630"/>
      <c r="P21" s="628"/>
      <c r="Q21" s="629"/>
      <c r="R21" s="629"/>
      <c r="S21" s="629"/>
      <c r="T21" s="629"/>
      <c r="U21" s="630"/>
      <c r="V21" s="646"/>
      <c r="W21" s="647"/>
      <c r="X21" s="647"/>
      <c r="Y21" s="647"/>
      <c r="Z21" s="647"/>
      <c r="AA21" s="648"/>
      <c r="AB21" s="646"/>
      <c r="AC21" s="647"/>
      <c r="AD21" s="647"/>
      <c r="AE21" s="647"/>
      <c r="AF21" s="647"/>
      <c r="AG21" s="648"/>
      <c r="AH21" s="637"/>
      <c r="AI21" s="638"/>
      <c r="AJ21" s="638"/>
      <c r="AK21" s="638"/>
      <c r="AL21" s="638"/>
      <c r="AM21" s="639"/>
      <c r="AN21" s="72"/>
      <c r="AO21" s="680"/>
      <c r="AP21" s="681"/>
      <c r="AQ21" s="681"/>
      <c r="AR21" s="681"/>
      <c r="AS21" s="681"/>
      <c r="AT21" s="68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x14ac:dyDescent="0.25">
      <c r="A22" s="72"/>
      <c r="B22" s="663"/>
      <c r="C22" s="663"/>
      <c r="D22" s="664"/>
      <c r="E22" s="653" t="s">
        <v>101</v>
      </c>
      <c r="F22" s="654"/>
      <c r="G22" s="654"/>
      <c r="H22" s="654"/>
      <c r="I22" s="655"/>
      <c r="J22" s="631" t="e">
        <f>IF(AND('R. Gestión '!#REF!="Media",'R. Gestión '!#REF!="Leve"),CONCATENATE("R",'R. Gestión '!#REF!),"")</f>
        <v>#REF!</v>
      </c>
      <c r="K22" s="632"/>
      <c r="L22" s="632" t="e">
        <f>IF(AND('R. Gestión '!#REF!="Media",'R. Gestión '!#REF!="Leve"),CONCATENATE("R",'R. Gestión '!#REF!),"")</f>
        <v>#REF!</v>
      </c>
      <c r="M22" s="632"/>
      <c r="N22" s="632" t="e">
        <f>IF(AND('R. Gestión '!#REF!="Media",'R. Gestión '!#REF!="Leve"),CONCATENATE("R",'R. Gestión '!#REF!),"")</f>
        <v>#REF!</v>
      </c>
      <c r="O22" s="633"/>
      <c r="P22" s="631" t="e">
        <f>IF(AND('R. Gestión '!#REF!="Media",'R. Gestión '!#REF!="Menor"),CONCATENATE("R",'R. Gestión '!#REF!),"")</f>
        <v>#REF!</v>
      </c>
      <c r="Q22" s="632"/>
      <c r="R22" s="632" t="e">
        <f>IF(AND('R. Gestión '!#REF!="Media",'R. Gestión '!#REF!="Menor"),CONCATENATE("R",'R. Gestión '!#REF!),"")</f>
        <v>#REF!</v>
      </c>
      <c r="S22" s="632"/>
      <c r="T22" s="632" t="e">
        <f>IF(AND('R. Gestión '!#REF!="Media",'R. Gestión '!#REF!="Menor"),CONCATENATE("R",'R. Gestión '!#REF!),"")</f>
        <v>#REF!</v>
      </c>
      <c r="U22" s="633"/>
      <c r="V22" s="631" t="e">
        <f>IF(AND('R. Gestión '!#REF!="Media",'R. Gestión '!#REF!="Moderado"),CONCATENATE("R",'R. Gestión '!#REF!),"")</f>
        <v>#REF!</v>
      </c>
      <c r="W22" s="632"/>
      <c r="X22" s="632" t="e">
        <f>IF(AND('R. Gestión '!#REF!="Media",'R. Gestión '!#REF!="Moderado"),CONCATENATE("R",'R. Gestión '!#REF!),"")</f>
        <v>#REF!</v>
      </c>
      <c r="Y22" s="632"/>
      <c r="Z22" s="632" t="e">
        <f>IF(AND('R. Gestión '!#REF!="Media",'R. Gestión '!#REF!="Moderado"),CONCATENATE("R",'R. Gestión '!#REF!),"")</f>
        <v>#REF!</v>
      </c>
      <c r="AA22" s="633"/>
      <c r="AB22" s="649" t="e">
        <f>IF(AND('R. Gestión '!#REF!="Media",'R. Gestión '!#REF!="Mayor"),CONCATENATE("R",'R. Gestión '!#REF!),"")</f>
        <v>#REF!</v>
      </c>
      <c r="AC22" s="650"/>
      <c r="AD22" s="650" t="e">
        <f>IF(AND('R. Gestión '!#REF!="Media",'R. Gestión '!#REF!="Mayor"),CONCATENATE("R",'R. Gestión '!#REF!),"")</f>
        <v>#REF!</v>
      </c>
      <c r="AE22" s="650"/>
      <c r="AF22" s="650" t="e">
        <f>IF(AND('R. Gestión '!#REF!="Media",'R. Gestión '!#REF!="Mayor"),CONCATENATE("R",'R. Gestión '!#REF!),"")</f>
        <v>#REF!</v>
      </c>
      <c r="AG22" s="651"/>
      <c r="AH22" s="640" t="e">
        <f>IF(AND('R. Gestión '!#REF!="Media",'R. Gestión '!#REF!="Catastrófico"),CONCATENATE("R",'R. Gestión '!#REF!),"")</f>
        <v>#REF!</v>
      </c>
      <c r="AI22" s="641"/>
      <c r="AJ22" s="641" t="e">
        <f>IF(AND('R. Gestión '!#REF!="Media",'R. Gestión '!#REF!="Catastrófico"),CONCATENATE("R",'R. Gestión '!#REF!),"")</f>
        <v>#REF!</v>
      </c>
      <c r="AK22" s="641"/>
      <c r="AL22" s="641" t="e">
        <f>IF(AND('R. Gestión '!#REF!="Media",'R. Gestión '!#REF!="Catastrófico"),CONCATENATE("R",'R. Gestión '!#REF!),"")</f>
        <v>#REF!</v>
      </c>
      <c r="AM22" s="642"/>
      <c r="AN22" s="72"/>
      <c r="AO22" s="683" t="s">
        <v>67</v>
      </c>
      <c r="AP22" s="684"/>
      <c r="AQ22" s="684"/>
      <c r="AR22" s="684"/>
      <c r="AS22" s="684"/>
      <c r="AT22" s="685"/>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x14ac:dyDescent="0.25">
      <c r="A23" s="72"/>
      <c r="B23" s="663"/>
      <c r="C23" s="663"/>
      <c r="D23" s="664"/>
      <c r="E23" s="656"/>
      <c r="F23" s="657"/>
      <c r="G23" s="657"/>
      <c r="H23" s="657"/>
      <c r="I23" s="658"/>
      <c r="J23" s="625"/>
      <c r="K23" s="626"/>
      <c r="L23" s="626"/>
      <c r="M23" s="626"/>
      <c r="N23" s="626"/>
      <c r="O23" s="627"/>
      <c r="P23" s="625"/>
      <c r="Q23" s="626"/>
      <c r="R23" s="626"/>
      <c r="S23" s="626"/>
      <c r="T23" s="626"/>
      <c r="U23" s="627"/>
      <c r="V23" s="625"/>
      <c r="W23" s="626"/>
      <c r="X23" s="626"/>
      <c r="Y23" s="626"/>
      <c r="Z23" s="626"/>
      <c r="AA23" s="627"/>
      <c r="AB23" s="643"/>
      <c r="AC23" s="644"/>
      <c r="AD23" s="644"/>
      <c r="AE23" s="644"/>
      <c r="AF23" s="644"/>
      <c r="AG23" s="645"/>
      <c r="AH23" s="634"/>
      <c r="AI23" s="635"/>
      <c r="AJ23" s="635"/>
      <c r="AK23" s="635"/>
      <c r="AL23" s="635"/>
      <c r="AM23" s="636"/>
      <c r="AN23" s="72"/>
      <c r="AO23" s="686"/>
      <c r="AP23" s="687"/>
      <c r="AQ23" s="687"/>
      <c r="AR23" s="687"/>
      <c r="AS23" s="687"/>
      <c r="AT23" s="688"/>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x14ac:dyDescent="0.25">
      <c r="A24" s="72"/>
      <c r="B24" s="663"/>
      <c r="C24" s="663"/>
      <c r="D24" s="664"/>
      <c r="E24" s="656"/>
      <c r="F24" s="657"/>
      <c r="G24" s="657"/>
      <c r="H24" s="657"/>
      <c r="I24" s="658"/>
      <c r="J24" s="625" t="str">
        <f>IF(AND('R. Gestión '!$L$239="Media",'R. Gestión '!$P$239="Leve"),CONCATENATE("R",'R. Gestión '!$A$239),"")</f>
        <v/>
      </c>
      <c r="K24" s="626"/>
      <c r="L24" s="626" t="str">
        <f>IF(AND('R. Gestión '!$L$257="Media",'R. Gestión '!$P$257="Leve"),CONCATENATE("R",'R. Gestión '!$A$257),"")</f>
        <v/>
      </c>
      <c r="M24" s="626"/>
      <c r="N24" s="626" t="e">
        <f>IF(AND('R. Gestión '!#REF!="Media",'R. Gestión '!#REF!="Leve"),CONCATENATE("R",'R. Gestión '!#REF!),"")</f>
        <v>#REF!</v>
      </c>
      <c r="O24" s="627"/>
      <c r="P24" s="625" t="str">
        <f>IF(AND('R. Gestión '!$L$239="Media",'R. Gestión '!$P$239="Menor"),CONCATENATE("R",'R. Gestión '!$A$239),"")</f>
        <v>RR53</v>
      </c>
      <c r="Q24" s="626"/>
      <c r="R24" s="626" t="str">
        <f>IF(AND('R. Gestión '!$L$257="Media",'R. Gestión '!$P$257="Menor"),CONCATENATE("R",'R. Gestión '!$A$257),"")</f>
        <v>RR58</v>
      </c>
      <c r="S24" s="626"/>
      <c r="T24" s="626" t="e">
        <f>IF(AND('R. Gestión '!#REF!="Media",'R. Gestión '!#REF!="Menor"),CONCATENATE("R",'R. Gestión '!#REF!),"")</f>
        <v>#REF!</v>
      </c>
      <c r="U24" s="627"/>
      <c r="V24" s="625" t="str">
        <f>IF(AND('R. Gestión '!$L$239="Media",'R. Gestión '!$P$239="Moderado"),CONCATENATE("R",'R. Gestión '!$A$239),"")</f>
        <v/>
      </c>
      <c r="W24" s="626"/>
      <c r="X24" s="626" t="str">
        <f>IF(AND('R. Gestión '!$L$257="Media",'R. Gestión '!$P$257="Moderado"),CONCATENATE("R",'R. Gestión '!$A$257),"")</f>
        <v/>
      </c>
      <c r="Y24" s="626"/>
      <c r="Z24" s="626" t="e">
        <f>IF(AND('R. Gestión '!#REF!="Media",'R. Gestión '!#REF!="Moderado"),CONCATENATE("R",'R. Gestión '!#REF!),"")</f>
        <v>#REF!</v>
      </c>
      <c r="AA24" s="627"/>
      <c r="AB24" s="643" t="str">
        <f>IF(AND('R. Gestión '!$L$239="Media",'R. Gestión '!$P$239="Mayor"),CONCATENATE("R",'R. Gestión '!$A$239),"")</f>
        <v/>
      </c>
      <c r="AC24" s="644"/>
      <c r="AD24" s="644" t="str">
        <f>IF(AND('R. Gestión '!$L$257="Media",'R. Gestión '!$P$257="Mayor"),CONCATENATE("R",'R. Gestión '!$A$257),"")</f>
        <v/>
      </c>
      <c r="AE24" s="644"/>
      <c r="AF24" s="644" t="e">
        <f>IF(AND('R. Gestión '!#REF!="Media",'R. Gestión '!#REF!="Mayor"),CONCATENATE("R",'R. Gestión '!#REF!),"")</f>
        <v>#REF!</v>
      </c>
      <c r="AG24" s="645"/>
      <c r="AH24" s="634" t="str">
        <f>IF(AND('R. Gestión '!$L$239="Media",'R. Gestión '!$P$239="Catastrófico"),CONCATENATE("R",'R. Gestión '!$A$239),"")</f>
        <v/>
      </c>
      <c r="AI24" s="635"/>
      <c r="AJ24" s="635" t="str">
        <f>IF(AND('R. Gestión '!$L$257="Media",'R. Gestión '!$P$257="Catastrófico"),CONCATENATE("R",'R. Gestión '!$A$257),"")</f>
        <v/>
      </c>
      <c r="AK24" s="635"/>
      <c r="AL24" s="635" t="e">
        <f>IF(AND('R. Gestión '!#REF!="Media",'R. Gestión '!#REF!="Catastrófico"),CONCATENATE("R",'R. Gestión '!#REF!),"")</f>
        <v>#REF!</v>
      </c>
      <c r="AM24" s="636"/>
      <c r="AN24" s="72"/>
      <c r="AO24" s="686"/>
      <c r="AP24" s="687"/>
      <c r="AQ24" s="687"/>
      <c r="AR24" s="687"/>
      <c r="AS24" s="687"/>
      <c r="AT24" s="688"/>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x14ac:dyDescent="0.25">
      <c r="A25" s="72"/>
      <c r="B25" s="663"/>
      <c r="C25" s="663"/>
      <c r="D25" s="664"/>
      <c r="E25" s="656"/>
      <c r="F25" s="657"/>
      <c r="G25" s="657"/>
      <c r="H25" s="657"/>
      <c r="I25" s="658"/>
      <c r="J25" s="625"/>
      <c r="K25" s="626"/>
      <c r="L25" s="626"/>
      <c r="M25" s="626"/>
      <c r="N25" s="626"/>
      <c r="O25" s="627"/>
      <c r="P25" s="625"/>
      <c r="Q25" s="626"/>
      <c r="R25" s="626"/>
      <c r="S25" s="626"/>
      <c r="T25" s="626"/>
      <c r="U25" s="627"/>
      <c r="V25" s="625"/>
      <c r="W25" s="626"/>
      <c r="X25" s="626"/>
      <c r="Y25" s="626"/>
      <c r="Z25" s="626"/>
      <c r="AA25" s="627"/>
      <c r="AB25" s="643"/>
      <c r="AC25" s="644"/>
      <c r="AD25" s="644"/>
      <c r="AE25" s="644"/>
      <c r="AF25" s="644"/>
      <c r="AG25" s="645"/>
      <c r="AH25" s="634"/>
      <c r="AI25" s="635"/>
      <c r="AJ25" s="635"/>
      <c r="AK25" s="635"/>
      <c r="AL25" s="635"/>
      <c r="AM25" s="636"/>
      <c r="AN25" s="72"/>
      <c r="AO25" s="686"/>
      <c r="AP25" s="687"/>
      <c r="AQ25" s="687"/>
      <c r="AR25" s="687"/>
      <c r="AS25" s="687"/>
      <c r="AT25" s="688"/>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x14ac:dyDescent="0.25">
      <c r="A26" s="72"/>
      <c r="B26" s="663"/>
      <c r="C26" s="663"/>
      <c r="D26" s="664"/>
      <c r="E26" s="656"/>
      <c r="F26" s="657"/>
      <c r="G26" s="657"/>
      <c r="H26" s="657"/>
      <c r="I26" s="658"/>
      <c r="J26" s="625" t="e">
        <f>IF(AND('R. Gestión '!#REF!="Media",'R. Gestión '!#REF!="Leve"),CONCATENATE("R",'R. Gestión '!#REF!),"")</f>
        <v>#REF!</v>
      </c>
      <c r="K26" s="626"/>
      <c r="L26" s="626" t="str">
        <f>IF(AND('R. Gestión '!$L$281="Media",'R. Gestión '!$P$281="Leve"),CONCATENATE("R",'R. Gestión '!$A$281),"")</f>
        <v/>
      </c>
      <c r="M26" s="626"/>
      <c r="N26" s="626" t="e">
        <f>IF(AND('R. Gestión '!#REF!="Media",'R. Gestión '!#REF!="Leve"),CONCATENATE("R",'R. Gestión '!#REF!),"")</f>
        <v>#REF!</v>
      </c>
      <c r="O26" s="627"/>
      <c r="P26" s="625" t="e">
        <f>IF(AND('R. Gestión '!#REF!="Media",'R. Gestión '!#REF!="Menor"),CONCATENATE("R",'R. Gestión '!#REF!),"")</f>
        <v>#REF!</v>
      </c>
      <c r="Q26" s="626"/>
      <c r="R26" s="626" t="str">
        <f>IF(AND('R. Gestión '!$L$281="Media",'R. Gestión '!$P$281="Menor"),CONCATENATE("R",'R. Gestión '!$A$281),"")</f>
        <v/>
      </c>
      <c r="S26" s="626"/>
      <c r="T26" s="626" t="e">
        <f>IF(AND('R. Gestión '!#REF!="Media",'R. Gestión '!#REF!="Menor"),CONCATENATE("R",'R. Gestión '!#REF!),"")</f>
        <v>#REF!</v>
      </c>
      <c r="U26" s="627"/>
      <c r="V26" s="625" t="e">
        <f>IF(AND('R. Gestión '!#REF!="Media",'R. Gestión '!#REF!="Moderado"),CONCATENATE("R",'R. Gestión '!#REF!),"")</f>
        <v>#REF!</v>
      </c>
      <c r="W26" s="626"/>
      <c r="X26" s="626" t="str">
        <f>IF(AND('R. Gestión '!$L$281="Media",'R. Gestión '!$P$281="Moderado"),CONCATENATE("R",'R. Gestión '!$A$281),"")</f>
        <v/>
      </c>
      <c r="Y26" s="626"/>
      <c r="Z26" s="626" t="e">
        <f>IF(AND('R. Gestión '!#REF!="Media",'R. Gestión '!#REF!="Moderado"),CONCATENATE("R",'R. Gestión '!#REF!),"")</f>
        <v>#REF!</v>
      </c>
      <c r="AA26" s="627"/>
      <c r="AB26" s="643" t="e">
        <f>IF(AND('R. Gestión '!#REF!="Media",'R. Gestión '!#REF!="Mayor"),CONCATENATE("R",'R. Gestión '!#REF!),"")</f>
        <v>#REF!</v>
      </c>
      <c r="AC26" s="644"/>
      <c r="AD26" s="644" t="str">
        <f>IF(AND('R. Gestión '!$L$281="Media",'R. Gestión '!$P$281="Mayor"),CONCATENATE("R",'R. Gestión '!$A$281),"")</f>
        <v/>
      </c>
      <c r="AE26" s="644"/>
      <c r="AF26" s="644" t="e">
        <f>IF(AND('R. Gestión '!#REF!="Media",'R. Gestión '!#REF!="Mayor"),CONCATENATE("R",'R. Gestión '!#REF!),"")</f>
        <v>#REF!</v>
      </c>
      <c r="AG26" s="645"/>
      <c r="AH26" s="634" t="e">
        <f>IF(AND('R. Gestión '!#REF!="Media",'R. Gestión '!#REF!="Catastrófico"),CONCATENATE("R",'R. Gestión '!#REF!),"")</f>
        <v>#REF!</v>
      </c>
      <c r="AI26" s="635"/>
      <c r="AJ26" s="635" t="str">
        <f>IF(AND('R. Gestión '!$L$281="Media",'R. Gestión '!$P$281="Catastrófico"),CONCATENATE("R",'R. Gestión '!$A$281),"")</f>
        <v/>
      </c>
      <c r="AK26" s="635"/>
      <c r="AL26" s="635" t="e">
        <f>IF(AND('R. Gestión '!#REF!="Media",'R. Gestión '!#REF!="Catastrófico"),CONCATENATE("R",'R. Gestión '!#REF!),"")</f>
        <v>#REF!</v>
      </c>
      <c r="AM26" s="636"/>
      <c r="AN26" s="72"/>
      <c r="AO26" s="686"/>
      <c r="AP26" s="687"/>
      <c r="AQ26" s="687"/>
      <c r="AR26" s="687"/>
      <c r="AS26" s="687"/>
      <c r="AT26" s="688"/>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x14ac:dyDescent="0.25">
      <c r="A27" s="72"/>
      <c r="B27" s="663"/>
      <c r="C27" s="663"/>
      <c r="D27" s="664"/>
      <c r="E27" s="656"/>
      <c r="F27" s="657"/>
      <c r="G27" s="657"/>
      <c r="H27" s="657"/>
      <c r="I27" s="658"/>
      <c r="J27" s="625"/>
      <c r="K27" s="626"/>
      <c r="L27" s="626"/>
      <c r="M27" s="626"/>
      <c r="N27" s="626"/>
      <c r="O27" s="627"/>
      <c r="P27" s="625"/>
      <c r="Q27" s="626"/>
      <c r="R27" s="626"/>
      <c r="S27" s="626"/>
      <c r="T27" s="626"/>
      <c r="U27" s="627"/>
      <c r="V27" s="625"/>
      <c r="W27" s="626"/>
      <c r="X27" s="626"/>
      <c r="Y27" s="626"/>
      <c r="Z27" s="626"/>
      <c r="AA27" s="627"/>
      <c r="AB27" s="643"/>
      <c r="AC27" s="644"/>
      <c r="AD27" s="644"/>
      <c r="AE27" s="644"/>
      <c r="AF27" s="644"/>
      <c r="AG27" s="645"/>
      <c r="AH27" s="634"/>
      <c r="AI27" s="635"/>
      <c r="AJ27" s="635"/>
      <c r="AK27" s="635"/>
      <c r="AL27" s="635"/>
      <c r="AM27" s="636"/>
      <c r="AN27" s="72"/>
      <c r="AO27" s="686"/>
      <c r="AP27" s="687"/>
      <c r="AQ27" s="687"/>
      <c r="AR27" s="687"/>
      <c r="AS27" s="687"/>
      <c r="AT27" s="688"/>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x14ac:dyDescent="0.25">
      <c r="A28" s="72"/>
      <c r="B28" s="663"/>
      <c r="C28" s="663"/>
      <c r="D28" s="664"/>
      <c r="E28" s="656"/>
      <c r="F28" s="657"/>
      <c r="G28" s="657"/>
      <c r="H28" s="657"/>
      <c r="I28" s="658"/>
      <c r="J28" s="625" t="e">
        <f>IF(AND('R. Gestión '!#REF!="Media",'R. Gestión '!#REF!="Leve"),CONCATENATE("R",'R. Gestión '!#REF!),"")</f>
        <v>#REF!</v>
      </c>
      <c r="K28" s="626"/>
      <c r="L28" s="626" t="e">
        <f>IF(AND('R. Gestión '!#REF!="Media",'R. Gestión '!#REF!="Leve"),CONCATENATE("R",'R. Gestión '!#REF!),"")</f>
        <v>#REF!</v>
      </c>
      <c r="M28" s="626"/>
      <c r="N28" s="626" t="e">
        <f>IF(AND('R. Gestión '!#REF!="Media",'R. Gestión '!#REF!="Leve"),CONCATENATE("R",'R. Gestión '!#REF!),"")</f>
        <v>#REF!</v>
      </c>
      <c r="O28" s="627"/>
      <c r="P28" s="625" t="e">
        <f>IF(AND('R. Gestión '!#REF!="Media",'R. Gestión '!#REF!="Menor"),CONCATENATE("R",'R. Gestión '!#REF!),"")</f>
        <v>#REF!</v>
      </c>
      <c r="Q28" s="626"/>
      <c r="R28" s="626" t="e">
        <f>IF(AND('R. Gestión '!#REF!="Media",'R. Gestión '!#REF!="Menor"),CONCATENATE("R",'R. Gestión '!#REF!),"")</f>
        <v>#REF!</v>
      </c>
      <c r="S28" s="626"/>
      <c r="T28" s="626" t="e">
        <f>IF(AND('R. Gestión '!#REF!="Media",'R. Gestión '!#REF!="Menor"),CONCATENATE("R",'R. Gestión '!#REF!),"")</f>
        <v>#REF!</v>
      </c>
      <c r="U28" s="627"/>
      <c r="V28" s="625" t="e">
        <f>IF(AND('R. Gestión '!#REF!="Media",'R. Gestión '!#REF!="Moderado"),CONCATENATE("R",'R. Gestión '!#REF!),"")</f>
        <v>#REF!</v>
      </c>
      <c r="W28" s="626"/>
      <c r="X28" s="626" t="e">
        <f>IF(AND('R. Gestión '!#REF!="Media",'R. Gestión '!#REF!="Moderado"),CONCATENATE("R",'R. Gestión '!#REF!),"")</f>
        <v>#REF!</v>
      </c>
      <c r="Y28" s="626"/>
      <c r="Z28" s="626" t="e">
        <f>IF(AND('R. Gestión '!#REF!="Media",'R. Gestión '!#REF!="Moderado"),CONCATENATE("R",'R. Gestión '!#REF!),"")</f>
        <v>#REF!</v>
      </c>
      <c r="AA28" s="627"/>
      <c r="AB28" s="643" t="e">
        <f>IF(AND('R. Gestión '!#REF!="Media",'R. Gestión '!#REF!="Mayor"),CONCATENATE("R",'R. Gestión '!#REF!),"")</f>
        <v>#REF!</v>
      </c>
      <c r="AC28" s="644"/>
      <c r="AD28" s="644" t="e">
        <f>IF(AND('R. Gestión '!#REF!="Media",'R. Gestión '!#REF!="Mayor"),CONCATENATE("R",'R. Gestión '!#REF!),"")</f>
        <v>#REF!</v>
      </c>
      <c r="AE28" s="644"/>
      <c r="AF28" s="644" t="e">
        <f>IF(AND('R. Gestión '!#REF!="Media",'R. Gestión '!#REF!="Mayor"),CONCATENATE("R",'R. Gestión '!#REF!),"")</f>
        <v>#REF!</v>
      </c>
      <c r="AG28" s="645"/>
      <c r="AH28" s="634" t="e">
        <f>IF(AND('R. Gestión '!#REF!="Media",'R. Gestión '!#REF!="Catastrófico"),CONCATENATE("R",'R. Gestión '!#REF!),"")</f>
        <v>#REF!</v>
      </c>
      <c r="AI28" s="635"/>
      <c r="AJ28" s="635" t="e">
        <f>IF(AND('R. Gestión '!#REF!="Media",'R. Gestión '!#REF!="Catastrófico"),CONCATENATE("R",'R. Gestión '!#REF!),"")</f>
        <v>#REF!</v>
      </c>
      <c r="AK28" s="635"/>
      <c r="AL28" s="635" t="e">
        <f>IF(AND('R. Gestión '!#REF!="Media",'R. Gestión '!#REF!="Catastrófico"),CONCATENATE("R",'R. Gestión '!#REF!),"")</f>
        <v>#REF!</v>
      </c>
      <c r="AM28" s="636"/>
      <c r="AN28" s="72"/>
      <c r="AO28" s="686"/>
      <c r="AP28" s="687"/>
      <c r="AQ28" s="687"/>
      <c r="AR28" s="687"/>
      <c r="AS28" s="687"/>
      <c r="AT28" s="688"/>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x14ac:dyDescent="0.3">
      <c r="A29" s="72"/>
      <c r="B29" s="663"/>
      <c r="C29" s="663"/>
      <c r="D29" s="664"/>
      <c r="E29" s="659"/>
      <c r="F29" s="660"/>
      <c r="G29" s="660"/>
      <c r="H29" s="660"/>
      <c r="I29" s="661"/>
      <c r="J29" s="625"/>
      <c r="K29" s="626"/>
      <c r="L29" s="626"/>
      <c r="M29" s="626"/>
      <c r="N29" s="626"/>
      <c r="O29" s="627"/>
      <c r="P29" s="628"/>
      <c r="Q29" s="629"/>
      <c r="R29" s="629"/>
      <c r="S29" s="629"/>
      <c r="T29" s="629"/>
      <c r="U29" s="630"/>
      <c r="V29" s="628"/>
      <c r="W29" s="629"/>
      <c r="X29" s="629"/>
      <c r="Y29" s="629"/>
      <c r="Z29" s="629"/>
      <c r="AA29" s="630"/>
      <c r="AB29" s="646"/>
      <c r="AC29" s="647"/>
      <c r="AD29" s="647"/>
      <c r="AE29" s="647"/>
      <c r="AF29" s="647"/>
      <c r="AG29" s="648"/>
      <c r="AH29" s="637"/>
      <c r="AI29" s="638"/>
      <c r="AJ29" s="638"/>
      <c r="AK29" s="638"/>
      <c r="AL29" s="638"/>
      <c r="AM29" s="639"/>
      <c r="AN29" s="72"/>
      <c r="AO29" s="689"/>
      <c r="AP29" s="690"/>
      <c r="AQ29" s="690"/>
      <c r="AR29" s="690"/>
      <c r="AS29" s="690"/>
      <c r="AT29" s="691"/>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x14ac:dyDescent="0.25">
      <c r="A30" s="72"/>
      <c r="B30" s="663"/>
      <c r="C30" s="663"/>
      <c r="D30" s="664"/>
      <c r="E30" s="653" t="s">
        <v>98</v>
      </c>
      <c r="F30" s="654"/>
      <c r="G30" s="654"/>
      <c r="H30" s="654"/>
      <c r="I30" s="654"/>
      <c r="J30" s="622" t="e">
        <f>IF(AND('R. Gestión '!#REF!="Baja",'R. Gestión '!#REF!="Leve"),CONCATENATE("R",'R. Gestión '!#REF!),"")</f>
        <v>#REF!</v>
      </c>
      <c r="K30" s="623"/>
      <c r="L30" s="623" t="e">
        <f>IF(AND('R. Gestión '!#REF!="Baja",'R. Gestión '!#REF!="Leve"),CONCATENATE("R",'R. Gestión '!#REF!),"")</f>
        <v>#REF!</v>
      </c>
      <c r="M30" s="623"/>
      <c r="N30" s="623" t="e">
        <f>IF(AND('R. Gestión '!#REF!="Baja",'R. Gestión '!#REF!="Leve"),CONCATENATE("R",'R. Gestión '!#REF!),"")</f>
        <v>#REF!</v>
      </c>
      <c r="O30" s="624"/>
      <c r="P30" s="632" t="e">
        <f>IF(AND('R. Gestión '!#REF!="Baja",'R. Gestión '!#REF!="Menor"),CONCATENATE("R",'R. Gestión '!#REF!),"")</f>
        <v>#REF!</v>
      </c>
      <c r="Q30" s="632"/>
      <c r="R30" s="632" t="e">
        <f>IF(AND('R. Gestión '!#REF!="Baja",'R. Gestión '!#REF!="Menor"),CONCATENATE("R",'R. Gestión '!#REF!),"")</f>
        <v>#REF!</v>
      </c>
      <c r="S30" s="632"/>
      <c r="T30" s="632" t="e">
        <f>IF(AND('R. Gestión '!#REF!="Baja",'R. Gestión '!#REF!="Menor"),CONCATENATE("R",'R. Gestión '!#REF!),"")</f>
        <v>#REF!</v>
      </c>
      <c r="U30" s="633"/>
      <c r="V30" s="631" t="e">
        <f>IF(AND('R. Gestión '!#REF!="Baja",'R. Gestión '!#REF!="Moderado"),CONCATENATE("R",'R. Gestión '!#REF!),"")</f>
        <v>#REF!</v>
      </c>
      <c r="W30" s="632"/>
      <c r="X30" s="632" t="e">
        <f>IF(AND('R. Gestión '!#REF!="Baja",'R. Gestión '!#REF!="Moderado"),CONCATENATE("R",'R. Gestión '!#REF!),"")</f>
        <v>#REF!</v>
      </c>
      <c r="Y30" s="632"/>
      <c r="Z30" s="632" t="e">
        <f>IF(AND('R. Gestión '!#REF!="Baja",'R. Gestión '!#REF!="Moderado"),CONCATENATE("R",'R. Gestión '!#REF!),"")</f>
        <v>#REF!</v>
      </c>
      <c r="AA30" s="633"/>
      <c r="AB30" s="649" t="e">
        <f>IF(AND('R. Gestión '!#REF!="Baja",'R. Gestión '!#REF!="Mayor"),CONCATENATE("R",'R. Gestión '!#REF!),"")</f>
        <v>#REF!</v>
      </c>
      <c r="AC30" s="650"/>
      <c r="AD30" s="650" t="e">
        <f>IF(AND('R. Gestión '!#REF!="Baja",'R. Gestión '!#REF!="Mayor"),CONCATENATE("R",'R. Gestión '!#REF!),"")</f>
        <v>#REF!</v>
      </c>
      <c r="AE30" s="650"/>
      <c r="AF30" s="650" t="e">
        <f>IF(AND('R. Gestión '!#REF!="Baja",'R. Gestión '!#REF!="Mayor"),CONCATENATE("R",'R. Gestión '!#REF!),"")</f>
        <v>#REF!</v>
      </c>
      <c r="AG30" s="651"/>
      <c r="AH30" s="640" t="e">
        <f>IF(AND('R. Gestión '!#REF!="Baja",'R. Gestión '!#REF!="Catastrófico"),CONCATENATE("R",'R. Gestión '!#REF!),"")</f>
        <v>#REF!</v>
      </c>
      <c r="AI30" s="641"/>
      <c r="AJ30" s="641" t="e">
        <f>IF(AND('R. Gestión '!#REF!="Baja",'R. Gestión '!#REF!="Catastrófico"),CONCATENATE("R",'R. Gestión '!#REF!),"")</f>
        <v>#REF!</v>
      </c>
      <c r="AK30" s="641"/>
      <c r="AL30" s="641" t="e">
        <f>IF(AND('R. Gestión '!#REF!="Baja",'R. Gestión '!#REF!="Catastrófico"),CONCATENATE("R",'R. Gestión '!#REF!),"")</f>
        <v>#REF!</v>
      </c>
      <c r="AM30" s="642"/>
      <c r="AN30" s="72"/>
      <c r="AO30" s="692" t="s">
        <v>68</v>
      </c>
      <c r="AP30" s="693"/>
      <c r="AQ30" s="693"/>
      <c r="AR30" s="693"/>
      <c r="AS30" s="693"/>
      <c r="AT30" s="694"/>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x14ac:dyDescent="0.25">
      <c r="A31" s="72"/>
      <c r="B31" s="663"/>
      <c r="C31" s="663"/>
      <c r="D31" s="664"/>
      <c r="E31" s="656"/>
      <c r="F31" s="657"/>
      <c r="G31" s="657"/>
      <c r="H31" s="657"/>
      <c r="I31" s="657"/>
      <c r="J31" s="616"/>
      <c r="K31" s="617"/>
      <c r="L31" s="617"/>
      <c r="M31" s="617"/>
      <c r="N31" s="617"/>
      <c r="O31" s="618"/>
      <c r="P31" s="626"/>
      <c r="Q31" s="626"/>
      <c r="R31" s="626"/>
      <c r="S31" s="626"/>
      <c r="T31" s="626"/>
      <c r="U31" s="627"/>
      <c r="V31" s="625"/>
      <c r="W31" s="626"/>
      <c r="X31" s="626"/>
      <c r="Y31" s="626"/>
      <c r="Z31" s="626"/>
      <c r="AA31" s="627"/>
      <c r="AB31" s="643"/>
      <c r="AC31" s="644"/>
      <c r="AD31" s="644"/>
      <c r="AE31" s="644"/>
      <c r="AF31" s="644"/>
      <c r="AG31" s="645"/>
      <c r="AH31" s="634"/>
      <c r="AI31" s="635"/>
      <c r="AJ31" s="635"/>
      <c r="AK31" s="635"/>
      <c r="AL31" s="635"/>
      <c r="AM31" s="636"/>
      <c r="AN31" s="72"/>
      <c r="AO31" s="695"/>
      <c r="AP31" s="696"/>
      <c r="AQ31" s="696"/>
      <c r="AR31" s="696"/>
      <c r="AS31" s="696"/>
      <c r="AT31" s="697"/>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x14ac:dyDescent="0.25">
      <c r="A32" s="72"/>
      <c r="B32" s="663"/>
      <c r="C32" s="663"/>
      <c r="D32" s="664"/>
      <c r="E32" s="656"/>
      <c r="F32" s="657"/>
      <c r="G32" s="657"/>
      <c r="H32" s="657"/>
      <c r="I32" s="657"/>
      <c r="J32" s="616" t="str">
        <f>IF(AND('R. Gestión '!$L$239="Baja",'R. Gestión '!$P$239="Leve"),CONCATENATE("R",'R. Gestión '!$A$239),"")</f>
        <v/>
      </c>
      <c r="K32" s="617"/>
      <c r="L32" s="617" t="str">
        <f>IF(AND('R. Gestión '!$L$257="Baja",'R. Gestión '!$P$257="Leve"),CONCATENATE("R",'R. Gestión '!$A$257),"")</f>
        <v/>
      </c>
      <c r="M32" s="617"/>
      <c r="N32" s="617" t="e">
        <f>IF(AND('R. Gestión '!#REF!="Baja",'R. Gestión '!#REF!="Leve"),CONCATENATE("R",'R. Gestión '!#REF!),"")</f>
        <v>#REF!</v>
      </c>
      <c r="O32" s="618"/>
      <c r="P32" s="626" t="str">
        <f>IF(AND('R. Gestión '!$L$239="Baja",'R. Gestión '!$P$239="Menor"),CONCATENATE("R",'R. Gestión '!$A$239),"")</f>
        <v/>
      </c>
      <c r="Q32" s="626"/>
      <c r="R32" s="626" t="str">
        <f>IF(AND('R. Gestión '!$L$257="Baja",'R. Gestión '!$P$257="Menor"),CONCATENATE("R",'R. Gestión '!$A$257),"")</f>
        <v/>
      </c>
      <c r="S32" s="626"/>
      <c r="T32" s="626" t="e">
        <f>IF(AND('R. Gestión '!#REF!="Baja",'R. Gestión '!#REF!="Menor"),CONCATENATE("R",'R. Gestión '!#REF!),"")</f>
        <v>#REF!</v>
      </c>
      <c r="U32" s="627"/>
      <c r="V32" s="625" t="str">
        <f>IF(AND('R. Gestión '!$L$239="Baja",'R. Gestión '!$P$239="Moderado"),CONCATENATE("R",'R. Gestión '!$A$239),"")</f>
        <v/>
      </c>
      <c r="W32" s="626"/>
      <c r="X32" s="626" t="str">
        <f>IF(AND('R. Gestión '!$L$257="Baja",'R. Gestión '!$P$257="Moderado"),CONCATENATE("R",'R. Gestión '!$A$257),"")</f>
        <v/>
      </c>
      <c r="Y32" s="626"/>
      <c r="Z32" s="626" t="e">
        <f>IF(AND('R. Gestión '!#REF!="Baja",'R. Gestión '!#REF!="Moderado"),CONCATENATE("R",'R. Gestión '!#REF!),"")</f>
        <v>#REF!</v>
      </c>
      <c r="AA32" s="627"/>
      <c r="AB32" s="643" t="str">
        <f>IF(AND('R. Gestión '!$L$239="Baja",'R. Gestión '!$P$239="Mayor"),CONCATENATE("R",'R. Gestión '!$A$239),"")</f>
        <v/>
      </c>
      <c r="AC32" s="644"/>
      <c r="AD32" s="644" t="str">
        <f>IF(AND('R. Gestión '!$L$257="Baja",'R. Gestión '!$P$257="Mayor"),CONCATENATE("R",'R. Gestión '!$A$257),"")</f>
        <v/>
      </c>
      <c r="AE32" s="644"/>
      <c r="AF32" s="644" t="e">
        <f>IF(AND('R. Gestión '!#REF!="Baja",'R. Gestión '!#REF!="Mayor"),CONCATENATE("R",'R. Gestión '!#REF!),"")</f>
        <v>#REF!</v>
      </c>
      <c r="AG32" s="645"/>
      <c r="AH32" s="634" t="str">
        <f>IF(AND('R. Gestión '!$L$239="Baja",'R. Gestión '!$P$239="Catastrófico"),CONCATENATE("R",'R. Gestión '!$A$239),"")</f>
        <v/>
      </c>
      <c r="AI32" s="635"/>
      <c r="AJ32" s="635" t="str">
        <f>IF(AND('R. Gestión '!$L$257="Baja",'R. Gestión '!$P$257="Catastrófico"),CONCATENATE("R",'R. Gestión '!$A$257),"")</f>
        <v/>
      </c>
      <c r="AK32" s="635"/>
      <c r="AL32" s="635" t="e">
        <f>IF(AND('R. Gestión '!#REF!="Baja",'R. Gestión '!#REF!="Catastrófico"),CONCATENATE("R",'R. Gestión '!#REF!),"")</f>
        <v>#REF!</v>
      </c>
      <c r="AM32" s="636"/>
      <c r="AN32" s="72"/>
      <c r="AO32" s="695"/>
      <c r="AP32" s="696"/>
      <c r="AQ32" s="696"/>
      <c r="AR32" s="696"/>
      <c r="AS32" s="696"/>
      <c r="AT32" s="697"/>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x14ac:dyDescent="0.25">
      <c r="A33" s="72"/>
      <c r="B33" s="663"/>
      <c r="C33" s="663"/>
      <c r="D33" s="664"/>
      <c r="E33" s="656"/>
      <c r="F33" s="657"/>
      <c r="G33" s="657"/>
      <c r="H33" s="657"/>
      <c r="I33" s="657"/>
      <c r="J33" s="616"/>
      <c r="K33" s="617"/>
      <c r="L33" s="617"/>
      <c r="M33" s="617"/>
      <c r="N33" s="617"/>
      <c r="O33" s="618"/>
      <c r="P33" s="626"/>
      <c r="Q33" s="626"/>
      <c r="R33" s="626"/>
      <c r="S33" s="626"/>
      <c r="T33" s="626"/>
      <c r="U33" s="627"/>
      <c r="V33" s="625"/>
      <c r="W33" s="626"/>
      <c r="X33" s="626"/>
      <c r="Y33" s="626"/>
      <c r="Z33" s="626"/>
      <c r="AA33" s="627"/>
      <c r="AB33" s="643"/>
      <c r="AC33" s="644"/>
      <c r="AD33" s="644"/>
      <c r="AE33" s="644"/>
      <c r="AF33" s="644"/>
      <c r="AG33" s="645"/>
      <c r="AH33" s="634"/>
      <c r="AI33" s="635"/>
      <c r="AJ33" s="635"/>
      <c r="AK33" s="635"/>
      <c r="AL33" s="635"/>
      <c r="AM33" s="636"/>
      <c r="AN33" s="72"/>
      <c r="AO33" s="695"/>
      <c r="AP33" s="696"/>
      <c r="AQ33" s="696"/>
      <c r="AR33" s="696"/>
      <c r="AS33" s="696"/>
      <c r="AT33" s="697"/>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x14ac:dyDescent="0.25">
      <c r="A34" s="72"/>
      <c r="B34" s="663"/>
      <c r="C34" s="663"/>
      <c r="D34" s="664"/>
      <c r="E34" s="656"/>
      <c r="F34" s="657"/>
      <c r="G34" s="657"/>
      <c r="H34" s="657"/>
      <c r="I34" s="657"/>
      <c r="J34" s="616" t="e">
        <f>IF(AND('R. Gestión '!#REF!="Baja",'R. Gestión '!#REF!="Leve"),CONCATENATE("R",'R. Gestión '!#REF!),"")</f>
        <v>#REF!</v>
      </c>
      <c r="K34" s="617"/>
      <c r="L34" s="617" t="str">
        <f>IF(AND('R. Gestión '!$L$281="Baja",'R. Gestión '!$P$281="Leve"),CONCATENATE("R",'R. Gestión '!$A$281),"")</f>
        <v/>
      </c>
      <c r="M34" s="617"/>
      <c r="N34" s="617" t="e">
        <f>IF(AND('R. Gestión '!#REF!="Baja",'R. Gestión '!#REF!="Leve"),CONCATENATE("R",'R. Gestión '!#REF!),"")</f>
        <v>#REF!</v>
      </c>
      <c r="O34" s="618"/>
      <c r="P34" s="626" t="e">
        <f>IF(AND('R. Gestión '!#REF!="Baja",'R. Gestión '!#REF!="Menor"),CONCATENATE("R",'R. Gestión '!#REF!),"")</f>
        <v>#REF!</v>
      </c>
      <c r="Q34" s="626"/>
      <c r="R34" s="626" t="str">
        <f>IF(AND('R. Gestión '!$L$281="Baja",'R. Gestión '!$P$281="Menor"),CONCATENATE("R",'R. Gestión '!$A$281),"")</f>
        <v>RR69</v>
      </c>
      <c r="S34" s="626"/>
      <c r="T34" s="626" t="e">
        <f>IF(AND('R. Gestión '!#REF!="Baja",'R. Gestión '!#REF!="Menor"),CONCATENATE("R",'R. Gestión '!#REF!),"")</f>
        <v>#REF!</v>
      </c>
      <c r="U34" s="627"/>
      <c r="V34" s="625" t="e">
        <f>IF(AND('R. Gestión '!#REF!="Baja",'R. Gestión '!#REF!="Moderado"),CONCATENATE("R",'R. Gestión '!#REF!),"")</f>
        <v>#REF!</v>
      </c>
      <c r="W34" s="626"/>
      <c r="X34" s="626" t="str">
        <f>IF(AND('R. Gestión '!$L$281="Baja",'R. Gestión '!$P$281="Moderado"),CONCATENATE("R",'R. Gestión '!$A$281),"")</f>
        <v/>
      </c>
      <c r="Y34" s="626"/>
      <c r="Z34" s="626" t="e">
        <f>IF(AND('R. Gestión '!#REF!="Baja",'R. Gestión '!#REF!="Moderado"),CONCATENATE("R",'R. Gestión '!#REF!),"")</f>
        <v>#REF!</v>
      </c>
      <c r="AA34" s="627"/>
      <c r="AB34" s="643" t="e">
        <f>IF(AND('R. Gestión '!#REF!="Baja",'R. Gestión '!#REF!="Mayor"),CONCATENATE("R",'R. Gestión '!#REF!),"")</f>
        <v>#REF!</v>
      </c>
      <c r="AC34" s="644"/>
      <c r="AD34" s="644" t="str">
        <f>IF(AND('R. Gestión '!$L$281="Baja",'R. Gestión '!$P$281="Mayor"),CONCATENATE("R",'R. Gestión '!$A$281),"")</f>
        <v/>
      </c>
      <c r="AE34" s="644"/>
      <c r="AF34" s="644" t="e">
        <f>IF(AND('R. Gestión '!#REF!="Baja",'R. Gestión '!#REF!="Mayor"),CONCATENATE("R",'R. Gestión '!#REF!),"")</f>
        <v>#REF!</v>
      </c>
      <c r="AG34" s="645"/>
      <c r="AH34" s="634" t="e">
        <f>IF(AND('R. Gestión '!#REF!="Baja",'R. Gestión '!#REF!="Catastrófico"),CONCATENATE("R",'R. Gestión '!#REF!),"")</f>
        <v>#REF!</v>
      </c>
      <c r="AI34" s="635"/>
      <c r="AJ34" s="635" t="str">
        <f>IF(AND('R. Gestión '!$L$281="Baja",'R. Gestión '!$P$281="Catastrófico"),CONCATENATE("R",'R. Gestión '!$A$281),"")</f>
        <v/>
      </c>
      <c r="AK34" s="635"/>
      <c r="AL34" s="635" t="e">
        <f>IF(AND('R. Gestión '!#REF!="Baja",'R. Gestión '!#REF!="Catastrófico"),CONCATENATE("R",'R. Gestión '!#REF!),"")</f>
        <v>#REF!</v>
      </c>
      <c r="AM34" s="636"/>
      <c r="AN34" s="72"/>
      <c r="AO34" s="695"/>
      <c r="AP34" s="696"/>
      <c r="AQ34" s="696"/>
      <c r="AR34" s="696"/>
      <c r="AS34" s="696"/>
      <c r="AT34" s="697"/>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x14ac:dyDescent="0.25">
      <c r="A35" s="72"/>
      <c r="B35" s="663"/>
      <c r="C35" s="663"/>
      <c r="D35" s="664"/>
      <c r="E35" s="656"/>
      <c r="F35" s="657"/>
      <c r="G35" s="657"/>
      <c r="H35" s="657"/>
      <c r="I35" s="657"/>
      <c r="J35" s="616"/>
      <c r="K35" s="617"/>
      <c r="L35" s="617"/>
      <c r="M35" s="617"/>
      <c r="N35" s="617"/>
      <c r="O35" s="618"/>
      <c r="P35" s="626"/>
      <c r="Q35" s="626"/>
      <c r="R35" s="626"/>
      <c r="S35" s="626"/>
      <c r="T35" s="626"/>
      <c r="U35" s="627"/>
      <c r="V35" s="625"/>
      <c r="W35" s="626"/>
      <c r="X35" s="626"/>
      <c r="Y35" s="626"/>
      <c r="Z35" s="626"/>
      <c r="AA35" s="627"/>
      <c r="AB35" s="643"/>
      <c r="AC35" s="644"/>
      <c r="AD35" s="644"/>
      <c r="AE35" s="644"/>
      <c r="AF35" s="644"/>
      <c r="AG35" s="645"/>
      <c r="AH35" s="634"/>
      <c r="AI35" s="635"/>
      <c r="AJ35" s="635"/>
      <c r="AK35" s="635"/>
      <c r="AL35" s="635"/>
      <c r="AM35" s="636"/>
      <c r="AN35" s="72"/>
      <c r="AO35" s="695"/>
      <c r="AP35" s="696"/>
      <c r="AQ35" s="696"/>
      <c r="AR35" s="696"/>
      <c r="AS35" s="696"/>
      <c r="AT35" s="697"/>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x14ac:dyDescent="0.25">
      <c r="A36" s="72"/>
      <c r="B36" s="663"/>
      <c r="C36" s="663"/>
      <c r="D36" s="664"/>
      <c r="E36" s="656"/>
      <c r="F36" s="657"/>
      <c r="G36" s="657"/>
      <c r="H36" s="657"/>
      <c r="I36" s="657"/>
      <c r="J36" s="616" t="e">
        <f>IF(AND('R. Gestión '!#REF!="Baja",'R. Gestión '!#REF!="Leve"),CONCATENATE("R",'R. Gestión '!#REF!),"")</f>
        <v>#REF!</v>
      </c>
      <c r="K36" s="617"/>
      <c r="L36" s="617" t="e">
        <f>IF(AND('R. Gestión '!#REF!="Baja",'R. Gestión '!#REF!="Leve"),CONCATENATE("R",'R. Gestión '!#REF!),"")</f>
        <v>#REF!</v>
      </c>
      <c r="M36" s="617"/>
      <c r="N36" s="617" t="e">
        <f>IF(AND('R. Gestión '!#REF!="Baja",'R. Gestión '!#REF!="Leve"),CONCATENATE("R",'R. Gestión '!#REF!),"")</f>
        <v>#REF!</v>
      </c>
      <c r="O36" s="618"/>
      <c r="P36" s="626" t="e">
        <f>IF(AND('R. Gestión '!#REF!="Baja",'R. Gestión '!#REF!="Menor"),CONCATENATE("R",'R. Gestión '!#REF!),"")</f>
        <v>#REF!</v>
      </c>
      <c r="Q36" s="626"/>
      <c r="R36" s="626" t="e">
        <f>IF(AND('R. Gestión '!#REF!="Baja",'R. Gestión '!#REF!="Menor"),CONCATENATE("R",'R. Gestión '!#REF!),"")</f>
        <v>#REF!</v>
      </c>
      <c r="S36" s="626"/>
      <c r="T36" s="626" t="e">
        <f>IF(AND('R. Gestión '!#REF!="Baja",'R. Gestión '!#REF!="Menor"),CONCATENATE("R",'R. Gestión '!#REF!),"")</f>
        <v>#REF!</v>
      </c>
      <c r="U36" s="627"/>
      <c r="V36" s="625" t="e">
        <f>IF(AND('R. Gestión '!#REF!="Baja",'R. Gestión '!#REF!="Moderado"),CONCATENATE("R",'R. Gestión '!#REF!),"")</f>
        <v>#REF!</v>
      </c>
      <c r="W36" s="626"/>
      <c r="X36" s="626" t="e">
        <f>IF(AND('R. Gestión '!#REF!="Baja",'R. Gestión '!#REF!="Moderado"),CONCATENATE("R",'R. Gestión '!#REF!),"")</f>
        <v>#REF!</v>
      </c>
      <c r="Y36" s="626"/>
      <c r="Z36" s="626" t="e">
        <f>IF(AND('R. Gestión '!#REF!="Baja",'R. Gestión '!#REF!="Moderado"),CONCATENATE("R",'R. Gestión '!#REF!),"")</f>
        <v>#REF!</v>
      </c>
      <c r="AA36" s="627"/>
      <c r="AB36" s="643" t="e">
        <f>IF(AND('R. Gestión '!#REF!="Baja",'R. Gestión '!#REF!="Mayor"),CONCATENATE("R",'R. Gestión '!#REF!),"")</f>
        <v>#REF!</v>
      </c>
      <c r="AC36" s="644"/>
      <c r="AD36" s="644" t="e">
        <f>IF(AND('R. Gestión '!#REF!="Baja",'R. Gestión '!#REF!="Mayor"),CONCATENATE("R",'R. Gestión '!#REF!),"")</f>
        <v>#REF!</v>
      </c>
      <c r="AE36" s="644"/>
      <c r="AF36" s="644" t="e">
        <f>IF(AND('R. Gestión '!#REF!="Baja",'R. Gestión '!#REF!="Mayor"),CONCATENATE("R",'R. Gestión '!#REF!),"")</f>
        <v>#REF!</v>
      </c>
      <c r="AG36" s="645"/>
      <c r="AH36" s="634" t="e">
        <f>IF(AND('R. Gestión '!#REF!="Baja",'R. Gestión '!#REF!="Catastrófico"),CONCATENATE("R",'R. Gestión '!#REF!),"")</f>
        <v>#REF!</v>
      </c>
      <c r="AI36" s="635"/>
      <c r="AJ36" s="635" t="e">
        <f>IF(AND('R. Gestión '!#REF!="Baja",'R. Gestión '!#REF!="Catastrófico"),CONCATENATE("R",'R. Gestión '!#REF!),"")</f>
        <v>#REF!</v>
      </c>
      <c r="AK36" s="635"/>
      <c r="AL36" s="635" t="e">
        <f>IF(AND('R. Gestión '!#REF!="Baja",'R. Gestión '!#REF!="Catastrófico"),CONCATENATE("R",'R. Gestión '!#REF!),"")</f>
        <v>#REF!</v>
      </c>
      <c r="AM36" s="636"/>
      <c r="AN36" s="72"/>
      <c r="AO36" s="695"/>
      <c r="AP36" s="696"/>
      <c r="AQ36" s="696"/>
      <c r="AR36" s="696"/>
      <c r="AS36" s="696"/>
      <c r="AT36" s="697"/>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x14ac:dyDescent="0.3">
      <c r="A37" s="72"/>
      <c r="B37" s="663"/>
      <c r="C37" s="663"/>
      <c r="D37" s="664"/>
      <c r="E37" s="659"/>
      <c r="F37" s="660"/>
      <c r="G37" s="660"/>
      <c r="H37" s="660"/>
      <c r="I37" s="660"/>
      <c r="J37" s="619"/>
      <c r="K37" s="620"/>
      <c r="L37" s="620"/>
      <c r="M37" s="620"/>
      <c r="N37" s="620"/>
      <c r="O37" s="621"/>
      <c r="P37" s="629"/>
      <c r="Q37" s="629"/>
      <c r="R37" s="629"/>
      <c r="S37" s="629"/>
      <c r="T37" s="629"/>
      <c r="U37" s="630"/>
      <c r="V37" s="628"/>
      <c r="W37" s="629"/>
      <c r="X37" s="629"/>
      <c r="Y37" s="629"/>
      <c r="Z37" s="629"/>
      <c r="AA37" s="630"/>
      <c r="AB37" s="646"/>
      <c r="AC37" s="647"/>
      <c r="AD37" s="647"/>
      <c r="AE37" s="647"/>
      <c r="AF37" s="647"/>
      <c r="AG37" s="648"/>
      <c r="AH37" s="637"/>
      <c r="AI37" s="638"/>
      <c r="AJ37" s="638"/>
      <c r="AK37" s="638"/>
      <c r="AL37" s="638"/>
      <c r="AM37" s="639"/>
      <c r="AN37" s="72"/>
      <c r="AO37" s="698"/>
      <c r="AP37" s="699"/>
      <c r="AQ37" s="699"/>
      <c r="AR37" s="699"/>
      <c r="AS37" s="699"/>
      <c r="AT37" s="700"/>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x14ac:dyDescent="0.25">
      <c r="A38" s="72"/>
      <c r="B38" s="663"/>
      <c r="C38" s="663"/>
      <c r="D38" s="664"/>
      <c r="E38" s="653" t="s">
        <v>97</v>
      </c>
      <c r="F38" s="654"/>
      <c r="G38" s="654"/>
      <c r="H38" s="654"/>
      <c r="I38" s="655"/>
      <c r="J38" s="622" t="e">
        <f>IF(AND('R. Gestión '!#REF!="Muy Baja",'R. Gestión '!#REF!="Leve"),CONCATENATE("R",'R. Gestión '!#REF!),"")</f>
        <v>#REF!</v>
      </c>
      <c r="K38" s="623"/>
      <c r="L38" s="623" t="e">
        <f>IF(AND('R. Gestión '!#REF!="Muy Baja",'R. Gestión '!#REF!="Leve"),CONCATENATE("R",'R. Gestión '!#REF!),"")</f>
        <v>#REF!</v>
      </c>
      <c r="M38" s="623"/>
      <c r="N38" s="623" t="e">
        <f>IF(AND('R. Gestión '!#REF!="Muy Baja",'R. Gestión '!#REF!="Leve"),CONCATENATE("R",'R. Gestión '!#REF!),"")</f>
        <v>#REF!</v>
      </c>
      <c r="O38" s="624"/>
      <c r="P38" s="622" t="e">
        <f>IF(AND('R. Gestión '!#REF!="Muy Baja",'R. Gestión '!#REF!="Menor"),CONCATENATE("R",'R. Gestión '!#REF!),"")</f>
        <v>#REF!</v>
      </c>
      <c r="Q38" s="623"/>
      <c r="R38" s="623" t="e">
        <f>IF(AND('R. Gestión '!#REF!="Muy Baja",'R. Gestión '!#REF!="Menor"),CONCATENATE("R",'R. Gestión '!#REF!),"")</f>
        <v>#REF!</v>
      </c>
      <c r="S38" s="623"/>
      <c r="T38" s="623" t="e">
        <f>IF(AND('R. Gestión '!#REF!="Muy Baja",'R. Gestión '!#REF!="Menor"),CONCATENATE("R",'R. Gestión '!#REF!),"")</f>
        <v>#REF!</v>
      </c>
      <c r="U38" s="624"/>
      <c r="V38" s="631" t="e">
        <f>IF(AND('R. Gestión '!#REF!="Muy Baja",'R. Gestión '!#REF!="Moderado"),CONCATENATE("R",'R. Gestión '!#REF!),"")</f>
        <v>#REF!</v>
      </c>
      <c r="W38" s="632"/>
      <c r="X38" s="632" t="e">
        <f>IF(AND('R. Gestión '!#REF!="Muy Baja",'R. Gestión '!#REF!="Moderado"),CONCATENATE("R",'R. Gestión '!#REF!),"")</f>
        <v>#REF!</v>
      </c>
      <c r="Y38" s="632"/>
      <c r="Z38" s="632" t="e">
        <f>IF(AND('R. Gestión '!#REF!="Muy Baja",'R. Gestión '!#REF!="Moderado"),CONCATENATE("R",'R. Gestión '!#REF!),"")</f>
        <v>#REF!</v>
      </c>
      <c r="AA38" s="633"/>
      <c r="AB38" s="649" t="e">
        <f>IF(AND('R. Gestión '!#REF!="Muy Baja",'R. Gestión '!#REF!="Mayor"),CONCATENATE("R",'R. Gestión '!#REF!),"")</f>
        <v>#REF!</v>
      </c>
      <c r="AC38" s="650"/>
      <c r="AD38" s="650" t="e">
        <f>IF(AND('R. Gestión '!#REF!="Muy Baja",'R. Gestión '!#REF!="Mayor"),CONCATENATE("R",'R. Gestión '!#REF!),"")</f>
        <v>#REF!</v>
      </c>
      <c r="AE38" s="650"/>
      <c r="AF38" s="650" t="e">
        <f>IF(AND('R. Gestión '!#REF!="Muy Baja",'R. Gestión '!#REF!="Mayor"),CONCATENATE("R",'R. Gestión '!#REF!),"")</f>
        <v>#REF!</v>
      </c>
      <c r="AG38" s="651"/>
      <c r="AH38" s="640" t="e">
        <f>IF(AND('R. Gestión '!#REF!="Muy Baja",'R. Gestión '!#REF!="Catastrófico"),CONCATENATE("R",'R. Gestión '!#REF!),"")</f>
        <v>#REF!</v>
      </c>
      <c r="AI38" s="641"/>
      <c r="AJ38" s="641" t="e">
        <f>IF(AND('R. Gestión '!#REF!="Muy Baja",'R. Gestión '!#REF!="Catastrófico"),CONCATENATE("R",'R. Gestión '!#REF!),"")</f>
        <v>#REF!</v>
      </c>
      <c r="AK38" s="641"/>
      <c r="AL38" s="641" t="e">
        <f>IF(AND('R. Gestión '!#REF!="Muy Baja",'R. Gestión '!#REF!="Catastrófico"),CONCATENATE("R",'R. Gestión '!#REF!),"")</f>
        <v>#REF!</v>
      </c>
      <c r="AM38" s="64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x14ac:dyDescent="0.25">
      <c r="A39" s="72"/>
      <c r="B39" s="663"/>
      <c r="C39" s="663"/>
      <c r="D39" s="664"/>
      <c r="E39" s="656"/>
      <c r="F39" s="657"/>
      <c r="G39" s="657"/>
      <c r="H39" s="657"/>
      <c r="I39" s="658"/>
      <c r="J39" s="616"/>
      <c r="K39" s="617"/>
      <c r="L39" s="617"/>
      <c r="M39" s="617"/>
      <c r="N39" s="617"/>
      <c r="O39" s="618"/>
      <c r="P39" s="616"/>
      <c r="Q39" s="617"/>
      <c r="R39" s="617"/>
      <c r="S39" s="617"/>
      <c r="T39" s="617"/>
      <c r="U39" s="618"/>
      <c r="V39" s="625"/>
      <c r="W39" s="626"/>
      <c r="X39" s="626"/>
      <c r="Y39" s="626"/>
      <c r="Z39" s="626"/>
      <c r="AA39" s="627"/>
      <c r="AB39" s="643"/>
      <c r="AC39" s="644"/>
      <c r="AD39" s="644"/>
      <c r="AE39" s="644"/>
      <c r="AF39" s="644"/>
      <c r="AG39" s="645"/>
      <c r="AH39" s="634"/>
      <c r="AI39" s="635"/>
      <c r="AJ39" s="635"/>
      <c r="AK39" s="635"/>
      <c r="AL39" s="635"/>
      <c r="AM39" s="636"/>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x14ac:dyDescent="0.25">
      <c r="A40" s="72"/>
      <c r="B40" s="663"/>
      <c r="C40" s="663"/>
      <c r="D40" s="664"/>
      <c r="E40" s="656"/>
      <c r="F40" s="657"/>
      <c r="G40" s="657"/>
      <c r="H40" s="657"/>
      <c r="I40" s="658"/>
      <c r="J40" s="616" t="str">
        <f>IF(AND('R. Gestión '!$L$239="Muy Baja",'R. Gestión '!$P$239="Leve"),CONCATENATE("R",'R. Gestión '!$A$239),"")</f>
        <v/>
      </c>
      <c r="K40" s="617"/>
      <c r="L40" s="617" t="str">
        <f>IF(AND('R. Gestión '!$L$257="Muy Baja",'R. Gestión '!$P$257="Leve"),CONCATENATE("R",'R. Gestión '!$A$257),"")</f>
        <v/>
      </c>
      <c r="M40" s="617"/>
      <c r="N40" s="617" t="e">
        <f>IF(AND('R. Gestión '!#REF!="Muy Baja",'R. Gestión '!#REF!="Leve"),CONCATENATE("R",'R. Gestión '!#REF!),"")</f>
        <v>#REF!</v>
      </c>
      <c r="O40" s="618"/>
      <c r="P40" s="616" t="str">
        <f>IF(AND('R. Gestión '!$L$239="Muy Baja",'R. Gestión '!$P$239="Menor"),CONCATENATE("R",'R. Gestión '!$A$239),"")</f>
        <v/>
      </c>
      <c r="Q40" s="617"/>
      <c r="R40" s="617" t="str">
        <f>IF(AND('R. Gestión '!$L$257="Muy Baja",'R. Gestión '!$P$257="Menor"),CONCATENATE("R",'R. Gestión '!$A$257),"")</f>
        <v/>
      </c>
      <c r="S40" s="617"/>
      <c r="T40" s="617" t="e">
        <f>IF(AND('R. Gestión '!#REF!="Muy Baja",'R. Gestión '!#REF!="Menor"),CONCATENATE("R",'R. Gestión '!#REF!),"")</f>
        <v>#REF!</v>
      </c>
      <c r="U40" s="618"/>
      <c r="V40" s="625" t="str">
        <f>IF(AND('R. Gestión '!$L$239="Muy Baja",'R. Gestión '!$P$239="Moderado"),CONCATENATE("R",'R. Gestión '!$A$239),"")</f>
        <v/>
      </c>
      <c r="W40" s="626"/>
      <c r="X40" s="626" t="str">
        <f>IF(AND('R. Gestión '!$L$257="Muy Baja",'R. Gestión '!$P$257="Moderado"),CONCATENATE("R",'R. Gestión '!$A$257),"")</f>
        <v/>
      </c>
      <c r="Y40" s="626"/>
      <c r="Z40" s="626" t="e">
        <f>IF(AND('R. Gestión '!#REF!="Muy Baja",'R. Gestión '!#REF!="Moderado"),CONCATENATE("R",'R. Gestión '!#REF!),"")</f>
        <v>#REF!</v>
      </c>
      <c r="AA40" s="627"/>
      <c r="AB40" s="643" t="str">
        <f>IF(AND('R. Gestión '!$L$239="Muy Baja",'R. Gestión '!$P$239="Mayor"),CONCATENATE("R",'R. Gestión '!$A$239),"")</f>
        <v/>
      </c>
      <c r="AC40" s="644"/>
      <c r="AD40" s="644" t="str">
        <f>IF(AND('R. Gestión '!$L$257="Muy Baja",'R. Gestión '!$P$257="Mayor"),CONCATENATE("R",'R. Gestión '!$A$257),"")</f>
        <v/>
      </c>
      <c r="AE40" s="644"/>
      <c r="AF40" s="644" t="e">
        <f>IF(AND('R. Gestión '!#REF!="Muy Baja",'R. Gestión '!#REF!="Mayor"),CONCATENATE("R",'R. Gestión '!#REF!),"")</f>
        <v>#REF!</v>
      </c>
      <c r="AG40" s="645"/>
      <c r="AH40" s="634" t="str">
        <f>IF(AND('R. Gestión '!$L$239="Muy Baja",'R. Gestión '!$P$239="Catastrófico"),CONCATENATE("R",'R. Gestión '!$A$239),"")</f>
        <v/>
      </c>
      <c r="AI40" s="635"/>
      <c r="AJ40" s="635" t="str">
        <f>IF(AND('R. Gestión '!$L$257="Muy Baja",'R. Gestión '!$P$257="Catastrófico"),CONCATENATE("R",'R. Gestión '!$A$257),"")</f>
        <v/>
      </c>
      <c r="AK40" s="635"/>
      <c r="AL40" s="635" t="e">
        <f>IF(AND('R. Gestión '!#REF!="Muy Baja",'R. Gestión '!#REF!="Catastrófico"),CONCATENATE("R",'R. Gestión '!#REF!),"")</f>
        <v>#REF!</v>
      </c>
      <c r="AM40" s="636"/>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x14ac:dyDescent="0.25">
      <c r="A41" s="72"/>
      <c r="B41" s="663"/>
      <c r="C41" s="663"/>
      <c r="D41" s="664"/>
      <c r="E41" s="656"/>
      <c r="F41" s="657"/>
      <c r="G41" s="657"/>
      <c r="H41" s="657"/>
      <c r="I41" s="658"/>
      <c r="J41" s="616"/>
      <c r="K41" s="617"/>
      <c r="L41" s="617"/>
      <c r="M41" s="617"/>
      <c r="N41" s="617"/>
      <c r="O41" s="618"/>
      <c r="P41" s="616"/>
      <c r="Q41" s="617"/>
      <c r="R41" s="617"/>
      <c r="S41" s="617"/>
      <c r="T41" s="617"/>
      <c r="U41" s="618"/>
      <c r="V41" s="625"/>
      <c r="W41" s="626"/>
      <c r="X41" s="626"/>
      <c r="Y41" s="626"/>
      <c r="Z41" s="626"/>
      <c r="AA41" s="627"/>
      <c r="AB41" s="643"/>
      <c r="AC41" s="644"/>
      <c r="AD41" s="644"/>
      <c r="AE41" s="644"/>
      <c r="AF41" s="644"/>
      <c r="AG41" s="645"/>
      <c r="AH41" s="634"/>
      <c r="AI41" s="635"/>
      <c r="AJ41" s="635"/>
      <c r="AK41" s="635"/>
      <c r="AL41" s="635"/>
      <c r="AM41" s="636"/>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x14ac:dyDescent="0.25">
      <c r="A42" s="72"/>
      <c r="B42" s="663"/>
      <c r="C42" s="663"/>
      <c r="D42" s="664"/>
      <c r="E42" s="656"/>
      <c r="F42" s="657"/>
      <c r="G42" s="657"/>
      <c r="H42" s="657"/>
      <c r="I42" s="658"/>
      <c r="J42" s="616" t="e">
        <f>IF(AND('R. Gestión '!#REF!="Muy Baja",'R. Gestión '!#REF!="Leve"),CONCATENATE("R",'R. Gestión '!#REF!),"")</f>
        <v>#REF!</v>
      </c>
      <c r="K42" s="617"/>
      <c r="L42" s="617" t="str">
        <f>IF(AND('R. Gestión '!$L$281="Muy Baja",'R. Gestión '!$P$281="Leve"),CONCATENATE("R",'R. Gestión '!$A$281),"")</f>
        <v/>
      </c>
      <c r="M42" s="617"/>
      <c r="N42" s="617" t="e">
        <f>IF(AND('R. Gestión '!#REF!="Muy Baja",'R. Gestión '!#REF!="Leve"),CONCATENATE("R",'R. Gestión '!#REF!),"")</f>
        <v>#REF!</v>
      </c>
      <c r="O42" s="618"/>
      <c r="P42" s="616" t="e">
        <f>IF(AND('R. Gestión '!#REF!="Muy Baja",'R. Gestión '!#REF!="Menor"),CONCATENATE("R",'R. Gestión '!#REF!),"")</f>
        <v>#REF!</v>
      </c>
      <c r="Q42" s="617"/>
      <c r="R42" s="617" t="str">
        <f>IF(AND('R. Gestión '!$L$281="Muy Baja",'R. Gestión '!$P$281="Menor"),CONCATENATE("R",'R. Gestión '!$A$281),"")</f>
        <v/>
      </c>
      <c r="S42" s="617"/>
      <c r="T42" s="617" t="e">
        <f>IF(AND('R. Gestión '!#REF!="Muy Baja",'R. Gestión '!#REF!="Menor"),CONCATENATE("R",'R. Gestión '!#REF!),"")</f>
        <v>#REF!</v>
      </c>
      <c r="U42" s="618"/>
      <c r="V42" s="625" t="e">
        <f>IF(AND('R. Gestión '!#REF!="Muy Baja",'R. Gestión '!#REF!="Moderado"),CONCATENATE("R",'R. Gestión '!#REF!),"")</f>
        <v>#REF!</v>
      </c>
      <c r="W42" s="626"/>
      <c r="X42" s="626" t="str">
        <f>IF(AND('R. Gestión '!$L$281="Muy Baja",'R. Gestión '!$P$281="Moderado"),CONCATENATE("R",'R. Gestión '!$A$281),"")</f>
        <v/>
      </c>
      <c r="Y42" s="626"/>
      <c r="Z42" s="626" t="e">
        <f>IF(AND('R. Gestión '!#REF!="Muy Baja",'R. Gestión '!#REF!="Moderado"),CONCATENATE("R",'R. Gestión '!#REF!),"")</f>
        <v>#REF!</v>
      </c>
      <c r="AA42" s="627"/>
      <c r="AB42" s="643" t="e">
        <f>IF(AND('R. Gestión '!#REF!="Muy Baja",'R. Gestión '!#REF!="Mayor"),CONCATENATE("R",'R. Gestión '!#REF!),"")</f>
        <v>#REF!</v>
      </c>
      <c r="AC42" s="644"/>
      <c r="AD42" s="644" t="str">
        <f>IF(AND('R. Gestión '!$L$281="Muy Baja",'R. Gestión '!$P$281="Mayor"),CONCATENATE("R",'R. Gestión '!$A$281),"")</f>
        <v/>
      </c>
      <c r="AE42" s="644"/>
      <c r="AF42" s="644" t="e">
        <f>IF(AND('R. Gestión '!#REF!="Muy Baja",'R. Gestión '!#REF!="Mayor"),CONCATENATE("R",'R. Gestión '!#REF!),"")</f>
        <v>#REF!</v>
      </c>
      <c r="AG42" s="645"/>
      <c r="AH42" s="634" t="e">
        <f>IF(AND('R. Gestión '!#REF!="Muy Baja",'R. Gestión '!#REF!="Catastrófico"),CONCATENATE("R",'R. Gestión '!#REF!),"")</f>
        <v>#REF!</v>
      </c>
      <c r="AI42" s="635"/>
      <c r="AJ42" s="635" t="str">
        <f>IF(AND('R. Gestión '!$L$281="Muy Baja",'R. Gestión '!$P$281="Catastrófico"),CONCATENATE("R",'R. Gestión '!$A$281),"")</f>
        <v/>
      </c>
      <c r="AK42" s="635"/>
      <c r="AL42" s="635" t="e">
        <f>IF(AND('R. Gestión '!#REF!="Muy Baja",'R. Gestión '!#REF!="Catastrófico"),CONCATENATE("R",'R. Gestión '!#REF!),"")</f>
        <v>#REF!</v>
      </c>
      <c r="AM42" s="636"/>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x14ac:dyDescent="0.25">
      <c r="A43" s="72"/>
      <c r="B43" s="663"/>
      <c r="C43" s="663"/>
      <c r="D43" s="664"/>
      <c r="E43" s="656"/>
      <c r="F43" s="657"/>
      <c r="G43" s="657"/>
      <c r="H43" s="657"/>
      <c r="I43" s="658"/>
      <c r="J43" s="616"/>
      <c r="K43" s="617"/>
      <c r="L43" s="617"/>
      <c r="M43" s="617"/>
      <c r="N43" s="617"/>
      <c r="O43" s="618"/>
      <c r="P43" s="616"/>
      <c r="Q43" s="617"/>
      <c r="R43" s="617"/>
      <c r="S43" s="617"/>
      <c r="T43" s="617"/>
      <c r="U43" s="618"/>
      <c r="V43" s="625"/>
      <c r="W43" s="626"/>
      <c r="X43" s="626"/>
      <c r="Y43" s="626"/>
      <c r="Z43" s="626"/>
      <c r="AA43" s="627"/>
      <c r="AB43" s="643"/>
      <c r="AC43" s="644"/>
      <c r="AD43" s="644"/>
      <c r="AE43" s="644"/>
      <c r="AF43" s="644"/>
      <c r="AG43" s="645"/>
      <c r="AH43" s="634"/>
      <c r="AI43" s="635"/>
      <c r="AJ43" s="635"/>
      <c r="AK43" s="635"/>
      <c r="AL43" s="635"/>
      <c r="AM43" s="636"/>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x14ac:dyDescent="0.25">
      <c r="A44" s="72"/>
      <c r="B44" s="663"/>
      <c r="C44" s="663"/>
      <c r="D44" s="664"/>
      <c r="E44" s="656"/>
      <c r="F44" s="657"/>
      <c r="G44" s="657"/>
      <c r="H44" s="657"/>
      <c r="I44" s="658"/>
      <c r="J44" s="616" t="e">
        <f>IF(AND('R. Gestión '!#REF!="Muy Baja",'R. Gestión '!#REF!="Leve"),CONCATENATE("R",'R. Gestión '!#REF!),"")</f>
        <v>#REF!</v>
      </c>
      <c r="K44" s="617"/>
      <c r="L44" s="617" t="e">
        <f>IF(AND('R. Gestión '!#REF!="Muy Baja",'R. Gestión '!#REF!="Leve"),CONCATENATE("R",'R. Gestión '!#REF!),"")</f>
        <v>#REF!</v>
      </c>
      <c r="M44" s="617"/>
      <c r="N44" s="617" t="e">
        <f>IF(AND('R. Gestión '!#REF!="Muy Baja",'R. Gestión '!#REF!="Leve"),CONCATENATE("R",'R. Gestión '!#REF!),"")</f>
        <v>#REF!</v>
      </c>
      <c r="O44" s="618"/>
      <c r="P44" s="616" t="e">
        <f>IF(AND('R. Gestión '!#REF!="Muy Baja",'R. Gestión '!#REF!="Menor"),CONCATENATE("R",'R. Gestión '!#REF!),"")</f>
        <v>#REF!</v>
      </c>
      <c r="Q44" s="617"/>
      <c r="R44" s="617" t="e">
        <f>IF(AND('R. Gestión '!#REF!="Muy Baja",'R. Gestión '!#REF!="Menor"),CONCATENATE("R",'R. Gestión '!#REF!),"")</f>
        <v>#REF!</v>
      </c>
      <c r="S44" s="617"/>
      <c r="T44" s="617" t="e">
        <f>IF(AND('R. Gestión '!#REF!="Muy Baja",'R. Gestión '!#REF!="Menor"),CONCATENATE("R",'R. Gestión '!#REF!),"")</f>
        <v>#REF!</v>
      </c>
      <c r="U44" s="618"/>
      <c r="V44" s="625" t="e">
        <f>IF(AND('R. Gestión '!#REF!="Muy Baja",'R. Gestión '!#REF!="Moderado"),CONCATENATE("R",'R. Gestión '!#REF!),"")</f>
        <v>#REF!</v>
      </c>
      <c r="W44" s="626"/>
      <c r="X44" s="626" t="e">
        <f>IF(AND('R. Gestión '!#REF!="Muy Baja",'R. Gestión '!#REF!="Moderado"),CONCATENATE("R",'R. Gestión '!#REF!),"")</f>
        <v>#REF!</v>
      </c>
      <c r="Y44" s="626"/>
      <c r="Z44" s="626" t="e">
        <f>IF(AND('R. Gestión '!#REF!="Muy Baja",'R. Gestión '!#REF!="Moderado"),CONCATENATE("R",'R. Gestión '!#REF!),"")</f>
        <v>#REF!</v>
      </c>
      <c r="AA44" s="627"/>
      <c r="AB44" s="643" t="e">
        <f>IF(AND('R. Gestión '!#REF!="Muy Baja",'R. Gestión '!#REF!="Mayor"),CONCATENATE("R",'R. Gestión '!#REF!),"")</f>
        <v>#REF!</v>
      </c>
      <c r="AC44" s="644"/>
      <c r="AD44" s="644" t="e">
        <f>IF(AND('R. Gestión '!#REF!="Muy Baja",'R. Gestión '!#REF!="Mayor"),CONCATENATE("R",'R. Gestión '!#REF!),"")</f>
        <v>#REF!</v>
      </c>
      <c r="AE44" s="644"/>
      <c r="AF44" s="644" t="e">
        <f>IF(AND('R. Gestión '!#REF!="Muy Baja",'R. Gestión '!#REF!="Mayor"),CONCATENATE("R",'R. Gestión '!#REF!),"")</f>
        <v>#REF!</v>
      </c>
      <c r="AG44" s="645"/>
      <c r="AH44" s="634" t="e">
        <f>IF(AND('R. Gestión '!#REF!="Muy Baja",'R. Gestión '!#REF!="Catastrófico"),CONCATENATE("R",'R. Gestión '!#REF!),"")</f>
        <v>#REF!</v>
      </c>
      <c r="AI44" s="635"/>
      <c r="AJ44" s="635" t="e">
        <f>IF(AND('R. Gestión '!#REF!="Muy Baja",'R. Gestión '!#REF!="Catastrófico"),CONCATENATE("R",'R. Gestión '!#REF!),"")</f>
        <v>#REF!</v>
      </c>
      <c r="AK44" s="635"/>
      <c r="AL44" s="635" t="e">
        <f>IF(AND('R. Gestión '!#REF!="Muy Baja",'R. Gestión '!#REF!="Catastrófico"),CONCATENATE("R",'R. Gestión '!#REF!),"")</f>
        <v>#REF!</v>
      </c>
      <c r="AM44" s="636"/>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x14ac:dyDescent="0.3">
      <c r="A45" s="72"/>
      <c r="B45" s="663"/>
      <c r="C45" s="663"/>
      <c r="D45" s="664"/>
      <c r="E45" s="659"/>
      <c r="F45" s="660"/>
      <c r="G45" s="660"/>
      <c r="H45" s="660"/>
      <c r="I45" s="661"/>
      <c r="J45" s="619"/>
      <c r="K45" s="620"/>
      <c r="L45" s="620"/>
      <c r="M45" s="620"/>
      <c r="N45" s="620"/>
      <c r="O45" s="621"/>
      <c r="P45" s="619"/>
      <c r="Q45" s="620"/>
      <c r="R45" s="620"/>
      <c r="S45" s="620"/>
      <c r="T45" s="620"/>
      <c r="U45" s="621"/>
      <c r="V45" s="628"/>
      <c r="W45" s="629"/>
      <c r="X45" s="629"/>
      <c r="Y45" s="629"/>
      <c r="Z45" s="629"/>
      <c r="AA45" s="630"/>
      <c r="AB45" s="646"/>
      <c r="AC45" s="647"/>
      <c r="AD45" s="647"/>
      <c r="AE45" s="647"/>
      <c r="AF45" s="647"/>
      <c r="AG45" s="648"/>
      <c r="AH45" s="637"/>
      <c r="AI45" s="638"/>
      <c r="AJ45" s="638"/>
      <c r="AK45" s="638"/>
      <c r="AL45" s="638"/>
      <c r="AM45" s="639"/>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x14ac:dyDescent="0.25">
      <c r="A46" s="72"/>
      <c r="B46" s="72"/>
      <c r="C46" s="72"/>
      <c r="D46" s="72"/>
      <c r="E46" s="72"/>
      <c r="F46" s="72"/>
      <c r="G46" s="72"/>
      <c r="H46" s="72"/>
      <c r="I46" s="72"/>
      <c r="J46" s="653" t="s">
        <v>96</v>
      </c>
      <c r="K46" s="654"/>
      <c r="L46" s="654"/>
      <c r="M46" s="654"/>
      <c r="N46" s="654"/>
      <c r="O46" s="655"/>
      <c r="P46" s="653" t="s">
        <v>95</v>
      </c>
      <c r="Q46" s="654"/>
      <c r="R46" s="654"/>
      <c r="S46" s="654"/>
      <c r="T46" s="654"/>
      <c r="U46" s="655"/>
      <c r="V46" s="653" t="s">
        <v>94</v>
      </c>
      <c r="W46" s="654"/>
      <c r="X46" s="654"/>
      <c r="Y46" s="654"/>
      <c r="Z46" s="654"/>
      <c r="AA46" s="655"/>
      <c r="AB46" s="653" t="s">
        <v>93</v>
      </c>
      <c r="AC46" s="662"/>
      <c r="AD46" s="654"/>
      <c r="AE46" s="654"/>
      <c r="AF46" s="654"/>
      <c r="AG46" s="655"/>
      <c r="AH46" s="653" t="s">
        <v>92</v>
      </c>
      <c r="AI46" s="654"/>
      <c r="AJ46" s="654"/>
      <c r="AK46" s="654"/>
      <c r="AL46" s="654"/>
      <c r="AM46" s="655"/>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x14ac:dyDescent="0.25">
      <c r="A47" s="72"/>
      <c r="B47" s="72"/>
      <c r="C47" s="72"/>
      <c r="D47" s="72"/>
      <c r="E47" s="72"/>
      <c r="F47" s="72"/>
      <c r="G47" s="72"/>
      <c r="H47" s="72"/>
      <c r="I47" s="72"/>
      <c r="J47" s="656"/>
      <c r="K47" s="657"/>
      <c r="L47" s="657"/>
      <c r="M47" s="657"/>
      <c r="N47" s="657"/>
      <c r="O47" s="658"/>
      <c r="P47" s="656"/>
      <c r="Q47" s="657"/>
      <c r="R47" s="657"/>
      <c r="S47" s="657"/>
      <c r="T47" s="657"/>
      <c r="U47" s="658"/>
      <c r="V47" s="656"/>
      <c r="W47" s="657"/>
      <c r="X47" s="657"/>
      <c r="Y47" s="657"/>
      <c r="Z47" s="657"/>
      <c r="AA47" s="658"/>
      <c r="AB47" s="656"/>
      <c r="AC47" s="657"/>
      <c r="AD47" s="657"/>
      <c r="AE47" s="657"/>
      <c r="AF47" s="657"/>
      <c r="AG47" s="658"/>
      <c r="AH47" s="656"/>
      <c r="AI47" s="657"/>
      <c r="AJ47" s="657"/>
      <c r="AK47" s="657"/>
      <c r="AL47" s="657"/>
      <c r="AM47" s="658"/>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x14ac:dyDescent="0.25">
      <c r="A48" s="72"/>
      <c r="B48" s="72"/>
      <c r="C48" s="72"/>
      <c r="D48" s="72"/>
      <c r="E48" s="72"/>
      <c r="F48" s="72"/>
      <c r="G48" s="72"/>
      <c r="H48" s="72"/>
      <c r="I48" s="72"/>
      <c r="J48" s="656"/>
      <c r="K48" s="657"/>
      <c r="L48" s="657"/>
      <c r="M48" s="657"/>
      <c r="N48" s="657"/>
      <c r="O48" s="658"/>
      <c r="P48" s="656"/>
      <c r="Q48" s="657"/>
      <c r="R48" s="657"/>
      <c r="S48" s="657"/>
      <c r="T48" s="657"/>
      <c r="U48" s="658"/>
      <c r="V48" s="656"/>
      <c r="W48" s="657"/>
      <c r="X48" s="657"/>
      <c r="Y48" s="657"/>
      <c r="Z48" s="657"/>
      <c r="AA48" s="658"/>
      <c r="AB48" s="656"/>
      <c r="AC48" s="657"/>
      <c r="AD48" s="657"/>
      <c r="AE48" s="657"/>
      <c r="AF48" s="657"/>
      <c r="AG48" s="658"/>
      <c r="AH48" s="656"/>
      <c r="AI48" s="657"/>
      <c r="AJ48" s="657"/>
      <c r="AK48" s="657"/>
      <c r="AL48" s="657"/>
      <c r="AM48" s="658"/>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x14ac:dyDescent="0.25">
      <c r="A49" s="72"/>
      <c r="B49" s="72"/>
      <c r="C49" s="72"/>
      <c r="D49" s="72"/>
      <c r="E49" s="72"/>
      <c r="F49" s="72"/>
      <c r="G49" s="72"/>
      <c r="H49" s="72"/>
      <c r="I49" s="72"/>
      <c r="J49" s="656"/>
      <c r="K49" s="657"/>
      <c r="L49" s="657"/>
      <c r="M49" s="657"/>
      <c r="N49" s="657"/>
      <c r="O49" s="658"/>
      <c r="P49" s="656"/>
      <c r="Q49" s="657"/>
      <c r="R49" s="657"/>
      <c r="S49" s="657"/>
      <c r="T49" s="657"/>
      <c r="U49" s="658"/>
      <c r="V49" s="656"/>
      <c r="W49" s="657"/>
      <c r="X49" s="657"/>
      <c r="Y49" s="657"/>
      <c r="Z49" s="657"/>
      <c r="AA49" s="658"/>
      <c r="AB49" s="656"/>
      <c r="AC49" s="657"/>
      <c r="AD49" s="657"/>
      <c r="AE49" s="657"/>
      <c r="AF49" s="657"/>
      <c r="AG49" s="658"/>
      <c r="AH49" s="656"/>
      <c r="AI49" s="657"/>
      <c r="AJ49" s="657"/>
      <c r="AK49" s="657"/>
      <c r="AL49" s="657"/>
      <c r="AM49" s="658"/>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x14ac:dyDescent="0.25">
      <c r="A50" s="72"/>
      <c r="B50" s="72"/>
      <c r="C50" s="72"/>
      <c r="D50" s="72"/>
      <c r="E50" s="72"/>
      <c r="F50" s="72"/>
      <c r="G50" s="72"/>
      <c r="H50" s="72"/>
      <c r="I50" s="72"/>
      <c r="J50" s="656"/>
      <c r="K50" s="657"/>
      <c r="L50" s="657"/>
      <c r="M50" s="657"/>
      <c r="N50" s="657"/>
      <c r="O50" s="658"/>
      <c r="P50" s="656"/>
      <c r="Q50" s="657"/>
      <c r="R50" s="657"/>
      <c r="S50" s="657"/>
      <c r="T50" s="657"/>
      <c r="U50" s="658"/>
      <c r="V50" s="656"/>
      <c r="W50" s="657"/>
      <c r="X50" s="657"/>
      <c r="Y50" s="657"/>
      <c r="Z50" s="657"/>
      <c r="AA50" s="658"/>
      <c r="AB50" s="656"/>
      <c r="AC50" s="657"/>
      <c r="AD50" s="657"/>
      <c r="AE50" s="657"/>
      <c r="AF50" s="657"/>
      <c r="AG50" s="658"/>
      <c r="AH50" s="656"/>
      <c r="AI50" s="657"/>
      <c r="AJ50" s="657"/>
      <c r="AK50" s="657"/>
      <c r="AL50" s="657"/>
      <c r="AM50" s="658"/>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x14ac:dyDescent="0.3">
      <c r="A51" s="72"/>
      <c r="B51" s="72"/>
      <c r="C51" s="72"/>
      <c r="D51" s="72"/>
      <c r="E51" s="72"/>
      <c r="F51" s="72"/>
      <c r="G51" s="72"/>
      <c r="H51" s="72"/>
      <c r="I51" s="72"/>
      <c r="J51" s="659"/>
      <c r="K51" s="660"/>
      <c r="L51" s="660"/>
      <c r="M51" s="660"/>
      <c r="N51" s="660"/>
      <c r="O51" s="661"/>
      <c r="P51" s="659"/>
      <c r="Q51" s="660"/>
      <c r="R51" s="660"/>
      <c r="S51" s="660"/>
      <c r="T51" s="660"/>
      <c r="U51" s="661"/>
      <c r="V51" s="659"/>
      <c r="W51" s="660"/>
      <c r="X51" s="660"/>
      <c r="Y51" s="660"/>
      <c r="Z51" s="660"/>
      <c r="AA51" s="661"/>
      <c r="AB51" s="659"/>
      <c r="AC51" s="660"/>
      <c r="AD51" s="660"/>
      <c r="AE51" s="660"/>
      <c r="AF51" s="660"/>
      <c r="AG51" s="661"/>
      <c r="AH51" s="659"/>
      <c r="AI51" s="660"/>
      <c r="AJ51" s="660"/>
      <c r="AK51" s="660"/>
      <c r="AL51" s="660"/>
      <c r="AM51" s="661"/>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x14ac:dyDescent="0.25">
      <c r="B137" s="72"/>
      <c r="C137" s="72"/>
      <c r="D137" s="72"/>
      <c r="E137" s="72"/>
      <c r="F137" s="72"/>
      <c r="G137" s="72"/>
      <c r="H137" s="72"/>
      <c r="I137" s="72"/>
    </row>
    <row r="138" spans="2:63" x14ac:dyDescent="0.25">
      <c r="B138" s="72"/>
      <c r="C138" s="72"/>
      <c r="D138" s="72"/>
      <c r="E138" s="72"/>
      <c r="F138" s="72"/>
      <c r="G138" s="72"/>
      <c r="H138" s="72"/>
      <c r="I138" s="72"/>
    </row>
    <row r="139" spans="2:63" x14ac:dyDescent="0.25">
      <c r="B139" s="72"/>
      <c r="C139" s="72"/>
      <c r="D139" s="72"/>
      <c r="E139" s="72"/>
      <c r="F139" s="72"/>
      <c r="G139" s="72"/>
      <c r="H139" s="72"/>
      <c r="I139" s="72"/>
    </row>
    <row r="140" spans="2:63" x14ac:dyDescent="0.25">
      <c r="B140" s="72"/>
      <c r="C140" s="72"/>
      <c r="D140" s="72"/>
      <c r="E140" s="72"/>
      <c r="F140" s="72"/>
      <c r="G140" s="72"/>
      <c r="H140" s="72"/>
      <c r="I140" s="72"/>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AS50" sqref="AS50"/>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x14ac:dyDescent="0.25">
      <c r="A2" s="72"/>
      <c r="B2" s="730" t="s">
        <v>126</v>
      </c>
      <c r="C2" s="731"/>
      <c r="D2" s="731"/>
      <c r="E2" s="731"/>
      <c r="F2" s="731"/>
      <c r="G2" s="731"/>
      <c r="H2" s="731"/>
      <c r="I2" s="731"/>
      <c r="J2" s="652" t="s">
        <v>1</v>
      </c>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x14ac:dyDescent="0.25">
      <c r="A3" s="72"/>
      <c r="B3" s="731"/>
      <c r="C3" s="731"/>
      <c r="D3" s="731"/>
      <c r="E3" s="731"/>
      <c r="F3" s="731"/>
      <c r="G3" s="731"/>
      <c r="H3" s="731"/>
      <c r="I3" s="731"/>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x14ac:dyDescent="0.25">
      <c r="A4" s="72"/>
      <c r="B4" s="731"/>
      <c r="C4" s="731"/>
      <c r="D4" s="731"/>
      <c r="E4" s="731"/>
      <c r="F4" s="731"/>
      <c r="G4" s="731"/>
      <c r="H4" s="731"/>
      <c r="I4" s="731"/>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x14ac:dyDescent="0.25">
      <c r="A6" s="72"/>
      <c r="B6" s="663" t="s">
        <v>3</v>
      </c>
      <c r="C6" s="663"/>
      <c r="D6" s="664"/>
      <c r="E6" s="701" t="s">
        <v>100</v>
      </c>
      <c r="F6" s="702"/>
      <c r="G6" s="702"/>
      <c r="H6" s="702"/>
      <c r="I6" s="703"/>
      <c r="J6" s="35" t="e">
        <f>IF(AND('R. Gestión '!#REF!="Muy Alta",'R. Gestión '!#REF!="Leve"),CONCATENATE("R1C",'R. Gestión '!#REF!),"")</f>
        <v>#REF!</v>
      </c>
      <c r="K6" s="36" t="e">
        <f>IF(AND('R. Gestión '!#REF!="Muy Alta",'R. Gestión '!#REF!="Leve"),CONCATENATE("R1C",'R. Gestión '!#REF!),"")</f>
        <v>#REF!</v>
      </c>
      <c r="L6" s="36" t="e">
        <f>IF(AND('R. Gestión '!#REF!="Muy Alta",'R. Gestión '!#REF!="Leve"),CONCATENATE("R1C",'R. Gestión '!#REF!),"")</f>
        <v>#REF!</v>
      </c>
      <c r="M6" s="36" t="e">
        <f>IF(AND('R. Gestión '!#REF!="Muy Alta",'R. Gestión '!#REF!="Leve"),CONCATENATE("R1C",'R. Gestión '!#REF!),"")</f>
        <v>#REF!</v>
      </c>
      <c r="N6" s="36" t="e">
        <f>IF(AND('R. Gestión '!#REF!="Muy Alta",'R. Gestión '!#REF!="Leve"),CONCATENATE("R1C",'R. Gestión '!#REF!),"")</f>
        <v>#REF!</v>
      </c>
      <c r="O6" s="37" t="e">
        <f>IF(AND('R. Gestión '!#REF!="Muy Alta",'R. Gestión '!#REF!="Leve"),CONCATENATE("R1C",'R. Gestión '!#REF!),"")</f>
        <v>#REF!</v>
      </c>
      <c r="P6" s="35" t="e">
        <f>IF(AND('R. Gestión '!#REF!="Muy Alta",'R. Gestión '!#REF!="Menor"),CONCATENATE("R1C",'R. Gestión '!#REF!),"")</f>
        <v>#REF!</v>
      </c>
      <c r="Q6" s="36" t="e">
        <f>IF(AND('R. Gestión '!#REF!="Muy Alta",'R. Gestión '!#REF!="Menor"),CONCATENATE("R1C",'R. Gestión '!#REF!),"")</f>
        <v>#REF!</v>
      </c>
      <c r="R6" s="36" t="e">
        <f>IF(AND('R. Gestión '!#REF!="Muy Alta",'R. Gestión '!#REF!="Menor"),CONCATENATE("R1C",'R. Gestión '!#REF!),"")</f>
        <v>#REF!</v>
      </c>
      <c r="S6" s="36" t="e">
        <f>IF(AND('R. Gestión '!#REF!="Muy Alta",'R. Gestión '!#REF!="Menor"),CONCATENATE("R1C",'R. Gestión '!#REF!),"")</f>
        <v>#REF!</v>
      </c>
      <c r="T6" s="36" t="e">
        <f>IF(AND('R. Gestión '!#REF!="Muy Alta",'R. Gestión '!#REF!="Menor"),CONCATENATE("R1C",'R. Gestión '!#REF!),"")</f>
        <v>#REF!</v>
      </c>
      <c r="U6" s="37" t="e">
        <f>IF(AND('R. Gestión '!#REF!="Muy Alta",'R. Gestión '!#REF!="Menor"),CONCATENATE("R1C",'R. Gestión '!#REF!),"")</f>
        <v>#REF!</v>
      </c>
      <c r="V6" s="35" t="e">
        <f>IF(AND('R. Gestión '!#REF!="Muy Alta",'R. Gestión '!#REF!="Moderado"),CONCATENATE("R1C",'R. Gestión '!#REF!),"")</f>
        <v>#REF!</v>
      </c>
      <c r="W6" s="36" t="e">
        <f>IF(AND('R. Gestión '!#REF!="Muy Alta",'R. Gestión '!#REF!="Moderado"),CONCATENATE("R1C",'R. Gestión '!#REF!),"")</f>
        <v>#REF!</v>
      </c>
      <c r="X6" s="36" t="e">
        <f>IF(AND('R. Gestión '!#REF!="Muy Alta",'R. Gestión '!#REF!="Moderado"),CONCATENATE("R1C",'R. Gestión '!#REF!),"")</f>
        <v>#REF!</v>
      </c>
      <c r="Y6" s="36" t="e">
        <f>IF(AND('R. Gestión '!#REF!="Muy Alta",'R. Gestión '!#REF!="Moderado"),CONCATENATE("R1C",'R. Gestión '!#REF!),"")</f>
        <v>#REF!</v>
      </c>
      <c r="Z6" s="36" t="e">
        <f>IF(AND('R. Gestión '!#REF!="Muy Alta",'R. Gestión '!#REF!="Moderado"),CONCATENATE("R1C",'R. Gestión '!#REF!),"")</f>
        <v>#REF!</v>
      </c>
      <c r="AA6" s="37" t="e">
        <f>IF(AND('R. Gestión '!#REF!="Muy Alta",'R. Gestión '!#REF!="Moderado"),CONCATENATE("R1C",'R. Gestión '!#REF!),"")</f>
        <v>#REF!</v>
      </c>
      <c r="AB6" s="35" t="e">
        <f>IF(AND('R. Gestión '!#REF!="Muy Alta",'R. Gestión '!#REF!="Mayor"),CONCATENATE("R1C",'R. Gestión '!#REF!),"")</f>
        <v>#REF!</v>
      </c>
      <c r="AC6" s="36" t="e">
        <f>IF(AND('R. Gestión '!#REF!="Muy Alta",'R. Gestión '!#REF!="Mayor"),CONCATENATE("R1C",'R. Gestión '!#REF!),"")</f>
        <v>#REF!</v>
      </c>
      <c r="AD6" s="36" t="e">
        <f>IF(AND('R. Gestión '!#REF!="Muy Alta",'R. Gestión '!#REF!="Mayor"),CONCATENATE("R1C",'R. Gestión '!#REF!),"")</f>
        <v>#REF!</v>
      </c>
      <c r="AE6" s="36" t="e">
        <f>IF(AND('R. Gestión '!#REF!="Muy Alta",'R. Gestión '!#REF!="Mayor"),CONCATENATE("R1C",'R. Gestión '!#REF!),"")</f>
        <v>#REF!</v>
      </c>
      <c r="AF6" s="36" t="e">
        <f>IF(AND('R. Gestión '!#REF!="Muy Alta",'R. Gestión '!#REF!="Mayor"),CONCATENATE("R1C",'R. Gestión '!#REF!),"")</f>
        <v>#REF!</v>
      </c>
      <c r="AG6" s="37" t="e">
        <f>IF(AND('R. Gestión '!#REF!="Muy Alta",'R. Gestión '!#REF!="Mayor"),CONCATENATE("R1C",'R. Gestión '!#REF!),"")</f>
        <v>#REF!</v>
      </c>
      <c r="AH6" s="38" t="e">
        <f>IF(AND('R. Gestión '!#REF!="Muy Alta",'R. Gestión '!#REF!="Catastrófico"),CONCATENATE("R1C",'R. Gestión '!#REF!),"")</f>
        <v>#REF!</v>
      </c>
      <c r="AI6" s="39" t="e">
        <f>IF(AND('R. Gestión '!#REF!="Muy Alta",'R. Gestión '!#REF!="Catastrófico"),CONCATENATE("R1C",'R. Gestión '!#REF!),"")</f>
        <v>#REF!</v>
      </c>
      <c r="AJ6" s="39" t="e">
        <f>IF(AND('R. Gestión '!#REF!="Muy Alta",'R. Gestión '!#REF!="Catastrófico"),CONCATENATE("R1C",'R. Gestión '!#REF!),"")</f>
        <v>#REF!</v>
      </c>
      <c r="AK6" s="39" t="e">
        <f>IF(AND('R. Gestión '!#REF!="Muy Alta",'R. Gestión '!#REF!="Catastrófico"),CONCATENATE("R1C",'R. Gestión '!#REF!),"")</f>
        <v>#REF!</v>
      </c>
      <c r="AL6" s="39" t="e">
        <f>IF(AND('R. Gestión '!#REF!="Muy Alta",'R. Gestión '!#REF!="Catastrófico"),CONCATENATE("R1C",'R. Gestión '!#REF!),"")</f>
        <v>#REF!</v>
      </c>
      <c r="AM6" s="40" t="e">
        <f>IF(AND('R. Gestión '!#REF!="Muy Alta",'R. Gestión '!#REF!="Catastrófico"),CONCATENATE("R1C",'R. Gestión '!#REF!),"")</f>
        <v>#REF!</v>
      </c>
      <c r="AN6" s="72"/>
      <c r="AO6" s="721" t="s">
        <v>65</v>
      </c>
      <c r="AP6" s="722"/>
      <c r="AQ6" s="722"/>
      <c r="AR6" s="722"/>
      <c r="AS6" s="722"/>
      <c r="AT6" s="723"/>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x14ac:dyDescent="0.25">
      <c r="A7" s="72"/>
      <c r="B7" s="663"/>
      <c r="C7" s="663"/>
      <c r="D7" s="664"/>
      <c r="E7" s="704"/>
      <c r="F7" s="705"/>
      <c r="G7" s="705"/>
      <c r="H7" s="705"/>
      <c r="I7" s="706"/>
      <c r="J7" s="41" t="e">
        <f>IF(AND('R. Gestión '!#REF!="Muy Alta",'R. Gestión '!#REF!="Leve"),CONCATENATE("R2C",'R. Gestión '!#REF!),"")</f>
        <v>#REF!</v>
      </c>
      <c r="K7" s="42" t="e">
        <f>IF(AND('R. Gestión '!#REF!="Muy Alta",'R. Gestión '!#REF!="Leve"),CONCATENATE("R2C",'R. Gestión '!#REF!),"")</f>
        <v>#REF!</v>
      </c>
      <c r="L7" s="42" t="e">
        <f>IF(AND('R. Gestión '!#REF!="Muy Alta",'R. Gestión '!#REF!="Leve"),CONCATENATE("R2C",'R. Gestión '!#REF!),"")</f>
        <v>#REF!</v>
      </c>
      <c r="M7" s="42" t="e">
        <f>IF(AND('R. Gestión '!#REF!="Muy Alta",'R. Gestión '!#REF!="Leve"),CONCATENATE("R2C",'R. Gestión '!#REF!),"")</f>
        <v>#REF!</v>
      </c>
      <c r="N7" s="42" t="e">
        <f>IF(AND('R. Gestión '!#REF!="Muy Alta",'R. Gestión '!#REF!="Leve"),CONCATENATE("R2C",'R. Gestión '!#REF!),"")</f>
        <v>#REF!</v>
      </c>
      <c r="O7" s="43" t="e">
        <f>IF(AND('R. Gestión '!#REF!="Muy Alta",'R. Gestión '!#REF!="Leve"),CONCATENATE("R2C",'R. Gestión '!#REF!),"")</f>
        <v>#REF!</v>
      </c>
      <c r="P7" s="41" t="e">
        <f>IF(AND('R. Gestión '!#REF!="Muy Alta",'R. Gestión '!#REF!="Menor"),CONCATENATE("R2C",'R. Gestión '!#REF!),"")</f>
        <v>#REF!</v>
      </c>
      <c r="Q7" s="42" t="e">
        <f>IF(AND('R. Gestión '!#REF!="Muy Alta",'R. Gestión '!#REF!="Menor"),CONCATENATE("R2C",'R. Gestión '!#REF!),"")</f>
        <v>#REF!</v>
      </c>
      <c r="R7" s="42" t="e">
        <f>IF(AND('R. Gestión '!#REF!="Muy Alta",'R. Gestión '!#REF!="Menor"),CONCATENATE("R2C",'R. Gestión '!#REF!),"")</f>
        <v>#REF!</v>
      </c>
      <c r="S7" s="42" t="e">
        <f>IF(AND('R. Gestión '!#REF!="Muy Alta",'R. Gestión '!#REF!="Menor"),CONCATENATE("R2C",'R. Gestión '!#REF!),"")</f>
        <v>#REF!</v>
      </c>
      <c r="T7" s="42" t="e">
        <f>IF(AND('R. Gestión '!#REF!="Muy Alta",'R. Gestión '!#REF!="Menor"),CONCATENATE("R2C",'R. Gestión '!#REF!),"")</f>
        <v>#REF!</v>
      </c>
      <c r="U7" s="43" t="e">
        <f>IF(AND('R. Gestión '!#REF!="Muy Alta",'R. Gestión '!#REF!="Menor"),CONCATENATE("R2C",'R. Gestión '!#REF!),"")</f>
        <v>#REF!</v>
      </c>
      <c r="V7" s="41" t="e">
        <f>IF(AND('R. Gestión '!#REF!="Muy Alta",'R. Gestión '!#REF!="Moderado"),CONCATENATE("R2C",'R. Gestión '!#REF!),"")</f>
        <v>#REF!</v>
      </c>
      <c r="W7" s="42" t="e">
        <f>IF(AND('R. Gestión '!#REF!="Muy Alta",'R. Gestión '!#REF!="Moderado"),CONCATENATE("R2C",'R. Gestión '!#REF!),"")</f>
        <v>#REF!</v>
      </c>
      <c r="X7" s="42" t="e">
        <f>IF(AND('R. Gestión '!#REF!="Muy Alta",'R. Gestión '!#REF!="Moderado"),CONCATENATE("R2C",'R. Gestión '!#REF!),"")</f>
        <v>#REF!</v>
      </c>
      <c r="Y7" s="42" t="e">
        <f>IF(AND('R. Gestión '!#REF!="Muy Alta",'R. Gestión '!#REF!="Moderado"),CONCATENATE("R2C",'R. Gestión '!#REF!),"")</f>
        <v>#REF!</v>
      </c>
      <c r="Z7" s="42" t="e">
        <f>IF(AND('R. Gestión '!#REF!="Muy Alta",'R. Gestión '!#REF!="Moderado"),CONCATENATE("R2C",'R. Gestión '!#REF!),"")</f>
        <v>#REF!</v>
      </c>
      <c r="AA7" s="43" t="e">
        <f>IF(AND('R. Gestión '!#REF!="Muy Alta",'R. Gestión '!#REF!="Moderado"),CONCATENATE("R2C",'R. Gestión '!#REF!),"")</f>
        <v>#REF!</v>
      </c>
      <c r="AB7" s="41" t="e">
        <f>IF(AND('R. Gestión '!#REF!="Muy Alta",'R. Gestión '!#REF!="Mayor"),CONCATENATE("R2C",'R. Gestión '!#REF!),"")</f>
        <v>#REF!</v>
      </c>
      <c r="AC7" s="42" t="e">
        <f>IF(AND('R. Gestión '!#REF!="Muy Alta",'R. Gestión '!#REF!="Mayor"),CONCATENATE("R2C",'R. Gestión '!#REF!),"")</f>
        <v>#REF!</v>
      </c>
      <c r="AD7" s="42" t="e">
        <f>IF(AND('R. Gestión '!#REF!="Muy Alta",'R. Gestión '!#REF!="Mayor"),CONCATENATE("R2C",'R. Gestión '!#REF!),"")</f>
        <v>#REF!</v>
      </c>
      <c r="AE7" s="42" t="e">
        <f>IF(AND('R. Gestión '!#REF!="Muy Alta",'R. Gestión '!#REF!="Mayor"),CONCATENATE("R2C",'R. Gestión '!#REF!),"")</f>
        <v>#REF!</v>
      </c>
      <c r="AF7" s="42" t="e">
        <f>IF(AND('R. Gestión '!#REF!="Muy Alta",'R. Gestión '!#REF!="Mayor"),CONCATENATE("R2C",'R. Gestión '!#REF!),"")</f>
        <v>#REF!</v>
      </c>
      <c r="AG7" s="43" t="e">
        <f>IF(AND('R. Gestión '!#REF!="Muy Alta",'R. Gestión '!#REF!="Mayor"),CONCATENATE("R2C",'R. Gestión '!#REF!),"")</f>
        <v>#REF!</v>
      </c>
      <c r="AH7" s="44" t="e">
        <f>IF(AND('R. Gestión '!#REF!="Muy Alta",'R. Gestión '!#REF!="Catastrófico"),CONCATENATE("R2C",'R. Gestión '!#REF!),"")</f>
        <v>#REF!</v>
      </c>
      <c r="AI7" s="45" t="e">
        <f>IF(AND('R. Gestión '!#REF!="Muy Alta",'R. Gestión '!#REF!="Catastrófico"),CONCATENATE("R2C",'R. Gestión '!#REF!),"")</f>
        <v>#REF!</v>
      </c>
      <c r="AJ7" s="45" t="e">
        <f>IF(AND('R. Gestión '!#REF!="Muy Alta",'R. Gestión '!#REF!="Catastrófico"),CONCATENATE("R2C",'R. Gestión '!#REF!),"")</f>
        <v>#REF!</v>
      </c>
      <c r="AK7" s="45" t="e">
        <f>IF(AND('R. Gestión '!#REF!="Muy Alta",'R. Gestión '!#REF!="Catastrófico"),CONCATENATE("R2C",'R. Gestión '!#REF!),"")</f>
        <v>#REF!</v>
      </c>
      <c r="AL7" s="45" t="e">
        <f>IF(AND('R. Gestión '!#REF!="Muy Alta",'R. Gestión '!#REF!="Catastrófico"),CONCATENATE("R2C",'R. Gestión '!#REF!),"")</f>
        <v>#REF!</v>
      </c>
      <c r="AM7" s="46" t="e">
        <f>IF(AND('R. Gestión '!#REF!="Muy Alta",'R. Gestión '!#REF!="Catastrófico"),CONCATENATE("R2C",'R. Gestión '!#REF!),"")</f>
        <v>#REF!</v>
      </c>
      <c r="AN7" s="72"/>
      <c r="AO7" s="724"/>
      <c r="AP7" s="725"/>
      <c r="AQ7" s="725"/>
      <c r="AR7" s="725"/>
      <c r="AS7" s="725"/>
      <c r="AT7" s="726"/>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x14ac:dyDescent="0.25">
      <c r="A8" s="72"/>
      <c r="B8" s="663"/>
      <c r="C8" s="663"/>
      <c r="D8" s="664"/>
      <c r="E8" s="704"/>
      <c r="F8" s="705"/>
      <c r="G8" s="705"/>
      <c r="H8" s="705"/>
      <c r="I8" s="706"/>
      <c r="J8" s="41" t="e">
        <f>IF(AND('R. Gestión '!#REF!="Muy Alta",'R. Gestión '!#REF!="Leve"),CONCATENATE("R3C",'R. Gestión '!#REF!),"")</f>
        <v>#REF!</v>
      </c>
      <c r="K8" s="42" t="e">
        <f>IF(AND('R. Gestión '!#REF!="Muy Alta",'R. Gestión '!#REF!="Leve"),CONCATENATE("R3C",'R. Gestión '!#REF!),"")</f>
        <v>#REF!</v>
      </c>
      <c r="L8" s="42" t="e">
        <f>IF(AND('R. Gestión '!#REF!="Muy Alta",'R. Gestión '!#REF!="Leve"),CONCATENATE("R3C",'R. Gestión '!#REF!),"")</f>
        <v>#REF!</v>
      </c>
      <c r="M8" s="42" t="e">
        <f>IF(AND('R. Gestión '!#REF!="Muy Alta",'R. Gestión '!#REF!="Leve"),CONCATENATE("R3C",'R. Gestión '!#REF!),"")</f>
        <v>#REF!</v>
      </c>
      <c r="N8" s="42" t="e">
        <f>IF(AND('R. Gestión '!#REF!="Muy Alta",'R. Gestión '!#REF!="Leve"),CONCATENATE("R3C",'R. Gestión '!#REF!),"")</f>
        <v>#REF!</v>
      </c>
      <c r="O8" s="43" t="e">
        <f>IF(AND('R. Gestión '!#REF!="Muy Alta",'R. Gestión '!#REF!="Leve"),CONCATENATE("R3C",'R. Gestión '!#REF!),"")</f>
        <v>#REF!</v>
      </c>
      <c r="P8" s="41" t="e">
        <f>IF(AND('R. Gestión '!#REF!="Muy Alta",'R. Gestión '!#REF!="Menor"),CONCATENATE("R3C",'R. Gestión '!#REF!),"")</f>
        <v>#REF!</v>
      </c>
      <c r="Q8" s="42" t="e">
        <f>IF(AND('R. Gestión '!#REF!="Muy Alta",'R. Gestión '!#REF!="Menor"),CONCATENATE("R3C",'R. Gestión '!#REF!),"")</f>
        <v>#REF!</v>
      </c>
      <c r="R8" s="42" t="e">
        <f>IF(AND('R. Gestión '!#REF!="Muy Alta",'R. Gestión '!#REF!="Menor"),CONCATENATE("R3C",'R. Gestión '!#REF!),"")</f>
        <v>#REF!</v>
      </c>
      <c r="S8" s="42" t="e">
        <f>IF(AND('R. Gestión '!#REF!="Muy Alta",'R. Gestión '!#REF!="Menor"),CONCATENATE("R3C",'R. Gestión '!#REF!),"")</f>
        <v>#REF!</v>
      </c>
      <c r="T8" s="42" t="e">
        <f>IF(AND('R. Gestión '!#REF!="Muy Alta",'R. Gestión '!#REF!="Menor"),CONCATENATE("R3C",'R. Gestión '!#REF!),"")</f>
        <v>#REF!</v>
      </c>
      <c r="U8" s="43" t="e">
        <f>IF(AND('R. Gestión '!#REF!="Muy Alta",'R. Gestión '!#REF!="Menor"),CONCATENATE("R3C",'R. Gestión '!#REF!),"")</f>
        <v>#REF!</v>
      </c>
      <c r="V8" s="41" t="e">
        <f>IF(AND('R. Gestión '!#REF!="Muy Alta",'R. Gestión '!#REF!="Moderado"),CONCATENATE("R3C",'R. Gestión '!#REF!),"")</f>
        <v>#REF!</v>
      </c>
      <c r="W8" s="42" t="e">
        <f>IF(AND('R. Gestión '!#REF!="Muy Alta",'R. Gestión '!#REF!="Moderado"),CONCATENATE("R3C",'R. Gestión '!#REF!),"")</f>
        <v>#REF!</v>
      </c>
      <c r="X8" s="42" t="e">
        <f>IF(AND('R. Gestión '!#REF!="Muy Alta",'R. Gestión '!#REF!="Moderado"),CONCATENATE("R3C",'R. Gestión '!#REF!),"")</f>
        <v>#REF!</v>
      </c>
      <c r="Y8" s="42" t="e">
        <f>IF(AND('R. Gestión '!#REF!="Muy Alta",'R. Gestión '!#REF!="Moderado"),CONCATENATE("R3C",'R. Gestión '!#REF!),"")</f>
        <v>#REF!</v>
      </c>
      <c r="Z8" s="42" t="e">
        <f>IF(AND('R. Gestión '!#REF!="Muy Alta",'R. Gestión '!#REF!="Moderado"),CONCATENATE("R3C",'R. Gestión '!#REF!),"")</f>
        <v>#REF!</v>
      </c>
      <c r="AA8" s="43" t="e">
        <f>IF(AND('R. Gestión '!#REF!="Muy Alta",'R. Gestión '!#REF!="Moderado"),CONCATENATE("R3C",'R. Gestión '!#REF!),"")</f>
        <v>#REF!</v>
      </c>
      <c r="AB8" s="41" t="e">
        <f>IF(AND('R. Gestión '!#REF!="Muy Alta",'R. Gestión '!#REF!="Mayor"),CONCATENATE("R3C",'R. Gestión '!#REF!),"")</f>
        <v>#REF!</v>
      </c>
      <c r="AC8" s="42" t="e">
        <f>IF(AND('R. Gestión '!#REF!="Muy Alta",'R. Gestión '!#REF!="Mayor"),CONCATENATE("R3C",'R. Gestión '!#REF!),"")</f>
        <v>#REF!</v>
      </c>
      <c r="AD8" s="42" t="e">
        <f>IF(AND('R. Gestión '!#REF!="Muy Alta",'R. Gestión '!#REF!="Mayor"),CONCATENATE("R3C",'R. Gestión '!#REF!),"")</f>
        <v>#REF!</v>
      </c>
      <c r="AE8" s="42" t="e">
        <f>IF(AND('R. Gestión '!#REF!="Muy Alta",'R. Gestión '!#REF!="Mayor"),CONCATENATE("R3C",'R. Gestión '!#REF!),"")</f>
        <v>#REF!</v>
      </c>
      <c r="AF8" s="42" t="e">
        <f>IF(AND('R. Gestión '!#REF!="Muy Alta",'R. Gestión '!#REF!="Mayor"),CONCATENATE("R3C",'R. Gestión '!#REF!),"")</f>
        <v>#REF!</v>
      </c>
      <c r="AG8" s="43" t="e">
        <f>IF(AND('R. Gestión '!#REF!="Muy Alta",'R. Gestión '!#REF!="Mayor"),CONCATENATE("R3C",'R. Gestión '!#REF!),"")</f>
        <v>#REF!</v>
      </c>
      <c r="AH8" s="44" t="e">
        <f>IF(AND('R. Gestión '!#REF!="Muy Alta",'R. Gestión '!#REF!="Catastrófico"),CONCATENATE("R3C",'R. Gestión '!#REF!),"")</f>
        <v>#REF!</v>
      </c>
      <c r="AI8" s="45" t="e">
        <f>IF(AND('R. Gestión '!#REF!="Muy Alta",'R. Gestión '!#REF!="Catastrófico"),CONCATENATE("R3C",'R. Gestión '!#REF!),"")</f>
        <v>#REF!</v>
      </c>
      <c r="AJ8" s="45" t="e">
        <f>IF(AND('R. Gestión '!#REF!="Muy Alta",'R. Gestión '!#REF!="Catastrófico"),CONCATENATE("R3C",'R. Gestión '!#REF!),"")</f>
        <v>#REF!</v>
      </c>
      <c r="AK8" s="45" t="e">
        <f>IF(AND('R. Gestión '!#REF!="Muy Alta",'R. Gestión '!#REF!="Catastrófico"),CONCATENATE("R3C",'R. Gestión '!#REF!),"")</f>
        <v>#REF!</v>
      </c>
      <c r="AL8" s="45" t="e">
        <f>IF(AND('R. Gestión '!#REF!="Muy Alta",'R. Gestión '!#REF!="Catastrófico"),CONCATENATE("R3C",'R. Gestión '!#REF!),"")</f>
        <v>#REF!</v>
      </c>
      <c r="AM8" s="46" t="e">
        <f>IF(AND('R. Gestión '!#REF!="Muy Alta",'R. Gestión '!#REF!="Catastrófico"),CONCATENATE("R3C",'R. Gestión '!#REF!),"")</f>
        <v>#REF!</v>
      </c>
      <c r="AN8" s="72"/>
      <c r="AO8" s="724"/>
      <c r="AP8" s="725"/>
      <c r="AQ8" s="725"/>
      <c r="AR8" s="725"/>
      <c r="AS8" s="725"/>
      <c r="AT8" s="726"/>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x14ac:dyDescent="0.25">
      <c r="A9" s="72"/>
      <c r="B9" s="663"/>
      <c r="C9" s="663"/>
      <c r="D9" s="664"/>
      <c r="E9" s="704"/>
      <c r="F9" s="705"/>
      <c r="G9" s="705"/>
      <c r="H9" s="705"/>
      <c r="I9" s="706"/>
      <c r="J9" s="41" t="str">
        <f>IF(AND('R. Gestión '!$AD$239="Muy Alta",'R. Gestión '!$AF$239="Leve"),CONCATENATE("R4C",'R. Gestión '!$S$239),"")</f>
        <v/>
      </c>
      <c r="K9" s="42" t="str">
        <f>IF(AND('R. Gestión '!$AD$240="Muy Alta",'R. Gestión '!$AF$240="Leve"),CONCATENATE("R4C",'R. Gestión '!$S$240),"")</f>
        <v/>
      </c>
      <c r="L9" s="42" t="str">
        <f>IF(AND('R. Gestión '!$AD$241="Muy Alta",'R. Gestión '!$AF$241="Leve"),CONCATENATE("R4C",'R. Gestión '!$S$241),"")</f>
        <v/>
      </c>
      <c r="M9" s="42" t="str">
        <f>IF(AND('R. Gestión '!$AD$242="Muy Alta",'R. Gestión '!$AF$242="Leve"),CONCATENATE("R4C",'R. Gestión '!$S$242),"")</f>
        <v/>
      </c>
      <c r="N9" s="42" t="str">
        <f>IF(AND('R. Gestión '!$AD$243="Muy Alta",'R. Gestión '!$AF$243="Leve"),CONCATENATE("R4C",'R. Gestión '!$S$243),"")</f>
        <v/>
      </c>
      <c r="O9" s="43" t="str">
        <f>IF(AND('R. Gestión '!$AD$244="Muy Alta",'R. Gestión '!$AF$244="Leve"),CONCATENATE("R4C",'R. Gestión '!$S$244),"")</f>
        <v/>
      </c>
      <c r="P9" s="41" t="str">
        <f>IF(AND('R. Gestión '!$AD$239="Muy Alta",'R. Gestión '!$AF$239="Menor"),CONCATENATE("R4C",'R. Gestión '!$S$239),"")</f>
        <v/>
      </c>
      <c r="Q9" s="42" t="str">
        <f>IF(AND('R. Gestión '!$AD$240="Muy Alta",'R. Gestión '!$AF$240="Menor"),CONCATENATE("R4C",'R. Gestión '!$S$240),"")</f>
        <v/>
      </c>
      <c r="R9" s="42" t="str">
        <f>IF(AND('R. Gestión '!$AD$241="Muy Alta",'R. Gestión '!$AF$241="Menor"),CONCATENATE("R4C",'R. Gestión '!$S$241),"")</f>
        <v/>
      </c>
      <c r="S9" s="42" t="str">
        <f>IF(AND('R. Gestión '!$AD$242="Muy Alta",'R. Gestión '!$AF$242="Menor"),CONCATENATE("R4C",'R. Gestión '!$S$242),"")</f>
        <v/>
      </c>
      <c r="T9" s="42" t="str">
        <f>IF(AND('R. Gestión '!$AD$243="Muy Alta",'R. Gestión '!$AF$243="Menor"),CONCATENATE("R4C",'R. Gestión '!$S$243),"")</f>
        <v/>
      </c>
      <c r="U9" s="43" t="str">
        <f>IF(AND('R. Gestión '!$AD$244="Muy Alta",'R. Gestión '!$AF$244="Menor"),CONCATENATE("R4C",'R. Gestión '!$S$244),"")</f>
        <v/>
      </c>
      <c r="V9" s="41" t="str">
        <f>IF(AND('R. Gestión '!$AD$239="Muy Alta",'R. Gestión '!$AF$239="Moderado"),CONCATENATE("R4C",'R. Gestión '!$S$239),"")</f>
        <v/>
      </c>
      <c r="W9" s="42" t="str">
        <f>IF(AND('R. Gestión '!$AD$240="Muy Alta",'R. Gestión '!$AF$240="Moderado"),CONCATENATE("R4C",'R. Gestión '!$S$240),"")</f>
        <v/>
      </c>
      <c r="X9" s="42" t="str">
        <f>IF(AND('R. Gestión '!$AD$241="Muy Alta",'R. Gestión '!$AF$241="Moderado"),CONCATENATE("R4C",'R. Gestión '!$S$241),"")</f>
        <v/>
      </c>
      <c r="Y9" s="42" t="str">
        <f>IF(AND('R. Gestión '!$AD$242="Muy Alta",'R. Gestión '!$AF$242="Moderado"),CONCATENATE("R4C",'R. Gestión '!$S$242),"")</f>
        <v/>
      </c>
      <c r="Z9" s="42" t="str">
        <f>IF(AND('R. Gestión '!$AD$243="Muy Alta",'R. Gestión '!$AF$243="Moderado"),CONCATENATE("R4C",'R. Gestión '!$S$243),"")</f>
        <v/>
      </c>
      <c r="AA9" s="43" t="str">
        <f>IF(AND('R. Gestión '!$AD$244="Muy Alta",'R. Gestión '!$AF$244="Moderado"),CONCATENATE("R4C",'R. Gestión '!$S$244),"")</f>
        <v/>
      </c>
      <c r="AB9" s="41" t="str">
        <f>IF(AND('R. Gestión '!$AD$239="Muy Alta",'R. Gestión '!$AF$239="Mayor"),CONCATENATE("R4C",'R. Gestión '!$S$239),"")</f>
        <v/>
      </c>
      <c r="AC9" s="42" t="str">
        <f>IF(AND('R. Gestión '!$AD$240="Muy Alta",'R. Gestión '!$AF$240="Mayor"),CONCATENATE("R4C",'R. Gestión '!$S$240),"")</f>
        <v/>
      </c>
      <c r="AD9" s="42" t="str">
        <f>IF(AND('R. Gestión '!$AD$241="Muy Alta",'R. Gestión '!$AF$241="Mayor"),CONCATENATE("R4C",'R. Gestión '!$S$241),"")</f>
        <v/>
      </c>
      <c r="AE9" s="42" t="str">
        <f>IF(AND('R. Gestión '!$AD$242="Muy Alta",'R. Gestión '!$AF$242="Mayor"),CONCATENATE("R4C",'R. Gestión '!$S$242),"")</f>
        <v/>
      </c>
      <c r="AF9" s="42" t="str">
        <f>IF(AND('R. Gestión '!$AD$243="Muy Alta",'R. Gestión '!$AF$243="Mayor"),CONCATENATE("R4C",'R. Gestión '!$S$243),"")</f>
        <v/>
      </c>
      <c r="AG9" s="43" t="str">
        <f>IF(AND('R. Gestión '!$AD$244="Muy Alta",'R. Gestión '!$AF$244="Mayor"),CONCATENATE("R4C",'R. Gestión '!$S$244),"")</f>
        <v/>
      </c>
      <c r="AH9" s="44" t="str">
        <f>IF(AND('R. Gestión '!$AD$239="Muy Alta",'R. Gestión '!$AF$239="Catastrófico"),CONCATENATE("R4C",'R. Gestión '!$S$239),"")</f>
        <v/>
      </c>
      <c r="AI9" s="45" t="str">
        <f>IF(AND('R. Gestión '!$AD$240="Muy Alta",'R. Gestión '!$AF$240="Catastrófico"),CONCATENATE("R4C",'R. Gestión '!$S$240),"")</f>
        <v/>
      </c>
      <c r="AJ9" s="45" t="str">
        <f>IF(AND('R. Gestión '!$AD$241="Muy Alta",'R. Gestión '!$AF$241="Catastrófico"),CONCATENATE("R4C",'R. Gestión '!$S$241),"")</f>
        <v/>
      </c>
      <c r="AK9" s="45" t="str">
        <f>IF(AND('R. Gestión '!$AD$242="Muy Alta",'R. Gestión '!$AF$242="Catastrófico"),CONCATENATE("R4C",'R. Gestión '!$S$242),"")</f>
        <v/>
      </c>
      <c r="AL9" s="45" t="str">
        <f>IF(AND('R. Gestión '!$AD$243="Muy Alta",'R. Gestión '!$AF$243="Catastrófico"),CONCATENATE("R4C",'R. Gestión '!$S$243),"")</f>
        <v/>
      </c>
      <c r="AM9" s="46" t="str">
        <f>IF(AND('R. Gestión '!$AD$244="Muy Alta",'R. Gestión '!$AF$244="Catastrófico"),CONCATENATE("R4C",'R. Gestión '!$S$244),"")</f>
        <v/>
      </c>
      <c r="AN9" s="72"/>
      <c r="AO9" s="724"/>
      <c r="AP9" s="725"/>
      <c r="AQ9" s="725"/>
      <c r="AR9" s="725"/>
      <c r="AS9" s="725"/>
      <c r="AT9" s="726"/>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x14ac:dyDescent="0.25">
      <c r="A10" s="72"/>
      <c r="B10" s="663"/>
      <c r="C10" s="663"/>
      <c r="D10" s="664"/>
      <c r="E10" s="704"/>
      <c r="F10" s="705"/>
      <c r="G10" s="705"/>
      <c r="H10" s="705"/>
      <c r="I10" s="706"/>
      <c r="J10" s="41" t="str">
        <f>IF(AND('R. Gestión '!$AD$257="Muy Alta",'R. Gestión '!$AF$257="Leve"),CONCATENATE("R5C",'R. Gestión '!$S$257),"")</f>
        <v/>
      </c>
      <c r="K10" s="42" t="str">
        <f>IF(AND('R. Gestión '!$AD$258="Muy Alta",'R. Gestión '!$AF$258="Leve"),CONCATENATE("R5C",'R. Gestión '!$S$258),"")</f>
        <v/>
      </c>
      <c r="L10" s="42" t="str">
        <f>IF(AND('R. Gestión '!$AD$259="Muy Alta",'R. Gestión '!$AF$259="Leve"),CONCATENATE("R5C",'R. Gestión '!$S$259),"")</f>
        <v/>
      </c>
      <c r="M10" s="42" t="str">
        <f>IF(AND('R. Gestión '!$AD$260="Muy Alta",'R. Gestión '!$AF$260="Leve"),CONCATENATE("R5C",'R. Gestión '!$S$260),"")</f>
        <v/>
      </c>
      <c r="N10" s="42" t="str">
        <f>IF(AND('R. Gestión '!$AD$261="Muy Alta",'R. Gestión '!$AF$261="Leve"),CONCATENATE("R5C",'R. Gestión '!$S$261),"")</f>
        <v/>
      </c>
      <c r="O10" s="43" t="str">
        <f>IF(AND('R. Gestión '!$AD$262="Muy Alta",'R. Gestión '!$AF$262="Leve"),CONCATENATE("R5C",'R. Gestión '!$S$262),"")</f>
        <v/>
      </c>
      <c r="P10" s="41" t="str">
        <f>IF(AND('R. Gestión '!$AD$257="Muy Alta",'R. Gestión '!$AF$257="Menor"),CONCATENATE("R5C",'R. Gestión '!$S$257),"")</f>
        <v/>
      </c>
      <c r="Q10" s="42" t="str">
        <f>IF(AND('R. Gestión '!$AD$258="Muy Alta",'R. Gestión '!$AF$258="Menor"),CONCATENATE("R5C",'R. Gestión '!$S$258),"")</f>
        <v/>
      </c>
      <c r="R10" s="42" t="str">
        <f>IF(AND('R. Gestión '!$AD$259="Muy Alta",'R. Gestión '!$AF$259="Menor"),CONCATENATE("R5C",'R. Gestión '!$S$259),"")</f>
        <v/>
      </c>
      <c r="S10" s="42" t="str">
        <f>IF(AND('R. Gestión '!$AD$260="Muy Alta",'R. Gestión '!$AF$260="Menor"),CONCATENATE("R5C",'R. Gestión '!$S$260),"")</f>
        <v/>
      </c>
      <c r="T10" s="42" t="str">
        <f>IF(AND('R. Gestión '!$AD$261="Muy Alta",'R. Gestión '!$AF$261="Menor"),CONCATENATE("R5C",'R. Gestión '!$S$261),"")</f>
        <v/>
      </c>
      <c r="U10" s="43" t="str">
        <f>IF(AND('R. Gestión '!$AD$262="Muy Alta",'R. Gestión '!$AF$262="Menor"),CONCATENATE("R5C",'R. Gestión '!$S$262),"")</f>
        <v/>
      </c>
      <c r="V10" s="41" t="str">
        <f>IF(AND('R. Gestión '!$AD$257="Muy Alta",'R. Gestión '!$AF$257="Moderado"),CONCATENATE("R5C",'R. Gestión '!$S$257),"")</f>
        <v/>
      </c>
      <c r="W10" s="42" t="str">
        <f>IF(AND('R. Gestión '!$AD$258="Muy Alta",'R. Gestión '!$AF$258="Moderado"),CONCATENATE("R5C",'R. Gestión '!$S$258),"")</f>
        <v/>
      </c>
      <c r="X10" s="42" t="str">
        <f>IF(AND('R. Gestión '!$AD$259="Muy Alta",'R. Gestión '!$AF$259="Moderado"),CONCATENATE("R5C",'R. Gestión '!$S$259),"")</f>
        <v/>
      </c>
      <c r="Y10" s="42" t="str">
        <f>IF(AND('R. Gestión '!$AD$260="Muy Alta",'R. Gestión '!$AF$260="Moderado"),CONCATENATE("R5C",'R. Gestión '!$S$260),"")</f>
        <v/>
      </c>
      <c r="Z10" s="42" t="str">
        <f>IF(AND('R. Gestión '!$AD$261="Muy Alta",'R. Gestión '!$AF$261="Moderado"),CONCATENATE("R5C",'R. Gestión '!$S$261),"")</f>
        <v/>
      </c>
      <c r="AA10" s="43" t="str">
        <f>IF(AND('R. Gestión '!$AD$262="Muy Alta",'R. Gestión '!$AF$262="Moderado"),CONCATENATE("R5C",'R. Gestión '!$S$262),"")</f>
        <v/>
      </c>
      <c r="AB10" s="41" t="str">
        <f>IF(AND('R. Gestión '!$AD$257="Muy Alta",'R. Gestión '!$AF$257="Mayor"),CONCATENATE("R5C",'R. Gestión '!$S$257),"")</f>
        <v/>
      </c>
      <c r="AC10" s="42" t="str">
        <f>IF(AND('R. Gestión '!$AD$258="Muy Alta",'R. Gestión '!$AF$258="Mayor"),CONCATENATE("R5C",'R. Gestión '!$S$258),"")</f>
        <v/>
      </c>
      <c r="AD10" s="42" t="str">
        <f>IF(AND('R. Gestión '!$AD$259="Muy Alta",'R. Gestión '!$AF$259="Mayor"),CONCATENATE("R5C",'R. Gestión '!$S$259),"")</f>
        <v/>
      </c>
      <c r="AE10" s="42" t="str">
        <f>IF(AND('R. Gestión '!$AD$260="Muy Alta",'R. Gestión '!$AF$260="Mayor"),CONCATENATE("R5C",'R. Gestión '!$S$260),"")</f>
        <v/>
      </c>
      <c r="AF10" s="42" t="str">
        <f>IF(AND('R. Gestión '!$AD$261="Muy Alta",'R. Gestión '!$AF$261="Mayor"),CONCATENATE("R5C",'R. Gestión '!$S$261),"")</f>
        <v/>
      </c>
      <c r="AG10" s="43" t="str">
        <f>IF(AND('R. Gestión '!$AD$262="Muy Alta",'R. Gestión '!$AF$262="Mayor"),CONCATENATE("R5C",'R. Gestión '!$S$262),"")</f>
        <v/>
      </c>
      <c r="AH10" s="44" t="str">
        <f>IF(AND('R. Gestión '!$AD$257="Muy Alta",'R. Gestión '!$AF$257="Catastrófico"),CONCATENATE("R5C",'R. Gestión '!$S$257),"")</f>
        <v/>
      </c>
      <c r="AI10" s="45" t="str">
        <f>IF(AND('R. Gestión '!$AD$258="Muy Alta",'R. Gestión '!$AF$258="Catastrófico"),CONCATENATE("R5C",'R. Gestión '!$S$258),"")</f>
        <v/>
      </c>
      <c r="AJ10" s="45" t="str">
        <f>IF(AND('R. Gestión '!$AD$259="Muy Alta",'R. Gestión '!$AF$259="Catastrófico"),CONCATENATE("R5C",'R. Gestión '!$S$259),"")</f>
        <v/>
      </c>
      <c r="AK10" s="45" t="str">
        <f>IF(AND('R. Gestión '!$AD$260="Muy Alta",'R. Gestión '!$AF$260="Catastrófico"),CONCATENATE("R5C",'R. Gestión '!$S$260),"")</f>
        <v/>
      </c>
      <c r="AL10" s="45" t="str">
        <f>IF(AND('R. Gestión '!$AD$261="Muy Alta",'R. Gestión '!$AF$261="Catastrófico"),CONCATENATE("R5C",'R. Gestión '!$S$261),"")</f>
        <v/>
      </c>
      <c r="AM10" s="46" t="str">
        <f>IF(AND('R. Gestión '!$AD$262="Muy Alta",'R. Gestión '!$AF$262="Catastrófico"),CONCATENATE("R5C",'R. Gestión '!$S$262),"")</f>
        <v/>
      </c>
      <c r="AN10" s="72"/>
      <c r="AO10" s="724"/>
      <c r="AP10" s="725"/>
      <c r="AQ10" s="725"/>
      <c r="AR10" s="725"/>
      <c r="AS10" s="725"/>
      <c r="AT10" s="726"/>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x14ac:dyDescent="0.25">
      <c r="A11" s="72"/>
      <c r="B11" s="663"/>
      <c r="C11" s="663"/>
      <c r="D11" s="664"/>
      <c r="E11" s="704"/>
      <c r="F11" s="705"/>
      <c r="G11" s="705"/>
      <c r="H11" s="705"/>
      <c r="I11" s="706"/>
      <c r="J11" s="41" t="e">
        <f>IF(AND('R. Gestión '!#REF!="Muy Alta",'R. Gestión '!#REF!="Leve"),CONCATENATE("R6C",'R. Gestión '!#REF!),"")</f>
        <v>#REF!</v>
      </c>
      <c r="K11" s="42" t="e">
        <f>IF(AND('R. Gestión '!#REF!="Muy Alta",'R. Gestión '!#REF!="Leve"),CONCATENATE("R6C",'R. Gestión '!#REF!),"")</f>
        <v>#REF!</v>
      </c>
      <c r="L11" s="42" t="e">
        <f>IF(AND('R. Gestión '!#REF!="Muy Alta",'R. Gestión '!#REF!="Leve"),CONCATENATE("R6C",'R. Gestión '!#REF!),"")</f>
        <v>#REF!</v>
      </c>
      <c r="M11" s="42" t="e">
        <f>IF(AND('R. Gestión '!#REF!="Muy Alta",'R. Gestión '!#REF!="Leve"),CONCATENATE("R6C",'R. Gestión '!#REF!),"")</f>
        <v>#REF!</v>
      </c>
      <c r="N11" s="42" t="e">
        <f>IF(AND('R. Gestión '!#REF!="Muy Alta",'R. Gestión '!#REF!="Leve"),CONCATENATE("R6C",'R. Gestión '!#REF!),"")</f>
        <v>#REF!</v>
      </c>
      <c r="O11" s="43" t="e">
        <f>IF(AND('R. Gestión '!#REF!="Muy Alta",'R. Gestión '!#REF!="Leve"),CONCATENATE("R6C",'R. Gestión '!#REF!),"")</f>
        <v>#REF!</v>
      </c>
      <c r="P11" s="41" t="e">
        <f>IF(AND('R. Gestión '!#REF!="Muy Alta",'R. Gestión '!#REF!="Menor"),CONCATENATE("R6C",'R. Gestión '!#REF!),"")</f>
        <v>#REF!</v>
      </c>
      <c r="Q11" s="42" t="e">
        <f>IF(AND('R. Gestión '!#REF!="Muy Alta",'R. Gestión '!#REF!="Menor"),CONCATENATE("R6C",'R. Gestión '!#REF!),"")</f>
        <v>#REF!</v>
      </c>
      <c r="R11" s="42" t="e">
        <f>IF(AND('R. Gestión '!#REF!="Muy Alta",'R. Gestión '!#REF!="Menor"),CONCATENATE("R6C",'R. Gestión '!#REF!),"")</f>
        <v>#REF!</v>
      </c>
      <c r="S11" s="42" t="e">
        <f>IF(AND('R. Gestión '!#REF!="Muy Alta",'R. Gestión '!#REF!="Menor"),CONCATENATE("R6C",'R. Gestión '!#REF!),"")</f>
        <v>#REF!</v>
      </c>
      <c r="T11" s="42" t="e">
        <f>IF(AND('R. Gestión '!#REF!="Muy Alta",'R. Gestión '!#REF!="Menor"),CONCATENATE("R6C",'R. Gestión '!#REF!),"")</f>
        <v>#REF!</v>
      </c>
      <c r="U11" s="43" t="e">
        <f>IF(AND('R. Gestión '!#REF!="Muy Alta",'R. Gestión '!#REF!="Menor"),CONCATENATE("R6C",'R. Gestión '!#REF!),"")</f>
        <v>#REF!</v>
      </c>
      <c r="V11" s="41" t="e">
        <f>IF(AND('R. Gestión '!#REF!="Muy Alta",'R. Gestión '!#REF!="Moderado"),CONCATENATE("R6C",'R. Gestión '!#REF!),"")</f>
        <v>#REF!</v>
      </c>
      <c r="W11" s="42" t="e">
        <f>IF(AND('R. Gestión '!#REF!="Muy Alta",'R. Gestión '!#REF!="Moderado"),CONCATENATE("R6C",'R. Gestión '!#REF!),"")</f>
        <v>#REF!</v>
      </c>
      <c r="X11" s="42" t="e">
        <f>IF(AND('R. Gestión '!#REF!="Muy Alta",'R. Gestión '!#REF!="Moderado"),CONCATENATE("R6C",'R. Gestión '!#REF!),"")</f>
        <v>#REF!</v>
      </c>
      <c r="Y11" s="42" t="e">
        <f>IF(AND('R. Gestión '!#REF!="Muy Alta",'R. Gestión '!#REF!="Moderado"),CONCATENATE("R6C",'R. Gestión '!#REF!),"")</f>
        <v>#REF!</v>
      </c>
      <c r="Z11" s="42" t="e">
        <f>IF(AND('R. Gestión '!#REF!="Muy Alta",'R. Gestión '!#REF!="Moderado"),CONCATENATE("R6C",'R. Gestión '!#REF!),"")</f>
        <v>#REF!</v>
      </c>
      <c r="AA11" s="43" t="e">
        <f>IF(AND('R. Gestión '!#REF!="Muy Alta",'R. Gestión '!#REF!="Moderado"),CONCATENATE("R6C",'R. Gestión '!#REF!),"")</f>
        <v>#REF!</v>
      </c>
      <c r="AB11" s="41" t="e">
        <f>IF(AND('R. Gestión '!#REF!="Muy Alta",'R. Gestión '!#REF!="Mayor"),CONCATENATE("R6C",'R. Gestión '!#REF!),"")</f>
        <v>#REF!</v>
      </c>
      <c r="AC11" s="42" t="e">
        <f>IF(AND('R. Gestión '!#REF!="Muy Alta",'R. Gestión '!#REF!="Mayor"),CONCATENATE("R6C",'R. Gestión '!#REF!),"")</f>
        <v>#REF!</v>
      </c>
      <c r="AD11" s="42" t="e">
        <f>IF(AND('R. Gestión '!#REF!="Muy Alta",'R. Gestión '!#REF!="Mayor"),CONCATENATE("R6C",'R. Gestión '!#REF!),"")</f>
        <v>#REF!</v>
      </c>
      <c r="AE11" s="42" t="e">
        <f>IF(AND('R. Gestión '!#REF!="Muy Alta",'R. Gestión '!#REF!="Mayor"),CONCATENATE("R6C",'R. Gestión '!#REF!),"")</f>
        <v>#REF!</v>
      </c>
      <c r="AF11" s="42" t="e">
        <f>IF(AND('R. Gestión '!#REF!="Muy Alta",'R. Gestión '!#REF!="Mayor"),CONCATENATE("R6C",'R. Gestión '!#REF!),"")</f>
        <v>#REF!</v>
      </c>
      <c r="AG11" s="43" t="e">
        <f>IF(AND('R. Gestión '!#REF!="Muy Alta",'R. Gestión '!#REF!="Mayor"),CONCATENATE("R6C",'R. Gestión '!#REF!),"")</f>
        <v>#REF!</v>
      </c>
      <c r="AH11" s="44" t="e">
        <f>IF(AND('R. Gestión '!#REF!="Muy Alta",'R. Gestión '!#REF!="Catastrófico"),CONCATENATE("R6C",'R. Gestión '!#REF!),"")</f>
        <v>#REF!</v>
      </c>
      <c r="AI11" s="45" t="e">
        <f>IF(AND('R. Gestión '!#REF!="Muy Alta",'R. Gestión '!#REF!="Catastrófico"),CONCATENATE("R6C",'R. Gestión '!#REF!),"")</f>
        <v>#REF!</v>
      </c>
      <c r="AJ11" s="45" t="e">
        <f>IF(AND('R. Gestión '!#REF!="Muy Alta",'R. Gestión '!#REF!="Catastrófico"),CONCATENATE("R6C",'R. Gestión '!#REF!),"")</f>
        <v>#REF!</v>
      </c>
      <c r="AK11" s="45" t="e">
        <f>IF(AND('R. Gestión '!#REF!="Muy Alta",'R. Gestión '!#REF!="Catastrófico"),CONCATENATE("R6C",'R. Gestión '!#REF!),"")</f>
        <v>#REF!</v>
      </c>
      <c r="AL11" s="45" t="e">
        <f>IF(AND('R. Gestión '!#REF!="Muy Alta",'R. Gestión '!#REF!="Catastrófico"),CONCATENATE("R6C",'R. Gestión '!#REF!),"")</f>
        <v>#REF!</v>
      </c>
      <c r="AM11" s="46" t="e">
        <f>IF(AND('R. Gestión '!#REF!="Muy Alta",'R. Gestión '!#REF!="Catastrófico"),CONCATENATE("R6C",'R. Gestión '!#REF!),"")</f>
        <v>#REF!</v>
      </c>
      <c r="AN11" s="72"/>
      <c r="AO11" s="724"/>
      <c r="AP11" s="725"/>
      <c r="AQ11" s="725"/>
      <c r="AR11" s="725"/>
      <c r="AS11" s="725"/>
      <c r="AT11" s="726"/>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x14ac:dyDescent="0.25">
      <c r="A12" s="72"/>
      <c r="B12" s="663"/>
      <c r="C12" s="663"/>
      <c r="D12" s="664"/>
      <c r="E12" s="704"/>
      <c r="F12" s="705"/>
      <c r="G12" s="705"/>
      <c r="H12" s="705"/>
      <c r="I12" s="706"/>
      <c r="J12" s="41" t="e">
        <f>IF(AND('R. Gestión '!#REF!="Muy Alta",'R. Gestión '!#REF!="Leve"),CONCATENATE("R7C",'R. Gestión '!#REF!),"")</f>
        <v>#REF!</v>
      </c>
      <c r="K12" s="42" t="e">
        <f>IF(AND('R. Gestión '!#REF!="Muy Alta",'R. Gestión '!#REF!="Leve"),CONCATENATE("R7C",'R. Gestión '!#REF!),"")</f>
        <v>#REF!</v>
      </c>
      <c r="L12" s="42" t="e">
        <f>IF(AND('R. Gestión '!#REF!="Muy Alta",'R. Gestión '!#REF!="Leve"),CONCATENATE("R7C",'R. Gestión '!#REF!),"")</f>
        <v>#REF!</v>
      </c>
      <c r="M12" s="42" t="e">
        <f>IF(AND('R. Gestión '!#REF!="Muy Alta",'R. Gestión '!#REF!="Leve"),CONCATENATE("R7C",'R. Gestión '!#REF!),"")</f>
        <v>#REF!</v>
      </c>
      <c r="N12" s="42" t="e">
        <f>IF(AND('R. Gestión '!#REF!="Muy Alta",'R. Gestión '!#REF!="Leve"),CONCATENATE("R7C",'R. Gestión '!#REF!),"")</f>
        <v>#REF!</v>
      </c>
      <c r="O12" s="43" t="e">
        <f>IF(AND('R. Gestión '!#REF!="Muy Alta",'R. Gestión '!#REF!="Leve"),CONCATENATE("R7C",'R. Gestión '!#REF!),"")</f>
        <v>#REF!</v>
      </c>
      <c r="P12" s="41" t="e">
        <f>IF(AND('R. Gestión '!#REF!="Muy Alta",'R. Gestión '!#REF!="Menor"),CONCATENATE("R7C",'R. Gestión '!#REF!),"")</f>
        <v>#REF!</v>
      </c>
      <c r="Q12" s="42" t="e">
        <f>IF(AND('R. Gestión '!#REF!="Muy Alta",'R. Gestión '!#REF!="Menor"),CONCATENATE("R7C",'R. Gestión '!#REF!),"")</f>
        <v>#REF!</v>
      </c>
      <c r="R12" s="42" t="e">
        <f>IF(AND('R. Gestión '!#REF!="Muy Alta",'R. Gestión '!#REF!="Menor"),CONCATENATE("R7C",'R. Gestión '!#REF!),"")</f>
        <v>#REF!</v>
      </c>
      <c r="S12" s="42" t="e">
        <f>IF(AND('R. Gestión '!#REF!="Muy Alta",'R. Gestión '!#REF!="Menor"),CONCATENATE("R7C",'R. Gestión '!#REF!),"")</f>
        <v>#REF!</v>
      </c>
      <c r="T12" s="42" t="e">
        <f>IF(AND('R. Gestión '!#REF!="Muy Alta",'R. Gestión '!#REF!="Menor"),CONCATENATE("R7C",'R. Gestión '!#REF!),"")</f>
        <v>#REF!</v>
      </c>
      <c r="U12" s="43" t="e">
        <f>IF(AND('R. Gestión '!#REF!="Muy Alta",'R. Gestión '!#REF!="Menor"),CONCATENATE("R7C",'R. Gestión '!#REF!),"")</f>
        <v>#REF!</v>
      </c>
      <c r="V12" s="41" t="e">
        <f>IF(AND('R. Gestión '!#REF!="Muy Alta",'R. Gestión '!#REF!="Moderado"),CONCATENATE("R7C",'R. Gestión '!#REF!),"")</f>
        <v>#REF!</v>
      </c>
      <c r="W12" s="42" t="e">
        <f>IF(AND('R. Gestión '!#REF!="Muy Alta",'R. Gestión '!#REF!="Moderado"),CONCATENATE("R7C",'R. Gestión '!#REF!),"")</f>
        <v>#REF!</v>
      </c>
      <c r="X12" s="42" t="e">
        <f>IF(AND('R. Gestión '!#REF!="Muy Alta",'R. Gestión '!#REF!="Moderado"),CONCATENATE("R7C",'R. Gestión '!#REF!),"")</f>
        <v>#REF!</v>
      </c>
      <c r="Y12" s="42" t="e">
        <f>IF(AND('R. Gestión '!#REF!="Muy Alta",'R. Gestión '!#REF!="Moderado"),CONCATENATE("R7C",'R. Gestión '!#REF!),"")</f>
        <v>#REF!</v>
      </c>
      <c r="Z12" s="42" t="e">
        <f>IF(AND('R. Gestión '!#REF!="Muy Alta",'R. Gestión '!#REF!="Moderado"),CONCATENATE("R7C",'R. Gestión '!#REF!),"")</f>
        <v>#REF!</v>
      </c>
      <c r="AA12" s="43" t="e">
        <f>IF(AND('R. Gestión '!#REF!="Muy Alta",'R. Gestión '!#REF!="Moderado"),CONCATENATE("R7C",'R. Gestión '!#REF!),"")</f>
        <v>#REF!</v>
      </c>
      <c r="AB12" s="41" t="e">
        <f>IF(AND('R. Gestión '!#REF!="Muy Alta",'R. Gestión '!#REF!="Mayor"),CONCATENATE("R7C",'R. Gestión '!#REF!),"")</f>
        <v>#REF!</v>
      </c>
      <c r="AC12" s="42" t="e">
        <f>IF(AND('R. Gestión '!#REF!="Muy Alta",'R. Gestión '!#REF!="Mayor"),CONCATENATE("R7C",'R. Gestión '!#REF!),"")</f>
        <v>#REF!</v>
      </c>
      <c r="AD12" s="42" t="e">
        <f>IF(AND('R. Gestión '!#REF!="Muy Alta",'R. Gestión '!#REF!="Mayor"),CONCATENATE("R7C",'R. Gestión '!#REF!),"")</f>
        <v>#REF!</v>
      </c>
      <c r="AE12" s="42" t="e">
        <f>IF(AND('R. Gestión '!#REF!="Muy Alta",'R. Gestión '!#REF!="Mayor"),CONCATENATE("R7C",'R. Gestión '!#REF!),"")</f>
        <v>#REF!</v>
      </c>
      <c r="AF12" s="42" t="e">
        <f>IF(AND('R. Gestión '!#REF!="Muy Alta",'R. Gestión '!#REF!="Mayor"),CONCATENATE("R7C",'R. Gestión '!#REF!),"")</f>
        <v>#REF!</v>
      </c>
      <c r="AG12" s="43" t="e">
        <f>IF(AND('R. Gestión '!#REF!="Muy Alta",'R. Gestión '!#REF!="Mayor"),CONCATENATE("R7C",'R. Gestión '!#REF!),"")</f>
        <v>#REF!</v>
      </c>
      <c r="AH12" s="44" t="e">
        <f>IF(AND('R. Gestión '!#REF!="Muy Alta",'R. Gestión '!#REF!="Catastrófico"),CONCATENATE("R7C",'R. Gestión '!#REF!),"")</f>
        <v>#REF!</v>
      </c>
      <c r="AI12" s="45" t="e">
        <f>IF(AND('R. Gestión '!#REF!="Muy Alta",'R. Gestión '!#REF!="Catastrófico"),CONCATENATE("R7C",'R. Gestión '!#REF!),"")</f>
        <v>#REF!</v>
      </c>
      <c r="AJ12" s="45" t="e">
        <f>IF(AND('R. Gestión '!#REF!="Muy Alta",'R. Gestión '!#REF!="Catastrófico"),CONCATENATE("R7C",'R. Gestión '!#REF!),"")</f>
        <v>#REF!</v>
      </c>
      <c r="AK12" s="45" t="e">
        <f>IF(AND('R. Gestión '!#REF!="Muy Alta",'R. Gestión '!#REF!="Catastrófico"),CONCATENATE("R7C",'R. Gestión '!#REF!),"")</f>
        <v>#REF!</v>
      </c>
      <c r="AL12" s="45" t="e">
        <f>IF(AND('R. Gestión '!#REF!="Muy Alta",'R. Gestión '!#REF!="Catastrófico"),CONCATENATE("R7C",'R. Gestión '!#REF!),"")</f>
        <v>#REF!</v>
      </c>
      <c r="AM12" s="46" t="e">
        <f>IF(AND('R. Gestión '!#REF!="Muy Alta",'R. Gestión '!#REF!="Catastrófico"),CONCATENATE("R7C",'R. Gestión '!#REF!),"")</f>
        <v>#REF!</v>
      </c>
      <c r="AN12" s="72"/>
      <c r="AO12" s="724"/>
      <c r="AP12" s="725"/>
      <c r="AQ12" s="725"/>
      <c r="AR12" s="725"/>
      <c r="AS12" s="725"/>
      <c r="AT12" s="726"/>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x14ac:dyDescent="0.25">
      <c r="A13" s="72"/>
      <c r="B13" s="663"/>
      <c r="C13" s="663"/>
      <c r="D13" s="664"/>
      <c r="E13" s="704"/>
      <c r="F13" s="705"/>
      <c r="G13" s="705"/>
      <c r="H13" s="705"/>
      <c r="I13" s="706"/>
      <c r="J13" s="41" t="str">
        <f>IF(AND('R. Gestión '!$AD$281="Muy Alta",'R. Gestión '!$AF$281="Leve"),CONCATENATE("R8C",'R. Gestión '!$S$281),"")</f>
        <v/>
      </c>
      <c r="K13" s="42" t="str">
        <f>IF(AND('R. Gestión '!$AD$282="Muy Alta",'R. Gestión '!$AF$282="Leve"),CONCATENATE("R8C",'R. Gestión '!$S$282),"")</f>
        <v/>
      </c>
      <c r="L13" s="42" t="str">
        <f>IF(AND('R. Gestión '!$AD$283="Muy Alta",'R. Gestión '!$AF$283="Leve"),CONCATENATE("R8C",'R. Gestión '!$S$283),"")</f>
        <v/>
      </c>
      <c r="M13" s="42" t="str">
        <f>IF(AND('R. Gestión '!$AD$284="Muy Alta",'R. Gestión '!$AF$284="Leve"),CONCATENATE("R8C",'R. Gestión '!$S$284),"")</f>
        <v/>
      </c>
      <c r="N13" s="42" t="str">
        <f>IF(AND('R. Gestión '!$AD$285="Muy Alta",'R. Gestión '!$AF$285="Leve"),CONCATENATE("R8C",'R. Gestión '!$S$285),"")</f>
        <v/>
      </c>
      <c r="O13" s="43" t="str">
        <f>IF(AND('R. Gestión '!$AD$286="Muy Alta",'R. Gestión '!$AF$286="Leve"),CONCATENATE("R8C",'R. Gestión '!$S$286),"")</f>
        <v/>
      </c>
      <c r="P13" s="41" t="str">
        <f>IF(AND('R. Gestión '!$AD$281="Muy Alta",'R. Gestión '!$AF$281="Menor"),CONCATENATE("R8C",'R. Gestión '!$S$281),"")</f>
        <v/>
      </c>
      <c r="Q13" s="42" t="str">
        <f>IF(AND('R. Gestión '!$AD$282="Muy Alta",'R. Gestión '!$AF$282="Menor"),CONCATENATE("R8C",'R. Gestión '!$S$282),"")</f>
        <v/>
      </c>
      <c r="R13" s="42" t="str">
        <f>IF(AND('R. Gestión '!$AD$283="Muy Alta",'R. Gestión '!$AF$283="Menor"),CONCATENATE("R8C",'R. Gestión '!$S$283),"")</f>
        <v/>
      </c>
      <c r="S13" s="42" t="str">
        <f>IF(AND('R. Gestión '!$AD$284="Muy Alta",'R. Gestión '!$AF$284="Menor"),CONCATENATE("R8C",'R. Gestión '!$S$284),"")</f>
        <v/>
      </c>
      <c r="T13" s="42" t="str">
        <f>IF(AND('R. Gestión '!$AD$285="Muy Alta",'R. Gestión '!$AF$285="Menor"),CONCATENATE("R8C",'R. Gestión '!$S$285),"")</f>
        <v/>
      </c>
      <c r="U13" s="43" t="str">
        <f>IF(AND('R. Gestión '!$AD$286="Muy Alta",'R. Gestión '!$AF$286="Menor"),CONCATENATE("R8C",'R. Gestión '!$S$286),"")</f>
        <v/>
      </c>
      <c r="V13" s="41" t="str">
        <f>IF(AND('R. Gestión '!$AD$281="Muy Alta",'R. Gestión '!$AF$281="Moderado"),CONCATENATE("R8C",'R. Gestión '!$S$281),"")</f>
        <v/>
      </c>
      <c r="W13" s="42" t="str">
        <f>IF(AND('R. Gestión '!$AD$282="Muy Alta",'R. Gestión '!$AF$282="Moderado"),CONCATENATE("R8C",'R. Gestión '!$S$282),"")</f>
        <v/>
      </c>
      <c r="X13" s="42" t="str">
        <f>IF(AND('R. Gestión '!$AD$283="Muy Alta",'R. Gestión '!$AF$283="Moderado"),CONCATENATE("R8C",'R. Gestión '!$S$283),"")</f>
        <v/>
      </c>
      <c r="Y13" s="42" t="str">
        <f>IF(AND('R. Gestión '!$AD$284="Muy Alta",'R. Gestión '!$AF$284="Moderado"),CONCATENATE("R8C",'R. Gestión '!$S$284),"")</f>
        <v/>
      </c>
      <c r="Z13" s="42" t="str">
        <f>IF(AND('R. Gestión '!$AD$285="Muy Alta",'R. Gestión '!$AF$285="Moderado"),CONCATENATE("R8C",'R. Gestión '!$S$285),"")</f>
        <v/>
      </c>
      <c r="AA13" s="43" t="str">
        <f>IF(AND('R. Gestión '!$AD$286="Muy Alta",'R. Gestión '!$AF$286="Moderado"),CONCATENATE("R8C",'R. Gestión '!$S$286),"")</f>
        <v/>
      </c>
      <c r="AB13" s="41" t="str">
        <f>IF(AND('R. Gestión '!$AD$281="Muy Alta",'R. Gestión '!$AF$281="Mayor"),CONCATENATE("R8C",'R. Gestión '!$S$281),"")</f>
        <v/>
      </c>
      <c r="AC13" s="42" t="str">
        <f>IF(AND('R. Gestión '!$AD$282="Muy Alta",'R. Gestión '!$AF$282="Mayor"),CONCATENATE("R8C",'R. Gestión '!$S$282),"")</f>
        <v/>
      </c>
      <c r="AD13" s="42" t="str">
        <f>IF(AND('R. Gestión '!$AD$283="Muy Alta",'R. Gestión '!$AF$283="Mayor"),CONCATENATE("R8C",'R. Gestión '!$S$283),"")</f>
        <v/>
      </c>
      <c r="AE13" s="42" t="str">
        <f>IF(AND('R. Gestión '!$AD$284="Muy Alta",'R. Gestión '!$AF$284="Mayor"),CONCATENATE("R8C",'R. Gestión '!$S$284),"")</f>
        <v/>
      </c>
      <c r="AF13" s="42" t="str">
        <f>IF(AND('R. Gestión '!$AD$285="Muy Alta",'R. Gestión '!$AF$285="Mayor"),CONCATENATE("R8C",'R. Gestión '!$S$285),"")</f>
        <v/>
      </c>
      <c r="AG13" s="43" t="str">
        <f>IF(AND('R. Gestión '!$AD$286="Muy Alta",'R. Gestión '!$AF$286="Mayor"),CONCATENATE("R8C",'R. Gestión '!$S$286),"")</f>
        <v/>
      </c>
      <c r="AH13" s="44" t="str">
        <f>IF(AND('R. Gestión '!$AD$281="Muy Alta",'R. Gestión '!$AF$281="Catastrófico"),CONCATENATE("R8C",'R. Gestión '!$S$281),"")</f>
        <v/>
      </c>
      <c r="AI13" s="45" t="str">
        <f>IF(AND('R. Gestión '!$AD$282="Muy Alta",'R. Gestión '!$AF$282="Catastrófico"),CONCATENATE("R8C",'R. Gestión '!$S$282),"")</f>
        <v/>
      </c>
      <c r="AJ13" s="45" t="str">
        <f>IF(AND('R. Gestión '!$AD$283="Muy Alta",'R. Gestión '!$AF$283="Catastrófico"),CONCATENATE("R8C",'R. Gestión '!$S$283),"")</f>
        <v/>
      </c>
      <c r="AK13" s="45" t="str">
        <f>IF(AND('R. Gestión '!$AD$284="Muy Alta",'R. Gestión '!$AF$284="Catastrófico"),CONCATENATE("R8C",'R. Gestión '!$S$284),"")</f>
        <v/>
      </c>
      <c r="AL13" s="45" t="str">
        <f>IF(AND('R. Gestión '!$AD$285="Muy Alta",'R. Gestión '!$AF$285="Catastrófico"),CONCATENATE("R8C",'R. Gestión '!$S$285),"")</f>
        <v/>
      </c>
      <c r="AM13" s="46" t="str">
        <f>IF(AND('R. Gestión '!$AD$286="Muy Alta",'R. Gestión '!$AF$286="Catastrófico"),CONCATENATE("R8C",'R. Gestión '!$S$286),"")</f>
        <v/>
      </c>
      <c r="AN13" s="72"/>
      <c r="AO13" s="724"/>
      <c r="AP13" s="725"/>
      <c r="AQ13" s="725"/>
      <c r="AR13" s="725"/>
      <c r="AS13" s="725"/>
      <c r="AT13" s="726"/>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x14ac:dyDescent="0.25">
      <c r="A14" s="72"/>
      <c r="B14" s="663"/>
      <c r="C14" s="663"/>
      <c r="D14" s="664"/>
      <c r="E14" s="704"/>
      <c r="F14" s="705"/>
      <c r="G14" s="705"/>
      <c r="H14" s="705"/>
      <c r="I14" s="706"/>
      <c r="J14" s="41" t="e">
        <f>IF(AND('R. Gestión '!#REF!="Muy Alta",'R. Gestión '!#REF!="Leve"),CONCATENATE("R9C",'R. Gestión '!#REF!),"")</f>
        <v>#REF!</v>
      </c>
      <c r="K14" s="42" t="e">
        <f>IF(AND('R. Gestión '!#REF!="Muy Alta",'R. Gestión '!#REF!="Leve"),CONCATENATE("R9C",'R. Gestión '!#REF!),"")</f>
        <v>#REF!</v>
      </c>
      <c r="L14" s="42" t="e">
        <f>IF(AND('R. Gestión '!#REF!="Muy Alta",'R. Gestión '!#REF!="Leve"),CONCATENATE("R9C",'R. Gestión '!#REF!),"")</f>
        <v>#REF!</v>
      </c>
      <c r="M14" s="42" t="e">
        <f>IF(AND('R. Gestión '!#REF!="Muy Alta",'R. Gestión '!#REF!="Leve"),CONCATENATE("R9C",'R. Gestión '!#REF!),"")</f>
        <v>#REF!</v>
      </c>
      <c r="N14" s="42" t="e">
        <f>IF(AND('R. Gestión '!#REF!="Muy Alta",'R. Gestión '!#REF!="Leve"),CONCATENATE("R9C",'R. Gestión '!#REF!),"")</f>
        <v>#REF!</v>
      </c>
      <c r="O14" s="43" t="e">
        <f>IF(AND('R. Gestión '!#REF!="Muy Alta",'R. Gestión '!#REF!="Leve"),CONCATENATE("R9C",'R. Gestión '!#REF!),"")</f>
        <v>#REF!</v>
      </c>
      <c r="P14" s="41" t="e">
        <f>IF(AND('R. Gestión '!#REF!="Muy Alta",'R. Gestión '!#REF!="Menor"),CONCATENATE("R9C",'R. Gestión '!#REF!),"")</f>
        <v>#REF!</v>
      </c>
      <c r="Q14" s="42" t="e">
        <f>IF(AND('R. Gestión '!#REF!="Muy Alta",'R. Gestión '!#REF!="Menor"),CONCATENATE("R9C",'R. Gestión '!#REF!),"")</f>
        <v>#REF!</v>
      </c>
      <c r="R14" s="42" t="e">
        <f>IF(AND('R. Gestión '!#REF!="Muy Alta",'R. Gestión '!#REF!="Menor"),CONCATENATE("R9C",'R. Gestión '!#REF!),"")</f>
        <v>#REF!</v>
      </c>
      <c r="S14" s="42" t="e">
        <f>IF(AND('R. Gestión '!#REF!="Muy Alta",'R. Gestión '!#REF!="Menor"),CONCATENATE("R9C",'R. Gestión '!#REF!),"")</f>
        <v>#REF!</v>
      </c>
      <c r="T14" s="42" t="e">
        <f>IF(AND('R. Gestión '!#REF!="Muy Alta",'R. Gestión '!#REF!="Menor"),CONCATENATE("R9C",'R. Gestión '!#REF!),"")</f>
        <v>#REF!</v>
      </c>
      <c r="U14" s="43" t="e">
        <f>IF(AND('R. Gestión '!#REF!="Muy Alta",'R. Gestión '!#REF!="Menor"),CONCATENATE("R9C",'R. Gestión '!#REF!),"")</f>
        <v>#REF!</v>
      </c>
      <c r="V14" s="41" t="e">
        <f>IF(AND('R. Gestión '!#REF!="Muy Alta",'R. Gestión '!#REF!="Moderado"),CONCATENATE("R9C",'R. Gestión '!#REF!),"")</f>
        <v>#REF!</v>
      </c>
      <c r="W14" s="42" t="e">
        <f>IF(AND('R. Gestión '!#REF!="Muy Alta",'R. Gestión '!#REF!="Moderado"),CONCATENATE("R9C",'R. Gestión '!#REF!),"")</f>
        <v>#REF!</v>
      </c>
      <c r="X14" s="42" t="e">
        <f>IF(AND('R. Gestión '!#REF!="Muy Alta",'R. Gestión '!#REF!="Moderado"),CONCATENATE("R9C",'R. Gestión '!#REF!),"")</f>
        <v>#REF!</v>
      </c>
      <c r="Y14" s="42" t="e">
        <f>IF(AND('R. Gestión '!#REF!="Muy Alta",'R. Gestión '!#REF!="Moderado"),CONCATENATE("R9C",'R. Gestión '!#REF!),"")</f>
        <v>#REF!</v>
      </c>
      <c r="Z14" s="42" t="e">
        <f>IF(AND('R. Gestión '!#REF!="Muy Alta",'R. Gestión '!#REF!="Moderado"),CONCATENATE("R9C",'R. Gestión '!#REF!),"")</f>
        <v>#REF!</v>
      </c>
      <c r="AA14" s="43" t="e">
        <f>IF(AND('R. Gestión '!#REF!="Muy Alta",'R. Gestión '!#REF!="Moderado"),CONCATENATE("R9C",'R. Gestión '!#REF!),"")</f>
        <v>#REF!</v>
      </c>
      <c r="AB14" s="41" t="e">
        <f>IF(AND('R. Gestión '!#REF!="Muy Alta",'R. Gestión '!#REF!="Mayor"),CONCATENATE("R9C",'R. Gestión '!#REF!),"")</f>
        <v>#REF!</v>
      </c>
      <c r="AC14" s="42" t="e">
        <f>IF(AND('R. Gestión '!#REF!="Muy Alta",'R. Gestión '!#REF!="Mayor"),CONCATENATE("R9C",'R. Gestión '!#REF!),"")</f>
        <v>#REF!</v>
      </c>
      <c r="AD14" s="42" t="e">
        <f>IF(AND('R. Gestión '!#REF!="Muy Alta",'R. Gestión '!#REF!="Mayor"),CONCATENATE("R9C",'R. Gestión '!#REF!),"")</f>
        <v>#REF!</v>
      </c>
      <c r="AE14" s="42" t="e">
        <f>IF(AND('R. Gestión '!#REF!="Muy Alta",'R. Gestión '!#REF!="Mayor"),CONCATENATE("R9C",'R. Gestión '!#REF!),"")</f>
        <v>#REF!</v>
      </c>
      <c r="AF14" s="42" t="e">
        <f>IF(AND('R. Gestión '!#REF!="Muy Alta",'R. Gestión '!#REF!="Mayor"),CONCATENATE("R9C",'R. Gestión '!#REF!),"")</f>
        <v>#REF!</v>
      </c>
      <c r="AG14" s="43" t="e">
        <f>IF(AND('R. Gestión '!#REF!="Muy Alta",'R. Gestión '!#REF!="Mayor"),CONCATENATE("R9C",'R. Gestión '!#REF!),"")</f>
        <v>#REF!</v>
      </c>
      <c r="AH14" s="44" t="e">
        <f>IF(AND('R. Gestión '!#REF!="Muy Alta",'R. Gestión '!#REF!="Catastrófico"),CONCATENATE("R9C",'R. Gestión '!#REF!),"")</f>
        <v>#REF!</v>
      </c>
      <c r="AI14" s="45" t="e">
        <f>IF(AND('R. Gestión '!#REF!="Muy Alta",'R. Gestión '!#REF!="Catastrófico"),CONCATENATE("R9C",'R. Gestión '!#REF!),"")</f>
        <v>#REF!</v>
      </c>
      <c r="AJ14" s="45" t="e">
        <f>IF(AND('R. Gestión '!#REF!="Muy Alta",'R. Gestión '!#REF!="Catastrófico"),CONCATENATE("R9C",'R. Gestión '!#REF!),"")</f>
        <v>#REF!</v>
      </c>
      <c r="AK14" s="45" t="e">
        <f>IF(AND('R. Gestión '!#REF!="Muy Alta",'R. Gestión '!#REF!="Catastrófico"),CONCATENATE("R9C",'R. Gestión '!#REF!),"")</f>
        <v>#REF!</v>
      </c>
      <c r="AL14" s="45" t="e">
        <f>IF(AND('R. Gestión '!#REF!="Muy Alta",'R. Gestión '!#REF!="Catastrófico"),CONCATENATE("R9C",'R. Gestión '!#REF!),"")</f>
        <v>#REF!</v>
      </c>
      <c r="AM14" s="46" t="e">
        <f>IF(AND('R. Gestión '!#REF!="Muy Alta",'R. Gestión '!#REF!="Catastrófico"),CONCATENATE("R9C",'R. Gestión '!#REF!),"")</f>
        <v>#REF!</v>
      </c>
      <c r="AN14" s="72"/>
      <c r="AO14" s="724"/>
      <c r="AP14" s="725"/>
      <c r="AQ14" s="725"/>
      <c r="AR14" s="725"/>
      <c r="AS14" s="725"/>
      <c r="AT14" s="726"/>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x14ac:dyDescent="0.3">
      <c r="A15" s="72"/>
      <c r="B15" s="663"/>
      <c r="C15" s="663"/>
      <c r="D15" s="664"/>
      <c r="E15" s="707"/>
      <c r="F15" s="708"/>
      <c r="G15" s="708"/>
      <c r="H15" s="708"/>
      <c r="I15" s="709"/>
      <c r="J15" s="47" t="e">
        <f>IF(AND('R. Gestión '!#REF!="Muy Alta",'R. Gestión '!#REF!="Leve"),CONCATENATE("R10C",'R. Gestión '!#REF!),"")</f>
        <v>#REF!</v>
      </c>
      <c r="K15" s="48" t="e">
        <f>IF(AND('R. Gestión '!#REF!="Muy Alta",'R. Gestión '!#REF!="Leve"),CONCATENATE("R10C",'R. Gestión '!#REF!),"")</f>
        <v>#REF!</v>
      </c>
      <c r="L15" s="48" t="e">
        <f>IF(AND('R. Gestión '!#REF!="Muy Alta",'R. Gestión '!#REF!="Leve"),CONCATENATE("R10C",'R. Gestión '!#REF!),"")</f>
        <v>#REF!</v>
      </c>
      <c r="M15" s="48" t="e">
        <f>IF(AND('R. Gestión '!#REF!="Muy Alta",'R. Gestión '!#REF!="Leve"),CONCATENATE("R10C",'R. Gestión '!#REF!),"")</f>
        <v>#REF!</v>
      </c>
      <c r="N15" s="48" t="e">
        <f>IF(AND('R. Gestión '!#REF!="Muy Alta",'R. Gestión '!#REF!="Leve"),CONCATENATE("R10C",'R. Gestión '!#REF!),"")</f>
        <v>#REF!</v>
      </c>
      <c r="O15" s="49" t="e">
        <f>IF(AND('R. Gestión '!#REF!="Muy Alta",'R. Gestión '!#REF!="Leve"),CONCATENATE("R10C",'R. Gestión '!#REF!),"")</f>
        <v>#REF!</v>
      </c>
      <c r="P15" s="41" t="e">
        <f>IF(AND('R. Gestión '!#REF!="Muy Alta",'R. Gestión '!#REF!="Menor"),CONCATENATE("R10C",'R. Gestión '!#REF!),"")</f>
        <v>#REF!</v>
      </c>
      <c r="Q15" s="42" t="e">
        <f>IF(AND('R. Gestión '!#REF!="Muy Alta",'R. Gestión '!#REF!="Menor"),CONCATENATE("R10C",'R. Gestión '!#REF!),"")</f>
        <v>#REF!</v>
      </c>
      <c r="R15" s="42" t="e">
        <f>IF(AND('R. Gestión '!#REF!="Muy Alta",'R. Gestión '!#REF!="Menor"),CONCATENATE("R10C",'R. Gestión '!#REF!),"")</f>
        <v>#REF!</v>
      </c>
      <c r="S15" s="42" t="e">
        <f>IF(AND('R. Gestión '!#REF!="Muy Alta",'R. Gestión '!#REF!="Menor"),CONCATENATE("R10C",'R. Gestión '!#REF!),"")</f>
        <v>#REF!</v>
      </c>
      <c r="T15" s="42" t="e">
        <f>IF(AND('R. Gestión '!#REF!="Muy Alta",'R. Gestión '!#REF!="Menor"),CONCATENATE("R10C",'R. Gestión '!#REF!),"")</f>
        <v>#REF!</v>
      </c>
      <c r="U15" s="43" t="e">
        <f>IF(AND('R. Gestión '!#REF!="Muy Alta",'R. Gestión '!#REF!="Menor"),CONCATENATE("R10C",'R. Gestión '!#REF!),"")</f>
        <v>#REF!</v>
      </c>
      <c r="V15" s="47" t="e">
        <f>IF(AND('R. Gestión '!#REF!="Muy Alta",'R. Gestión '!#REF!="Moderado"),CONCATENATE("R10C",'R. Gestión '!#REF!),"")</f>
        <v>#REF!</v>
      </c>
      <c r="W15" s="48" t="e">
        <f>IF(AND('R. Gestión '!#REF!="Muy Alta",'R. Gestión '!#REF!="Moderado"),CONCATENATE("R10C",'R. Gestión '!#REF!),"")</f>
        <v>#REF!</v>
      </c>
      <c r="X15" s="48" t="e">
        <f>IF(AND('R. Gestión '!#REF!="Muy Alta",'R. Gestión '!#REF!="Moderado"),CONCATENATE("R10C",'R. Gestión '!#REF!),"")</f>
        <v>#REF!</v>
      </c>
      <c r="Y15" s="48" t="e">
        <f>IF(AND('R. Gestión '!#REF!="Muy Alta",'R. Gestión '!#REF!="Moderado"),CONCATENATE("R10C",'R. Gestión '!#REF!),"")</f>
        <v>#REF!</v>
      </c>
      <c r="Z15" s="48" t="e">
        <f>IF(AND('R. Gestión '!#REF!="Muy Alta",'R. Gestión '!#REF!="Moderado"),CONCATENATE("R10C",'R. Gestión '!#REF!),"")</f>
        <v>#REF!</v>
      </c>
      <c r="AA15" s="49" t="e">
        <f>IF(AND('R. Gestión '!#REF!="Muy Alta",'R. Gestión '!#REF!="Moderado"),CONCATENATE("R10C",'R. Gestión '!#REF!),"")</f>
        <v>#REF!</v>
      </c>
      <c r="AB15" s="41" t="e">
        <f>IF(AND('R. Gestión '!#REF!="Muy Alta",'R. Gestión '!#REF!="Mayor"),CONCATENATE("R10C",'R. Gestión '!#REF!),"")</f>
        <v>#REF!</v>
      </c>
      <c r="AC15" s="42" t="e">
        <f>IF(AND('R. Gestión '!#REF!="Muy Alta",'R. Gestión '!#REF!="Mayor"),CONCATENATE("R10C",'R. Gestión '!#REF!),"")</f>
        <v>#REF!</v>
      </c>
      <c r="AD15" s="42" t="e">
        <f>IF(AND('R. Gestión '!#REF!="Muy Alta",'R. Gestión '!#REF!="Mayor"),CONCATENATE("R10C",'R. Gestión '!#REF!),"")</f>
        <v>#REF!</v>
      </c>
      <c r="AE15" s="42" t="e">
        <f>IF(AND('R. Gestión '!#REF!="Muy Alta",'R. Gestión '!#REF!="Mayor"),CONCATENATE("R10C",'R. Gestión '!#REF!),"")</f>
        <v>#REF!</v>
      </c>
      <c r="AF15" s="42" t="e">
        <f>IF(AND('R. Gestión '!#REF!="Muy Alta",'R. Gestión '!#REF!="Mayor"),CONCATENATE("R10C",'R. Gestión '!#REF!),"")</f>
        <v>#REF!</v>
      </c>
      <c r="AG15" s="43" t="e">
        <f>IF(AND('R. Gestión '!#REF!="Muy Alta",'R. Gestión '!#REF!="Mayor"),CONCATENATE("R10C",'R. Gestión '!#REF!),"")</f>
        <v>#REF!</v>
      </c>
      <c r="AH15" s="50" t="e">
        <f>IF(AND('R. Gestión '!#REF!="Muy Alta",'R. Gestión '!#REF!="Catastrófico"),CONCATENATE("R10C",'R. Gestión '!#REF!),"")</f>
        <v>#REF!</v>
      </c>
      <c r="AI15" s="51" t="e">
        <f>IF(AND('R. Gestión '!#REF!="Muy Alta",'R. Gestión '!#REF!="Catastrófico"),CONCATENATE("R10C",'R. Gestión '!#REF!),"")</f>
        <v>#REF!</v>
      </c>
      <c r="AJ15" s="51" t="e">
        <f>IF(AND('R. Gestión '!#REF!="Muy Alta",'R. Gestión '!#REF!="Catastrófico"),CONCATENATE("R10C",'R. Gestión '!#REF!),"")</f>
        <v>#REF!</v>
      </c>
      <c r="AK15" s="51" t="e">
        <f>IF(AND('R. Gestión '!#REF!="Muy Alta",'R. Gestión '!#REF!="Catastrófico"),CONCATENATE("R10C",'R. Gestión '!#REF!),"")</f>
        <v>#REF!</v>
      </c>
      <c r="AL15" s="51" t="e">
        <f>IF(AND('R. Gestión '!#REF!="Muy Alta",'R. Gestión '!#REF!="Catastrófico"),CONCATENATE("R10C",'R. Gestión '!#REF!),"")</f>
        <v>#REF!</v>
      </c>
      <c r="AM15" s="52" t="e">
        <f>IF(AND('R. Gestión '!#REF!="Muy Alta",'R. Gestión '!#REF!="Catastrófico"),CONCATENATE("R10C",'R. Gestión '!#REF!),"")</f>
        <v>#REF!</v>
      </c>
      <c r="AN15" s="72"/>
      <c r="AO15" s="727"/>
      <c r="AP15" s="728"/>
      <c r="AQ15" s="728"/>
      <c r="AR15" s="728"/>
      <c r="AS15" s="728"/>
      <c r="AT15" s="729"/>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x14ac:dyDescent="0.25">
      <c r="A16" s="72"/>
      <c r="B16" s="663"/>
      <c r="C16" s="663"/>
      <c r="D16" s="664"/>
      <c r="E16" s="701" t="s">
        <v>99</v>
      </c>
      <c r="F16" s="702"/>
      <c r="G16" s="702"/>
      <c r="H16" s="702"/>
      <c r="I16" s="702"/>
      <c r="J16" s="53" t="e">
        <f>IF(AND('R. Gestión '!#REF!="Alta",'R. Gestión '!#REF!="Leve"),CONCATENATE("R1C",'R. Gestión '!#REF!),"")</f>
        <v>#REF!</v>
      </c>
      <c r="K16" s="54" t="e">
        <f>IF(AND('R. Gestión '!#REF!="Alta",'R. Gestión '!#REF!="Leve"),CONCATENATE("R1C",'R. Gestión '!#REF!),"")</f>
        <v>#REF!</v>
      </c>
      <c r="L16" s="54" t="e">
        <f>IF(AND('R. Gestión '!#REF!="Alta",'R. Gestión '!#REF!="Leve"),CONCATENATE("R1C",'R. Gestión '!#REF!),"")</f>
        <v>#REF!</v>
      </c>
      <c r="M16" s="54" t="e">
        <f>IF(AND('R. Gestión '!#REF!="Alta",'R. Gestión '!#REF!="Leve"),CONCATENATE("R1C",'R. Gestión '!#REF!),"")</f>
        <v>#REF!</v>
      </c>
      <c r="N16" s="54" t="e">
        <f>IF(AND('R. Gestión '!#REF!="Alta",'R. Gestión '!#REF!="Leve"),CONCATENATE("R1C",'R. Gestión '!#REF!),"")</f>
        <v>#REF!</v>
      </c>
      <c r="O16" s="55" t="e">
        <f>IF(AND('R. Gestión '!#REF!="Alta",'R. Gestión '!#REF!="Leve"),CONCATENATE("R1C",'R. Gestión '!#REF!),"")</f>
        <v>#REF!</v>
      </c>
      <c r="P16" s="53" t="e">
        <f>IF(AND('R. Gestión '!#REF!="Alta",'R. Gestión '!#REF!="Menor"),CONCATENATE("R1C",'R. Gestión '!#REF!),"")</f>
        <v>#REF!</v>
      </c>
      <c r="Q16" s="54" t="e">
        <f>IF(AND('R. Gestión '!#REF!="Alta",'R. Gestión '!#REF!="Menor"),CONCATENATE("R1C",'R. Gestión '!#REF!),"")</f>
        <v>#REF!</v>
      </c>
      <c r="R16" s="54" t="e">
        <f>IF(AND('R. Gestión '!#REF!="Alta",'R. Gestión '!#REF!="Menor"),CONCATENATE("R1C",'R. Gestión '!#REF!),"")</f>
        <v>#REF!</v>
      </c>
      <c r="S16" s="54" t="e">
        <f>IF(AND('R. Gestión '!#REF!="Alta",'R. Gestión '!#REF!="Menor"),CONCATENATE("R1C",'R. Gestión '!#REF!),"")</f>
        <v>#REF!</v>
      </c>
      <c r="T16" s="54" t="e">
        <f>IF(AND('R. Gestión '!#REF!="Alta",'R. Gestión '!#REF!="Menor"),CONCATENATE("R1C",'R. Gestión '!#REF!),"")</f>
        <v>#REF!</v>
      </c>
      <c r="U16" s="55" t="e">
        <f>IF(AND('R. Gestión '!#REF!="Alta",'R. Gestión '!#REF!="Menor"),CONCATENATE("R1C",'R. Gestión '!#REF!),"")</f>
        <v>#REF!</v>
      </c>
      <c r="V16" s="35" t="e">
        <f>IF(AND('R. Gestión '!#REF!="Alta",'R. Gestión '!#REF!="Moderado"),CONCATENATE("R1C",'R. Gestión '!#REF!),"")</f>
        <v>#REF!</v>
      </c>
      <c r="W16" s="36" t="e">
        <f>IF(AND('R. Gestión '!#REF!="Alta",'R. Gestión '!#REF!="Moderado"),CONCATENATE("R1C",'R. Gestión '!#REF!),"")</f>
        <v>#REF!</v>
      </c>
      <c r="X16" s="36" t="e">
        <f>IF(AND('R. Gestión '!#REF!="Alta",'R. Gestión '!#REF!="Moderado"),CONCATENATE("R1C",'R. Gestión '!#REF!),"")</f>
        <v>#REF!</v>
      </c>
      <c r="Y16" s="36" t="e">
        <f>IF(AND('R. Gestión '!#REF!="Alta",'R. Gestión '!#REF!="Moderado"),CONCATENATE("R1C",'R. Gestión '!#REF!),"")</f>
        <v>#REF!</v>
      </c>
      <c r="Z16" s="36" t="e">
        <f>IF(AND('R. Gestión '!#REF!="Alta",'R. Gestión '!#REF!="Moderado"),CONCATENATE("R1C",'R. Gestión '!#REF!),"")</f>
        <v>#REF!</v>
      </c>
      <c r="AA16" s="37" t="e">
        <f>IF(AND('R. Gestión '!#REF!="Alta",'R. Gestión '!#REF!="Moderado"),CONCATENATE("R1C",'R. Gestión '!#REF!),"")</f>
        <v>#REF!</v>
      </c>
      <c r="AB16" s="35" t="e">
        <f>IF(AND('R. Gestión '!#REF!="Alta",'R. Gestión '!#REF!="Mayor"),CONCATENATE("R1C",'R. Gestión '!#REF!),"")</f>
        <v>#REF!</v>
      </c>
      <c r="AC16" s="36" t="e">
        <f>IF(AND('R. Gestión '!#REF!="Alta",'R. Gestión '!#REF!="Mayor"),CONCATENATE("R1C",'R. Gestión '!#REF!),"")</f>
        <v>#REF!</v>
      </c>
      <c r="AD16" s="36" t="e">
        <f>IF(AND('R. Gestión '!#REF!="Alta",'R. Gestión '!#REF!="Mayor"),CONCATENATE("R1C",'R. Gestión '!#REF!),"")</f>
        <v>#REF!</v>
      </c>
      <c r="AE16" s="36" t="e">
        <f>IF(AND('R. Gestión '!#REF!="Alta",'R. Gestión '!#REF!="Mayor"),CONCATENATE("R1C",'R. Gestión '!#REF!),"")</f>
        <v>#REF!</v>
      </c>
      <c r="AF16" s="36" t="e">
        <f>IF(AND('R. Gestión '!#REF!="Alta",'R. Gestión '!#REF!="Mayor"),CONCATENATE("R1C",'R. Gestión '!#REF!),"")</f>
        <v>#REF!</v>
      </c>
      <c r="AG16" s="37" t="e">
        <f>IF(AND('R. Gestión '!#REF!="Alta",'R. Gestión '!#REF!="Mayor"),CONCATENATE("R1C",'R. Gestión '!#REF!),"")</f>
        <v>#REF!</v>
      </c>
      <c r="AH16" s="38" t="e">
        <f>IF(AND('R. Gestión '!#REF!="Alta",'R. Gestión '!#REF!="Catastrófico"),CONCATENATE("R1C",'R. Gestión '!#REF!),"")</f>
        <v>#REF!</v>
      </c>
      <c r="AI16" s="39" t="e">
        <f>IF(AND('R. Gestión '!#REF!="Alta",'R. Gestión '!#REF!="Catastrófico"),CONCATENATE("R1C",'R. Gestión '!#REF!),"")</f>
        <v>#REF!</v>
      </c>
      <c r="AJ16" s="39" t="e">
        <f>IF(AND('R. Gestión '!#REF!="Alta",'R. Gestión '!#REF!="Catastrófico"),CONCATENATE("R1C",'R. Gestión '!#REF!),"")</f>
        <v>#REF!</v>
      </c>
      <c r="AK16" s="39" t="e">
        <f>IF(AND('R. Gestión '!#REF!="Alta",'R. Gestión '!#REF!="Catastrófico"),CONCATENATE("R1C",'R. Gestión '!#REF!),"")</f>
        <v>#REF!</v>
      </c>
      <c r="AL16" s="39" t="e">
        <f>IF(AND('R. Gestión '!#REF!="Alta",'R. Gestión '!#REF!="Catastrófico"),CONCATENATE("R1C",'R. Gestión '!#REF!),"")</f>
        <v>#REF!</v>
      </c>
      <c r="AM16" s="40" t="e">
        <f>IF(AND('R. Gestión '!#REF!="Alta",'R. Gestión '!#REF!="Catastrófico"),CONCATENATE("R1C",'R. Gestión '!#REF!),"")</f>
        <v>#REF!</v>
      </c>
      <c r="AN16" s="72"/>
      <c r="AO16" s="711" t="s">
        <v>66</v>
      </c>
      <c r="AP16" s="712"/>
      <c r="AQ16" s="712"/>
      <c r="AR16" s="712"/>
      <c r="AS16" s="712"/>
      <c r="AT16" s="713"/>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x14ac:dyDescent="0.25">
      <c r="A17" s="72"/>
      <c r="B17" s="663"/>
      <c r="C17" s="663"/>
      <c r="D17" s="664"/>
      <c r="E17" s="720"/>
      <c r="F17" s="705"/>
      <c r="G17" s="705"/>
      <c r="H17" s="705"/>
      <c r="I17" s="705"/>
      <c r="J17" s="56" t="e">
        <f>IF(AND('R. Gestión '!#REF!="Alta",'R. Gestión '!#REF!="Leve"),CONCATENATE("R2C",'R. Gestión '!#REF!),"")</f>
        <v>#REF!</v>
      </c>
      <c r="K17" s="57" t="e">
        <f>IF(AND('R. Gestión '!#REF!="Alta",'R. Gestión '!#REF!="Leve"),CONCATENATE("R2C",'R. Gestión '!#REF!),"")</f>
        <v>#REF!</v>
      </c>
      <c r="L17" s="57" t="e">
        <f>IF(AND('R. Gestión '!#REF!="Alta",'R. Gestión '!#REF!="Leve"),CONCATENATE("R2C",'R. Gestión '!#REF!),"")</f>
        <v>#REF!</v>
      </c>
      <c r="M17" s="57" t="e">
        <f>IF(AND('R. Gestión '!#REF!="Alta",'R. Gestión '!#REF!="Leve"),CONCATENATE("R2C",'R. Gestión '!#REF!),"")</f>
        <v>#REF!</v>
      </c>
      <c r="N17" s="57" t="e">
        <f>IF(AND('R. Gestión '!#REF!="Alta",'R. Gestión '!#REF!="Leve"),CONCATENATE("R2C",'R. Gestión '!#REF!),"")</f>
        <v>#REF!</v>
      </c>
      <c r="O17" s="58" t="e">
        <f>IF(AND('R. Gestión '!#REF!="Alta",'R. Gestión '!#REF!="Leve"),CONCATENATE("R2C",'R. Gestión '!#REF!),"")</f>
        <v>#REF!</v>
      </c>
      <c r="P17" s="56" t="e">
        <f>IF(AND('R. Gestión '!#REF!="Alta",'R. Gestión '!#REF!="Menor"),CONCATENATE("R2C",'R. Gestión '!#REF!),"")</f>
        <v>#REF!</v>
      </c>
      <c r="Q17" s="57" t="e">
        <f>IF(AND('R. Gestión '!#REF!="Alta",'R. Gestión '!#REF!="Menor"),CONCATENATE("R2C",'R. Gestión '!#REF!),"")</f>
        <v>#REF!</v>
      </c>
      <c r="R17" s="57" t="e">
        <f>IF(AND('R. Gestión '!#REF!="Alta",'R. Gestión '!#REF!="Menor"),CONCATENATE("R2C",'R. Gestión '!#REF!),"")</f>
        <v>#REF!</v>
      </c>
      <c r="S17" s="57" t="e">
        <f>IF(AND('R. Gestión '!#REF!="Alta",'R. Gestión '!#REF!="Menor"),CONCATENATE("R2C",'R. Gestión '!#REF!),"")</f>
        <v>#REF!</v>
      </c>
      <c r="T17" s="57" t="e">
        <f>IF(AND('R. Gestión '!#REF!="Alta",'R. Gestión '!#REF!="Menor"),CONCATENATE("R2C",'R. Gestión '!#REF!),"")</f>
        <v>#REF!</v>
      </c>
      <c r="U17" s="58" t="e">
        <f>IF(AND('R. Gestión '!#REF!="Alta",'R. Gestión '!#REF!="Menor"),CONCATENATE("R2C",'R. Gestión '!#REF!),"")</f>
        <v>#REF!</v>
      </c>
      <c r="V17" s="41" t="e">
        <f>IF(AND('R. Gestión '!#REF!="Alta",'R. Gestión '!#REF!="Moderado"),CONCATENATE("R2C",'R. Gestión '!#REF!),"")</f>
        <v>#REF!</v>
      </c>
      <c r="W17" s="42" t="e">
        <f>IF(AND('R. Gestión '!#REF!="Alta",'R. Gestión '!#REF!="Moderado"),CONCATENATE("R2C",'R. Gestión '!#REF!),"")</f>
        <v>#REF!</v>
      </c>
      <c r="X17" s="42" t="e">
        <f>IF(AND('R. Gestión '!#REF!="Alta",'R. Gestión '!#REF!="Moderado"),CONCATENATE("R2C",'R. Gestión '!#REF!),"")</f>
        <v>#REF!</v>
      </c>
      <c r="Y17" s="42" t="e">
        <f>IF(AND('R. Gestión '!#REF!="Alta",'R. Gestión '!#REF!="Moderado"),CONCATENATE("R2C",'R. Gestión '!#REF!),"")</f>
        <v>#REF!</v>
      </c>
      <c r="Z17" s="42" t="e">
        <f>IF(AND('R. Gestión '!#REF!="Alta",'R. Gestión '!#REF!="Moderado"),CONCATENATE("R2C",'R. Gestión '!#REF!),"")</f>
        <v>#REF!</v>
      </c>
      <c r="AA17" s="43" t="e">
        <f>IF(AND('R. Gestión '!#REF!="Alta",'R. Gestión '!#REF!="Moderado"),CONCATENATE("R2C",'R. Gestión '!#REF!),"")</f>
        <v>#REF!</v>
      </c>
      <c r="AB17" s="41" t="e">
        <f>IF(AND('R. Gestión '!#REF!="Alta",'R. Gestión '!#REF!="Mayor"),CONCATENATE("R2C",'R. Gestión '!#REF!),"")</f>
        <v>#REF!</v>
      </c>
      <c r="AC17" s="42" t="e">
        <f>IF(AND('R. Gestión '!#REF!="Alta",'R. Gestión '!#REF!="Mayor"),CONCATENATE("R2C",'R. Gestión '!#REF!),"")</f>
        <v>#REF!</v>
      </c>
      <c r="AD17" s="42" t="e">
        <f>IF(AND('R. Gestión '!#REF!="Alta",'R. Gestión '!#REF!="Mayor"),CONCATENATE("R2C",'R. Gestión '!#REF!),"")</f>
        <v>#REF!</v>
      </c>
      <c r="AE17" s="42" t="e">
        <f>IF(AND('R. Gestión '!#REF!="Alta",'R. Gestión '!#REF!="Mayor"),CONCATENATE("R2C",'R. Gestión '!#REF!),"")</f>
        <v>#REF!</v>
      </c>
      <c r="AF17" s="42" t="e">
        <f>IF(AND('R. Gestión '!#REF!="Alta",'R. Gestión '!#REF!="Mayor"),CONCATENATE("R2C",'R. Gestión '!#REF!),"")</f>
        <v>#REF!</v>
      </c>
      <c r="AG17" s="43" t="e">
        <f>IF(AND('R. Gestión '!#REF!="Alta",'R. Gestión '!#REF!="Mayor"),CONCATENATE("R2C",'R. Gestión '!#REF!),"")</f>
        <v>#REF!</v>
      </c>
      <c r="AH17" s="44" t="e">
        <f>IF(AND('R. Gestión '!#REF!="Alta",'R. Gestión '!#REF!="Catastrófico"),CONCATENATE("R2C",'R. Gestión '!#REF!),"")</f>
        <v>#REF!</v>
      </c>
      <c r="AI17" s="45" t="e">
        <f>IF(AND('R. Gestión '!#REF!="Alta",'R. Gestión '!#REF!="Catastrófico"),CONCATENATE("R2C",'R. Gestión '!#REF!),"")</f>
        <v>#REF!</v>
      </c>
      <c r="AJ17" s="45" t="e">
        <f>IF(AND('R. Gestión '!#REF!="Alta",'R. Gestión '!#REF!="Catastrófico"),CONCATENATE("R2C",'R. Gestión '!#REF!),"")</f>
        <v>#REF!</v>
      </c>
      <c r="AK17" s="45" t="e">
        <f>IF(AND('R. Gestión '!#REF!="Alta",'R. Gestión '!#REF!="Catastrófico"),CONCATENATE("R2C",'R. Gestión '!#REF!),"")</f>
        <v>#REF!</v>
      </c>
      <c r="AL17" s="45" t="e">
        <f>IF(AND('R. Gestión '!#REF!="Alta",'R. Gestión '!#REF!="Catastrófico"),CONCATENATE("R2C",'R. Gestión '!#REF!),"")</f>
        <v>#REF!</v>
      </c>
      <c r="AM17" s="46" t="e">
        <f>IF(AND('R. Gestión '!#REF!="Alta",'R. Gestión '!#REF!="Catastrófico"),CONCATENATE("R2C",'R. Gestión '!#REF!),"")</f>
        <v>#REF!</v>
      </c>
      <c r="AN17" s="72"/>
      <c r="AO17" s="714"/>
      <c r="AP17" s="715"/>
      <c r="AQ17" s="715"/>
      <c r="AR17" s="715"/>
      <c r="AS17" s="715"/>
      <c r="AT17" s="716"/>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x14ac:dyDescent="0.25">
      <c r="A18" s="72"/>
      <c r="B18" s="663"/>
      <c r="C18" s="663"/>
      <c r="D18" s="664"/>
      <c r="E18" s="704"/>
      <c r="F18" s="705"/>
      <c r="G18" s="705"/>
      <c r="H18" s="705"/>
      <c r="I18" s="705"/>
      <c r="J18" s="56" t="e">
        <f>IF(AND('R. Gestión '!#REF!="Alta",'R. Gestión '!#REF!="Leve"),CONCATENATE("R3C",'R. Gestión '!#REF!),"")</f>
        <v>#REF!</v>
      </c>
      <c r="K18" s="57" t="e">
        <f>IF(AND('R. Gestión '!#REF!="Alta",'R. Gestión '!#REF!="Leve"),CONCATENATE("R3C",'R. Gestión '!#REF!),"")</f>
        <v>#REF!</v>
      </c>
      <c r="L18" s="57" t="e">
        <f>IF(AND('R. Gestión '!#REF!="Alta",'R. Gestión '!#REF!="Leve"),CONCATENATE("R3C",'R. Gestión '!#REF!),"")</f>
        <v>#REF!</v>
      </c>
      <c r="M18" s="57" t="e">
        <f>IF(AND('R. Gestión '!#REF!="Alta",'R. Gestión '!#REF!="Leve"),CONCATENATE("R3C",'R. Gestión '!#REF!),"")</f>
        <v>#REF!</v>
      </c>
      <c r="N18" s="57" t="e">
        <f>IF(AND('R. Gestión '!#REF!="Alta",'R. Gestión '!#REF!="Leve"),CONCATENATE("R3C",'R. Gestión '!#REF!),"")</f>
        <v>#REF!</v>
      </c>
      <c r="O18" s="58" t="e">
        <f>IF(AND('R. Gestión '!#REF!="Alta",'R. Gestión '!#REF!="Leve"),CONCATENATE("R3C",'R. Gestión '!#REF!),"")</f>
        <v>#REF!</v>
      </c>
      <c r="P18" s="56" t="e">
        <f>IF(AND('R. Gestión '!#REF!="Alta",'R. Gestión '!#REF!="Menor"),CONCATENATE("R3C",'R. Gestión '!#REF!),"")</f>
        <v>#REF!</v>
      </c>
      <c r="Q18" s="57" t="e">
        <f>IF(AND('R. Gestión '!#REF!="Alta",'R. Gestión '!#REF!="Menor"),CONCATENATE("R3C",'R. Gestión '!#REF!),"")</f>
        <v>#REF!</v>
      </c>
      <c r="R18" s="57" t="e">
        <f>IF(AND('R. Gestión '!#REF!="Alta",'R. Gestión '!#REF!="Menor"),CONCATENATE("R3C",'R. Gestión '!#REF!),"")</f>
        <v>#REF!</v>
      </c>
      <c r="S18" s="57" t="e">
        <f>IF(AND('R. Gestión '!#REF!="Alta",'R. Gestión '!#REF!="Menor"),CONCATENATE("R3C",'R. Gestión '!#REF!),"")</f>
        <v>#REF!</v>
      </c>
      <c r="T18" s="57" t="e">
        <f>IF(AND('R. Gestión '!#REF!="Alta",'R. Gestión '!#REF!="Menor"),CONCATENATE("R3C",'R. Gestión '!#REF!),"")</f>
        <v>#REF!</v>
      </c>
      <c r="U18" s="58" t="e">
        <f>IF(AND('R. Gestión '!#REF!="Alta",'R. Gestión '!#REF!="Menor"),CONCATENATE("R3C",'R. Gestión '!#REF!),"")</f>
        <v>#REF!</v>
      </c>
      <c r="V18" s="41" t="e">
        <f>IF(AND('R. Gestión '!#REF!="Alta",'R. Gestión '!#REF!="Moderado"),CONCATENATE("R3C",'R. Gestión '!#REF!),"")</f>
        <v>#REF!</v>
      </c>
      <c r="W18" s="42" t="e">
        <f>IF(AND('R. Gestión '!#REF!="Alta",'R. Gestión '!#REF!="Moderado"),CONCATENATE("R3C",'R. Gestión '!#REF!),"")</f>
        <v>#REF!</v>
      </c>
      <c r="X18" s="42" t="e">
        <f>IF(AND('R. Gestión '!#REF!="Alta",'R. Gestión '!#REF!="Moderado"),CONCATENATE("R3C",'R. Gestión '!#REF!),"")</f>
        <v>#REF!</v>
      </c>
      <c r="Y18" s="42" t="e">
        <f>IF(AND('R. Gestión '!#REF!="Alta",'R. Gestión '!#REF!="Moderado"),CONCATENATE("R3C",'R. Gestión '!#REF!),"")</f>
        <v>#REF!</v>
      </c>
      <c r="Z18" s="42" t="e">
        <f>IF(AND('R. Gestión '!#REF!="Alta",'R. Gestión '!#REF!="Moderado"),CONCATENATE("R3C",'R. Gestión '!#REF!),"")</f>
        <v>#REF!</v>
      </c>
      <c r="AA18" s="43" t="e">
        <f>IF(AND('R. Gestión '!#REF!="Alta",'R. Gestión '!#REF!="Moderado"),CONCATENATE("R3C",'R. Gestión '!#REF!),"")</f>
        <v>#REF!</v>
      </c>
      <c r="AB18" s="41" t="e">
        <f>IF(AND('R. Gestión '!#REF!="Alta",'R. Gestión '!#REF!="Mayor"),CONCATENATE("R3C",'R. Gestión '!#REF!),"")</f>
        <v>#REF!</v>
      </c>
      <c r="AC18" s="42" t="e">
        <f>IF(AND('R. Gestión '!#REF!="Alta",'R. Gestión '!#REF!="Mayor"),CONCATENATE("R3C",'R. Gestión '!#REF!),"")</f>
        <v>#REF!</v>
      </c>
      <c r="AD18" s="42" t="e">
        <f>IF(AND('R. Gestión '!#REF!="Alta",'R. Gestión '!#REF!="Mayor"),CONCATENATE("R3C",'R. Gestión '!#REF!),"")</f>
        <v>#REF!</v>
      </c>
      <c r="AE18" s="42" t="e">
        <f>IF(AND('R. Gestión '!#REF!="Alta",'R. Gestión '!#REF!="Mayor"),CONCATENATE("R3C",'R. Gestión '!#REF!),"")</f>
        <v>#REF!</v>
      </c>
      <c r="AF18" s="42" t="e">
        <f>IF(AND('R. Gestión '!#REF!="Alta",'R. Gestión '!#REF!="Mayor"),CONCATENATE("R3C",'R. Gestión '!#REF!),"")</f>
        <v>#REF!</v>
      </c>
      <c r="AG18" s="43" t="e">
        <f>IF(AND('R. Gestión '!#REF!="Alta",'R. Gestión '!#REF!="Mayor"),CONCATENATE("R3C",'R. Gestión '!#REF!),"")</f>
        <v>#REF!</v>
      </c>
      <c r="AH18" s="44" t="e">
        <f>IF(AND('R. Gestión '!#REF!="Alta",'R. Gestión '!#REF!="Catastrófico"),CONCATENATE("R3C",'R. Gestión '!#REF!),"")</f>
        <v>#REF!</v>
      </c>
      <c r="AI18" s="45" t="e">
        <f>IF(AND('R. Gestión '!#REF!="Alta",'R. Gestión '!#REF!="Catastrófico"),CONCATENATE("R3C",'R. Gestión '!#REF!),"")</f>
        <v>#REF!</v>
      </c>
      <c r="AJ18" s="45" t="e">
        <f>IF(AND('R. Gestión '!#REF!="Alta",'R. Gestión '!#REF!="Catastrófico"),CONCATENATE("R3C",'R. Gestión '!#REF!),"")</f>
        <v>#REF!</v>
      </c>
      <c r="AK18" s="45" t="e">
        <f>IF(AND('R. Gestión '!#REF!="Alta",'R. Gestión '!#REF!="Catastrófico"),CONCATENATE("R3C",'R. Gestión '!#REF!),"")</f>
        <v>#REF!</v>
      </c>
      <c r="AL18" s="45" t="e">
        <f>IF(AND('R. Gestión '!#REF!="Alta",'R. Gestión '!#REF!="Catastrófico"),CONCATENATE("R3C",'R. Gestión '!#REF!),"")</f>
        <v>#REF!</v>
      </c>
      <c r="AM18" s="46" t="e">
        <f>IF(AND('R. Gestión '!#REF!="Alta",'R. Gestión '!#REF!="Catastrófico"),CONCATENATE("R3C",'R. Gestión '!#REF!),"")</f>
        <v>#REF!</v>
      </c>
      <c r="AN18" s="72"/>
      <c r="AO18" s="714"/>
      <c r="AP18" s="715"/>
      <c r="AQ18" s="715"/>
      <c r="AR18" s="715"/>
      <c r="AS18" s="715"/>
      <c r="AT18" s="716"/>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x14ac:dyDescent="0.25">
      <c r="A19" s="72"/>
      <c r="B19" s="663"/>
      <c r="C19" s="663"/>
      <c r="D19" s="664"/>
      <c r="E19" s="704"/>
      <c r="F19" s="705"/>
      <c r="G19" s="705"/>
      <c r="H19" s="705"/>
      <c r="I19" s="705"/>
      <c r="J19" s="56" t="str">
        <f>IF(AND('R. Gestión '!$AD$239="Alta",'R. Gestión '!$AF$239="Leve"),CONCATENATE("R4C",'R. Gestión '!$S$239),"")</f>
        <v/>
      </c>
      <c r="K19" s="57" t="str">
        <f>IF(AND('R. Gestión '!$AD$240="Alta",'R. Gestión '!$AF$240="Leve"),CONCATENATE("R4C",'R. Gestión '!$S$240),"")</f>
        <v/>
      </c>
      <c r="L19" s="57" t="str">
        <f>IF(AND('R. Gestión '!$AD$241="Alta",'R. Gestión '!$AF$241="Leve"),CONCATENATE("R4C",'R. Gestión '!$S$241),"")</f>
        <v/>
      </c>
      <c r="M19" s="57" t="str">
        <f>IF(AND('R. Gestión '!$AD$242="Alta",'R. Gestión '!$AF$242="Leve"),CONCATENATE("R4C",'R. Gestión '!$S$242),"")</f>
        <v/>
      </c>
      <c r="N19" s="57" t="str">
        <f>IF(AND('R. Gestión '!$AD$243="Alta",'R. Gestión '!$AF$243="Leve"),CONCATENATE("R4C",'R. Gestión '!$S$243),"")</f>
        <v/>
      </c>
      <c r="O19" s="58" t="str">
        <f>IF(AND('R. Gestión '!$AD$244="Alta",'R. Gestión '!$AF$244="Leve"),CONCATENATE("R4C",'R. Gestión '!$S$244),"")</f>
        <v/>
      </c>
      <c r="P19" s="56" t="str">
        <f>IF(AND('R. Gestión '!$AD$239="Alta",'R. Gestión '!$AF$239="Menor"),CONCATENATE("R4C",'R. Gestión '!$S$239),"")</f>
        <v/>
      </c>
      <c r="Q19" s="57" t="str">
        <f>IF(AND('R. Gestión '!$AD$240="Alta",'R. Gestión '!$AF$240="Menor"),CONCATENATE("R4C",'R. Gestión '!$S$240),"")</f>
        <v/>
      </c>
      <c r="R19" s="57" t="str">
        <f>IF(AND('R. Gestión '!$AD$241="Alta",'R. Gestión '!$AF$241="Menor"),CONCATENATE("R4C",'R. Gestión '!$S$241),"")</f>
        <v/>
      </c>
      <c r="S19" s="57" t="str">
        <f>IF(AND('R. Gestión '!$AD$242="Alta",'R. Gestión '!$AF$242="Menor"),CONCATENATE("R4C",'R. Gestión '!$S$242),"")</f>
        <v/>
      </c>
      <c r="T19" s="57" t="str">
        <f>IF(AND('R. Gestión '!$AD$243="Alta",'R. Gestión '!$AF$243="Menor"),CONCATENATE("R4C",'R. Gestión '!$S$243),"")</f>
        <v/>
      </c>
      <c r="U19" s="58" t="str">
        <f>IF(AND('R. Gestión '!$AD$244="Alta",'R. Gestión '!$AF$244="Menor"),CONCATENATE("R4C",'R. Gestión '!$S$244),"")</f>
        <v/>
      </c>
      <c r="V19" s="41" t="str">
        <f>IF(AND('R. Gestión '!$AD$239="Alta",'R. Gestión '!$AF$239="Moderado"),CONCATENATE("R4C",'R. Gestión '!$S$239),"")</f>
        <v/>
      </c>
      <c r="W19" s="42" t="str">
        <f>IF(AND('R. Gestión '!$AD$240="Alta",'R. Gestión '!$AF$240="Moderado"),CONCATENATE("R4C",'R. Gestión '!$S$240),"")</f>
        <v/>
      </c>
      <c r="X19" s="42" t="str">
        <f>IF(AND('R. Gestión '!$AD$241="Alta",'R. Gestión '!$AF$241="Moderado"),CONCATENATE("R4C",'R. Gestión '!$S$241),"")</f>
        <v/>
      </c>
      <c r="Y19" s="42" t="str">
        <f>IF(AND('R. Gestión '!$AD$242="Alta",'R. Gestión '!$AF$242="Moderado"),CONCATENATE("R4C",'R. Gestión '!$S$242),"")</f>
        <v/>
      </c>
      <c r="Z19" s="42" t="str">
        <f>IF(AND('R. Gestión '!$AD$243="Alta",'R. Gestión '!$AF$243="Moderado"),CONCATENATE("R4C",'R. Gestión '!$S$243),"")</f>
        <v/>
      </c>
      <c r="AA19" s="43" t="str">
        <f>IF(AND('R. Gestión '!$AD$244="Alta",'R. Gestión '!$AF$244="Moderado"),CONCATENATE("R4C",'R. Gestión '!$S$244),"")</f>
        <v/>
      </c>
      <c r="AB19" s="41" t="str">
        <f>IF(AND('R. Gestión '!$AD$239="Alta",'R. Gestión '!$AF$239="Mayor"),CONCATENATE("R4C",'R. Gestión '!$S$239),"")</f>
        <v/>
      </c>
      <c r="AC19" s="42" t="str">
        <f>IF(AND('R. Gestión '!$AD$240="Alta",'R. Gestión '!$AF$240="Mayor"),CONCATENATE("R4C",'R. Gestión '!$S$240),"")</f>
        <v/>
      </c>
      <c r="AD19" s="42" t="str">
        <f>IF(AND('R. Gestión '!$AD$241="Alta",'R. Gestión '!$AF$241="Mayor"),CONCATENATE("R4C",'R. Gestión '!$S$241),"")</f>
        <v/>
      </c>
      <c r="AE19" s="42" t="str">
        <f>IF(AND('R. Gestión '!$AD$242="Alta",'R. Gestión '!$AF$242="Mayor"),CONCATENATE("R4C",'R. Gestión '!$S$242),"")</f>
        <v/>
      </c>
      <c r="AF19" s="42" t="str">
        <f>IF(AND('R. Gestión '!$AD$243="Alta",'R. Gestión '!$AF$243="Mayor"),CONCATENATE("R4C",'R. Gestión '!$S$243),"")</f>
        <v/>
      </c>
      <c r="AG19" s="43" t="str">
        <f>IF(AND('R. Gestión '!$AD$244="Alta",'R. Gestión '!$AF$244="Mayor"),CONCATENATE("R4C",'R. Gestión '!$S$244),"")</f>
        <v/>
      </c>
      <c r="AH19" s="44" t="str">
        <f>IF(AND('R. Gestión '!$AD$239="Alta",'R. Gestión '!$AF$239="Catastrófico"),CONCATENATE("R4C",'R. Gestión '!$S$239),"")</f>
        <v/>
      </c>
      <c r="AI19" s="45" t="str">
        <f>IF(AND('R. Gestión '!$AD$240="Alta",'R. Gestión '!$AF$240="Catastrófico"),CONCATENATE("R4C",'R. Gestión '!$S$240),"")</f>
        <v/>
      </c>
      <c r="AJ19" s="45" t="str">
        <f>IF(AND('R. Gestión '!$AD$241="Alta",'R. Gestión '!$AF$241="Catastrófico"),CONCATENATE("R4C",'R. Gestión '!$S$241),"")</f>
        <v/>
      </c>
      <c r="AK19" s="45" t="str">
        <f>IF(AND('R. Gestión '!$AD$242="Alta",'R. Gestión '!$AF$242="Catastrófico"),CONCATENATE("R4C",'R. Gestión '!$S$242),"")</f>
        <v/>
      </c>
      <c r="AL19" s="45" t="str">
        <f>IF(AND('R. Gestión '!$AD$243="Alta",'R. Gestión '!$AF$243="Catastrófico"),CONCATENATE("R4C",'R. Gestión '!$S$243),"")</f>
        <v/>
      </c>
      <c r="AM19" s="46" t="str">
        <f>IF(AND('R. Gestión '!$AD$244="Alta",'R. Gestión '!$AF$244="Catastrófico"),CONCATENATE("R4C",'R. Gestión '!$S$244),"")</f>
        <v/>
      </c>
      <c r="AN19" s="72"/>
      <c r="AO19" s="714"/>
      <c r="AP19" s="715"/>
      <c r="AQ19" s="715"/>
      <c r="AR19" s="715"/>
      <c r="AS19" s="715"/>
      <c r="AT19" s="716"/>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x14ac:dyDescent="0.25">
      <c r="A20" s="72"/>
      <c r="B20" s="663"/>
      <c r="C20" s="663"/>
      <c r="D20" s="664"/>
      <c r="E20" s="704"/>
      <c r="F20" s="705"/>
      <c r="G20" s="705"/>
      <c r="H20" s="705"/>
      <c r="I20" s="705"/>
      <c r="J20" s="56" t="str">
        <f>IF(AND('R. Gestión '!$AD$257="Alta",'R. Gestión '!$AF$257="Leve"),CONCATENATE("R5C",'R. Gestión '!$S$257),"")</f>
        <v/>
      </c>
      <c r="K20" s="57" t="str">
        <f>IF(AND('R. Gestión '!$AD$258="Alta",'R. Gestión '!$AF$258="Leve"),CONCATENATE("R5C",'R. Gestión '!$S$258),"")</f>
        <v/>
      </c>
      <c r="L20" s="57" t="str">
        <f>IF(AND('R. Gestión '!$AD$259="Alta",'R. Gestión '!$AF$259="Leve"),CONCATENATE("R5C",'R. Gestión '!$S$259),"")</f>
        <v/>
      </c>
      <c r="M20" s="57" t="str">
        <f>IF(AND('R. Gestión '!$AD$260="Alta",'R. Gestión '!$AF$260="Leve"),CONCATENATE("R5C",'R. Gestión '!$S$260),"")</f>
        <v/>
      </c>
      <c r="N20" s="57" t="str">
        <f>IF(AND('R. Gestión '!$AD$261="Alta",'R. Gestión '!$AF$261="Leve"),CONCATENATE("R5C",'R. Gestión '!$S$261),"")</f>
        <v/>
      </c>
      <c r="O20" s="58" t="str">
        <f>IF(AND('R. Gestión '!$AD$262="Alta",'R. Gestión '!$AF$262="Leve"),CONCATENATE("R5C",'R. Gestión '!$S$262),"")</f>
        <v/>
      </c>
      <c r="P20" s="56" t="str">
        <f>IF(AND('R. Gestión '!$AD$257="Alta",'R. Gestión '!$AF$257="Menor"),CONCATENATE("R5C",'R. Gestión '!$S$257),"")</f>
        <v/>
      </c>
      <c r="Q20" s="57" t="str">
        <f>IF(AND('R. Gestión '!$AD$258="Alta",'R. Gestión '!$AF$258="Menor"),CONCATENATE("R5C",'R. Gestión '!$S$258),"")</f>
        <v/>
      </c>
      <c r="R20" s="57" t="str">
        <f>IF(AND('R. Gestión '!$AD$259="Alta",'R. Gestión '!$AF$259="Menor"),CONCATENATE("R5C",'R. Gestión '!$S$259),"")</f>
        <v/>
      </c>
      <c r="S20" s="57" t="str">
        <f>IF(AND('R. Gestión '!$AD$260="Alta",'R. Gestión '!$AF$260="Menor"),CONCATENATE("R5C",'R. Gestión '!$S$260),"")</f>
        <v/>
      </c>
      <c r="T20" s="57" t="str">
        <f>IF(AND('R. Gestión '!$AD$261="Alta",'R. Gestión '!$AF$261="Menor"),CONCATENATE("R5C",'R. Gestión '!$S$261),"")</f>
        <v/>
      </c>
      <c r="U20" s="58" t="str">
        <f>IF(AND('R. Gestión '!$AD$262="Alta",'R. Gestión '!$AF$262="Menor"),CONCATENATE("R5C",'R. Gestión '!$S$262),"")</f>
        <v/>
      </c>
      <c r="V20" s="41" t="str">
        <f>IF(AND('R. Gestión '!$AD$257="Alta",'R. Gestión '!$AF$257="Moderado"),CONCATENATE("R5C",'R. Gestión '!$S$257),"")</f>
        <v/>
      </c>
      <c r="W20" s="42" t="str">
        <f>IF(AND('R. Gestión '!$AD$258="Alta",'R. Gestión '!$AF$258="Moderado"),CONCATENATE("R5C",'R. Gestión '!$S$258),"")</f>
        <v/>
      </c>
      <c r="X20" s="42" t="str">
        <f>IF(AND('R. Gestión '!$AD$259="Alta",'R. Gestión '!$AF$259="Moderado"),CONCATENATE("R5C",'R. Gestión '!$S$259),"")</f>
        <v/>
      </c>
      <c r="Y20" s="42" t="str">
        <f>IF(AND('R. Gestión '!$AD$260="Alta",'R. Gestión '!$AF$260="Moderado"),CONCATENATE("R5C",'R. Gestión '!$S$260),"")</f>
        <v/>
      </c>
      <c r="Z20" s="42" t="str">
        <f>IF(AND('R. Gestión '!$AD$261="Alta",'R. Gestión '!$AF$261="Moderado"),CONCATENATE("R5C",'R. Gestión '!$S$261),"")</f>
        <v/>
      </c>
      <c r="AA20" s="43" t="str">
        <f>IF(AND('R. Gestión '!$AD$262="Alta",'R. Gestión '!$AF$262="Moderado"),CONCATENATE("R5C",'R. Gestión '!$S$262),"")</f>
        <v/>
      </c>
      <c r="AB20" s="41" t="str">
        <f>IF(AND('R. Gestión '!$AD$257="Alta",'R. Gestión '!$AF$257="Mayor"),CONCATENATE("R5C",'R. Gestión '!$S$257),"")</f>
        <v/>
      </c>
      <c r="AC20" s="42" t="str">
        <f>IF(AND('R. Gestión '!$AD$258="Alta",'R. Gestión '!$AF$258="Mayor"),CONCATENATE("R5C",'R. Gestión '!$S$258),"")</f>
        <v/>
      </c>
      <c r="AD20" s="42" t="str">
        <f>IF(AND('R. Gestión '!$AD$259="Alta",'R. Gestión '!$AF$259="Mayor"),CONCATENATE("R5C",'R. Gestión '!$S$259),"")</f>
        <v/>
      </c>
      <c r="AE20" s="42" t="str">
        <f>IF(AND('R. Gestión '!$AD$260="Alta",'R. Gestión '!$AF$260="Mayor"),CONCATENATE("R5C",'R. Gestión '!$S$260),"")</f>
        <v/>
      </c>
      <c r="AF20" s="42" t="str">
        <f>IF(AND('R. Gestión '!$AD$261="Alta",'R. Gestión '!$AF$261="Mayor"),CONCATENATE("R5C",'R. Gestión '!$S$261),"")</f>
        <v/>
      </c>
      <c r="AG20" s="43" t="str">
        <f>IF(AND('R. Gestión '!$AD$262="Alta",'R. Gestión '!$AF$262="Mayor"),CONCATENATE("R5C",'R. Gestión '!$S$262),"")</f>
        <v/>
      </c>
      <c r="AH20" s="44" t="str">
        <f>IF(AND('R. Gestión '!$AD$257="Alta",'R. Gestión '!$AF$257="Catastrófico"),CONCATENATE("R5C",'R. Gestión '!$S$257),"")</f>
        <v/>
      </c>
      <c r="AI20" s="45" t="str">
        <f>IF(AND('R. Gestión '!$AD$258="Alta",'R. Gestión '!$AF$258="Catastrófico"),CONCATENATE("R5C",'R. Gestión '!$S$258),"")</f>
        <v/>
      </c>
      <c r="AJ20" s="45" t="str">
        <f>IF(AND('R. Gestión '!$AD$259="Alta",'R. Gestión '!$AF$259="Catastrófico"),CONCATENATE("R5C",'R. Gestión '!$S$259),"")</f>
        <v/>
      </c>
      <c r="AK20" s="45" t="str">
        <f>IF(AND('R. Gestión '!$AD$260="Alta",'R. Gestión '!$AF$260="Catastrófico"),CONCATENATE("R5C",'R. Gestión '!$S$260),"")</f>
        <v/>
      </c>
      <c r="AL20" s="45" t="str">
        <f>IF(AND('R. Gestión '!$AD$261="Alta",'R. Gestión '!$AF$261="Catastrófico"),CONCATENATE("R5C",'R. Gestión '!$S$261),"")</f>
        <v/>
      </c>
      <c r="AM20" s="46" t="str">
        <f>IF(AND('R. Gestión '!$AD$262="Alta",'R. Gestión '!$AF$262="Catastrófico"),CONCATENATE("R5C",'R. Gestión '!$S$262),"")</f>
        <v/>
      </c>
      <c r="AN20" s="72"/>
      <c r="AO20" s="714"/>
      <c r="AP20" s="715"/>
      <c r="AQ20" s="715"/>
      <c r="AR20" s="715"/>
      <c r="AS20" s="715"/>
      <c r="AT20" s="716"/>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x14ac:dyDescent="0.25">
      <c r="A21" s="72"/>
      <c r="B21" s="663"/>
      <c r="C21" s="663"/>
      <c r="D21" s="664"/>
      <c r="E21" s="704"/>
      <c r="F21" s="705"/>
      <c r="G21" s="705"/>
      <c r="H21" s="705"/>
      <c r="I21" s="705"/>
      <c r="J21" s="56" t="e">
        <f>IF(AND('R. Gestión '!#REF!="Alta",'R. Gestión '!#REF!="Leve"),CONCATENATE("R6C",'R. Gestión '!#REF!),"")</f>
        <v>#REF!</v>
      </c>
      <c r="K21" s="57" t="e">
        <f>IF(AND('R. Gestión '!#REF!="Alta",'R. Gestión '!#REF!="Leve"),CONCATENATE("R6C",'R. Gestión '!#REF!),"")</f>
        <v>#REF!</v>
      </c>
      <c r="L21" s="57" t="e">
        <f>IF(AND('R. Gestión '!#REF!="Alta",'R. Gestión '!#REF!="Leve"),CONCATENATE("R6C",'R. Gestión '!#REF!),"")</f>
        <v>#REF!</v>
      </c>
      <c r="M21" s="57" t="e">
        <f>IF(AND('R. Gestión '!#REF!="Alta",'R. Gestión '!#REF!="Leve"),CONCATENATE("R6C",'R. Gestión '!#REF!),"")</f>
        <v>#REF!</v>
      </c>
      <c r="N21" s="57" t="e">
        <f>IF(AND('R. Gestión '!#REF!="Alta",'R. Gestión '!#REF!="Leve"),CONCATENATE("R6C",'R. Gestión '!#REF!),"")</f>
        <v>#REF!</v>
      </c>
      <c r="O21" s="58" t="e">
        <f>IF(AND('R. Gestión '!#REF!="Alta",'R. Gestión '!#REF!="Leve"),CONCATENATE("R6C",'R. Gestión '!#REF!),"")</f>
        <v>#REF!</v>
      </c>
      <c r="P21" s="56" t="e">
        <f>IF(AND('R. Gestión '!#REF!="Alta",'R. Gestión '!#REF!="Menor"),CONCATENATE("R6C",'R. Gestión '!#REF!),"")</f>
        <v>#REF!</v>
      </c>
      <c r="Q21" s="57" t="e">
        <f>IF(AND('R. Gestión '!#REF!="Alta",'R. Gestión '!#REF!="Menor"),CONCATENATE("R6C",'R. Gestión '!#REF!),"")</f>
        <v>#REF!</v>
      </c>
      <c r="R21" s="57" t="e">
        <f>IF(AND('R. Gestión '!#REF!="Alta",'R. Gestión '!#REF!="Menor"),CONCATENATE("R6C",'R. Gestión '!#REF!),"")</f>
        <v>#REF!</v>
      </c>
      <c r="S21" s="57" t="e">
        <f>IF(AND('R. Gestión '!#REF!="Alta",'R. Gestión '!#REF!="Menor"),CONCATENATE("R6C",'R. Gestión '!#REF!),"")</f>
        <v>#REF!</v>
      </c>
      <c r="T21" s="57" t="e">
        <f>IF(AND('R. Gestión '!#REF!="Alta",'R. Gestión '!#REF!="Menor"),CONCATENATE("R6C",'R. Gestión '!#REF!),"")</f>
        <v>#REF!</v>
      </c>
      <c r="U21" s="58" t="e">
        <f>IF(AND('R. Gestión '!#REF!="Alta",'R. Gestión '!#REF!="Menor"),CONCATENATE("R6C",'R. Gestión '!#REF!),"")</f>
        <v>#REF!</v>
      </c>
      <c r="V21" s="41" t="e">
        <f>IF(AND('R. Gestión '!#REF!="Alta",'R. Gestión '!#REF!="Moderado"),CONCATENATE("R6C",'R. Gestión '!#REF!),"")</f>
        <v>#REF!</v>
      </c>
      <c r="W21" s="42" t="e">
        <f>IF(AND('R. Gestión '!#REF!="Alta",'R. Gestión '!#REF!="Moderado"),CONCATENATE("R6C",'R. Gestión '!#REF!),"")</f>
        <v>#REF!</v>
      </c>
      <c r="X21" s="42" t="e">
        <f>IF(AND('R. Gestión '!#REF!="Alta",'R. Gestión '!#REF!="Moderado"),CONCATENATE("R6C",'R. Gestión '!#REF!),"")</f>
        <v>#REF!</v>
      </c>
      <c r="Y21" s="42" t="e">
        <f>IF(AND('R. Gestión '!#REF!="Alta",'R. Gestión '!#REF!="Moderado"),CONCATENATE("R6C",'R. Gestión '!#REF!),"")</f>
        <v>#REF!</v>
      </c>
      <c r="Z21" s="42" t="e">
        <f>IF(AND('R. Gestión '!#REF!="Alta",'R. Gestión '!#REF!="Moderado"),CONCATENATE("R6C",'R. Gestión '!#REF!),"")</f>
        <v>#REF!</v>
      </c>
      <c r="AA21" s="43" t="e">
        <f>IF(AND('R. Gestión '!#REF!="Alta",'R. Gestión '!#REF!="Moderado"),CONCATENATE("R6C",'R. Gestión '!#REF!),"")</f>
        <v>#REF!</v>
      </c>
      <c r="AB21" s="41" t="e">
        <f>IF(AND('R. Gestión '!#REF!="Alta",'R. Gestión '!#REF!="Mayor"),CONCATENATE("R6C",'R. Gestión '!#REF!),"")</f>
        <v>#REF!</v>
      </c>
      <c r="AC21" s="42" t="e">
        <f>IF(AND('R. Gestión '!#REF!="Alta",'R. Gestión '!#REF!="Mayor"),CONCATENATE("R6C",'R. Gestión '!#REF!),"")</f>
        <v>#REF!</v>
      </c>
      <c r="AD21" s="42" t="e">
        <f>IF(AND('R. Gestión '!#REF!="Alta",'R. Gestión '!#REF!="Mayor"),CONCATENATE("R6C",'R. Gestión '!#REF!),"")</f>
        <v>#REF!</v>
      </c>
      <c r="AE21" s="42" t="e">
        <f>IF(AND('R. Gestión '!#REF!="Alta",'R. Gestión '!#REF!="Mayor"),CONCATENATE("R6C",'R. Gestión '!#REF!),"")</f>
        <v>#REF!</v>
      </c>
      <c r="AF21" s="42" t="e">
        <f>IF(AND('R. Gestión '!#REF!="Alta",'R. Gestión '!#REF!="Mayor"),CONCATENATE("R6C",'R. Gestión '!#REF!),"")</f>
        <v>#REF!</v>
      </c>
      <c r="AG21" s="43" t="e">
        <f>IF(AND('R. Gestión '!#REF!="Alta",'R. Gestión '!#REF!="Mayor"),CONCATENATE("R6C",'R. Gestión '!#REF!),"")</f>
        <v>#REF!</v>
      </c>
      <c r="AH21" s="44" t="e">
        <f>IF(AND('R. Gestión '!#REF!="Alta",'R. Gestión '!#REF!="Catastrófico"),CONCATENATE("R6C",'R. Gestión '!#REF!),"")</f>
        <v>#REF!</v>
      </c>
      <c r="AI21" s="45" t="e">
        <f>IF(AND('R. Gestión '!#REF!="Alta",'R. Gestión '!#REF!="Catastrófico"),CONCATENATE("R6C",'R. Gestión '!#REF!),"")</f>
        <v>#REF!</v>
      </c>
      <c r="AJ21" s="45" t="e">
        <f>IF(AND('R. Gestión '!#REF!="Alta",'R. Gestión '!#REF!="Catastrófico"),CONCATENATE("R6C",'R. Gestión '!#REF!),"")</f>
        <v>#REF!</v>
      </c>
      <c r="AK21" s="45" t="e">
        <f>IF(AND('R. Gestión '!#REF!="Alta",'R. Gestión '!#REF!="Catastrófico"),CONCATENATE("R6C",'R. Gestión '!#REF!),"")</f>
        <v>#REF!</v>
      </c>
      <c r="AL21" s="45" t="e">
        <f>IF(AND('R. Gestión '!#REF!="Alta",'R. Gestión '!#REF!="Catastrófico"),CONCATENATE("R6C",'R. Gestión '!#REF!),"")</f>
        <v>#REF!</v>
      </c>
      <c r="AM21" s="46" t="e">
        <f>IF(AND('R. Gestión '!#REF!="Alta",'R. Gestión '!#REF!="Catastrófico"),CONCATENATE("R6C",'R. Gestión '!#REF!),"")</f>
        <v>#REF!</v>
      </c>
      <c r="AN21" s="72"/>
      <c r="AO21" s="714"/>
      <c r="AP21" s="715"/>
      <c r="AQ21" s="715"/>
      <c r="AR21" s="715"/>
      <c r="AS21" s="715"/>
      <c r="AT21" s="716"/>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x14ac:dyDescent="0.25">
      <c r="A22" s="72"/>
      <c r="B22" s="663"/>
      <c r="C22" s="663"/>
      <c r="D22" s="664"/>
      <c r="E22" s="704"/>
      <c r="F22" s="705"/>
      <c r="G22" s="705"/>
      <c r="H22" s="705"/>
      <c r="I22" s="705"/>
      <c r="J22" s="56" t="e">
        <f>IF(AND('R. Gestión '!#REF!="Alta",'R. Gestión '!#REF!="Leve"),CONCATENATE("R7C",'R. Gestión '!#REF!),"")</f>
        <v>#REF!</v>
      </c>
      <c r="K22" s="57" t="e">
        <f>IF(AND('R. Gestión '!#REF!="Alta",'R. Gestión '!#REF!="Leve"),CONCATENATE("R7C",'R. Gestión '!#REF!),"")</f>
        <v>#REF!</v>
      </c>
      <c r="L22" s="57" t="e">
        <f>IF(AND('R. Gestión '!#REF!="Alta",'R. Gestión '!#REF!="Leve"),CONCATENATE("R7C",'R. Gestión '!#REF!),"")</f>
        <v>#REF!</v>
      </c>
      <c r="M22" s="57" t="e">
        <f>IF(AND('R. Gestión '!#REF!="Alta",'R. Gestión '!#REF!="Leve"),CONCATENATE("R7C",'R. Gestión '!#REF!),"")</f>
        <v>#REF!</v>
      </c>
      <c r="N22" s="57" t="e">
        <f>IF(AND('R. Gestión '!#REF!="Alta",'R. Gestión '!#REF!="Leve"),CONCATENATE("R7C",'R. Gestión '!#REF!),"")</f>
        <v>#REF!</v>
      </c>
      <c r="O22" s="58" t="e">
        <f>IF(AND('R. Gestión '!#REF!="Alta",'R. Gestión '!#REF!="Leve"),CONCATENATE("R7C",'R. Gestión '!#REF!),"")</f>
        <v>#REF!</v>
      </c>
      <c r="P22" s="56" t="e">
        <f>IF(AND('R. Gestión '!#REF!="Alta",'R. Gestión '!#REF!="Menor"),CONCATENATE("R7C",'R. Gestión '!#REF!),"")</f>
        <v>#REF!</v>
      </c>
      <c r="Q22" s="57" t="e">
        <f>IF(AND('R. Gestión '!#REF!="Alta",'R. Gestión '!#REF!="Menor"),CONCATENATE("R7C",'R. Gestión '!#REF!),"")</f>
        <v>#REF!</v>
      </c>
      <c r="R22" s="57" t="e">
        <f>IF(AND('R. Gestión '!#REF!="Alta",'R. Gestión '!#REF!="Menor"),CONCATENATE("R7C",'R. Gestión '!#REF!),"")</f>
        <v>#REF!</v>
      </c>
      <c r="S22" s="57" t="e">
        <f>IF(AND('R. Gestión '!#REF!="Alta",'R. Gestión '!#REF!="Menor"),CONCATENATE("R7C",'R. Gestión '!#REF!),"")</f>
        <v>#REF!</v>
      </c>
      <c r="T22" s="57" t="e">
        <f>IF(AND('R. Gestión '!#REF!="Alta",'R. Gestión '!#REF!="Menor"),CONCATENATE("R7C",'R. Gestión '!#REF!),"")</f>
        <v>#REF!</v>
      </c>
      <c r="U22" s="58" t="e">
        <f>IF(AND('R. Gestión '!#REF!="Alta",'R. Gestión '!#REF!="Menor"),CONCATENATE("R7C",'R. Gestión '!#REF!),"")</f>
        <v>#REF!</v>
      </c>
      <c r="V22" s="41" t="e">
        <f>IF(AND('R. Gestión '!#REF!="Alta",'R. Gestión '!#REF!="Moderado"),CONCATENATE("R7C",'R. Gestión '!#REF!),"")</f>
        <v>#REF!</v>
      </c>
      <c r="W22" s="42" t="e">
        <f>IF(AND('R. Gestión '!#REF!="Alta",'R. Gestión '!#REF!="Moderado"),CONCATENATE("R7C",'R. Gestión '!#REF!),"")</f>
        <v>#REF!</v>
      </c>
      <c r="X22" s="42" t="e">
        <f>IF(AND('R. Gestión '!#REF!="Alta",'R. Gestión '!#REF!="Moderado"),CONCATENATE("R7C",'R. Gestión '!#REF!),"")</f>
        <v>#REF!</v>
      </c>
      <c r="Y22" s="42" t="e">
        <f>IF(AND('R. Gestión '!#REF!="Alta",'R. Gestión '!#REF!="Moderado"),CONCATENATE("R7C",'R. Gestión '!#REF!),"")</f>
        <v>#REF!</v>
      </c>
      <c r="Z22" s="42" t="e">
        <f>IF(AND('R. Gestión '!#REF!="Alta",'R. Gestión '!#REF!="Moderado"),CONCATENATE("R7C",'R. Gestión '!#REF!),"")</f>
        <v>#REF!</v>
      </c>
      <c r="AA22" s="43" t="e">
        <f>IF(AND('R. Gestión '!#REF!="Alta",'R. Gestión '!#REF!="Moderado"),CONCATENATE("R7C",'R. Gestión '!#REF!),"")</f>
        <v>#REF!</v>
      </c>
      <c r="AB22" s="41" t="e">
        <f>IF(AND('R. Gestión '!#REF!="Alta",'R. Gestión '!#REF!="Mayor"),CONCATENATE("R7C",'R. Gestión '!#REF!),"")</f>
        <v>#REF!</v>
      </c>
      <c r="AC22" s="42" t="e">
        <f>IF(AND('R. Gestión '!#REF!="Alta",'R. Gestión '!#REF!="Mayor"),CONCATENATE("R7C",'R. Gestión '!#REF!),"")</f>
        <v>#REF!</v>
      </c>
      <c r="AD22" s="42" t="e">
        <f>IF(AND('R. Gestión '!#REF!="Alta",'R. Gestión '!#REF!="Mayor"),CONCATENATE("R7C",'R. Gestión '!#REF!),"")</f>
        <v>#REF!</v>
      </c>
      <c r="AE22" s="42" t="e">
        <f>IF(AND('R. Gestión '!#REF!="Alta",'R. Gestión '!#REF!="Mayor"),CONCATENATE("R7C",'R. Gestión '!#REF!),"")</f>
        <v>#REF!</v>
      </c>
      <c r="AF22" s="42" t="e">
        <f>IF(AND('R. Gestión '!#REF!="Alta",'R. Gestión '!#REF!="Mayor"),CONCATENATE("R7C",'R. Gestión '!#REF!),"")</f>
        <v>#REF!</v>
      </c>
      <c r="AG22" s="43" t="e">
        <f>IF(AND('R. Gestión '!#REF!="Alta",'R. Gestión '!#REF!="Mayor"),CONCATENATE("R7C",'R. Gestión '!#REF!),"")</f>
        <v>#REF!</v>
      </c>
      <c r="AH22" s="44" t="e">
        <f>IF(AND('R. Gestión '!#REF!="Alta",'R. Gestión '!#REF!="Catastrófico"),CONCATENATE("R7C",'R. Gestión '!#REF!),"")</f>
        <v>#REF!</v>
      </c>
      <c r="AI22" s="45" t="e">
        <f>IF(AND('R. Gestión '!#REF!="Alta",'R. Gestión '!#REF!="Catastrófico"),CONCATENATE("R7C",'R. Gestión '!#REF!),"")</f>
        <v>#REF!</v>
      </c>
      <c r="AJ22" s="45" t="e">
        <f>IF(AND('R. Gestión '!#REF!="Alta",'R. Gestión '!#REF!="Catastrófico"),CONCATENATE("R7C",'R. Gestión '!#REF!),"")</f>
        <v>#REF!</v>
      </c>
      <c r="AK22" s="45" t="e">
        <f>IF(AND('R. Gestión '!#REF!="Alta",'R. Gestión '!#REF!="Catastrófico"),CONCATENATE("R7C",'R. Gestión '!#REF!),"")</f>
        <v>#REF!</v>
      </c>
      <c r="AL22" s="45" t="e">
        <f>IF(AND('R. Gestión '!#REF!="Alta",'R. Gestión '!#REF!="Catastrófico"),CONCATENATE("R7C",'R. Gestión '!#REF!),"")</f>
        <v>#REF!</v>
      </c>
      <c r="AM22" s="46" t="e">
        <f>IF(AND('R. Gestión '!#REF!="Alta",'R. Gestión '!#REF!="Catastrófico"),CONCATENATE("R7C",'R. Gestión '!#REF!),"")</f>
        <v>#REF!</v>
      </c>
      <c r="AN22" s="72"/>
      <c r="AO22" s="714"/>
      <c r="AP22" s="715"/>
      <c r="AQ22" s="715"/>
      <c r="AR22" s="715"/>
      <c r="AS22" s="715"/>
      <c r="AT22" s="716"/>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x14ac:dyDescent="0.25">
      <c r="A23" s="72"/>
      <c r="B23" s="663"/>
      <c r="C23" s="663"/>
      <c r="D23" s="664"/>
      <c r="E23" s="704"/>
      <c r="F23" s="705"/>
      <c r="G23" s="705"/>
      <c r="H23" s="705"/>
      <c r="I23" s="705"/>
      <c r="J23" s="56" t="str">
        <f>IF(AND('R. Gestión '!$AD$281="Alta",'R. Gestión '!$AF$281="Leve"),CONCATENATE("R8C",'R. Gestión '!$S$281),"")</f>
        <v/>
      </c>
      <c r="K23" s="57" t="str">
        <f>IF(AND('R. Gestión '!$AD$282="Alta",'R. Gestión '!$AF$282="Leve"),CONCATENATE("R8C",'R. Gestión '!$S$282),"")</f>
        <v/>
      </c>
      <c r="L23" s="57" t="str">
        <f>IF(AND('R. Gestión '!$AD$283="Alta",'R. Gestión '!$AF$283="Leve"),CONCATENATE("R8C",'R. Gestión '!$S$283),"")</f>
        <v/>
      </c>
      <c r="M23" s="57" t="str">
        <f>IF(AND('R. Gestión '!$AD$284="Alta",'R. Gestión '!$AF$284="Leve"),CONCATENATE("R8C",'R. Gestión '!$S$284),"")</f>
        <v/>
      </c>
      <c r="N23" s="57" t="str">
        <f>IF(AND('R. Gestión '!$AD$285="Alta",'R. Gestión '!$AF$285="Leve"),CONCATENATE("R8C",'R. Gestión '!$S$285),"")</f>
        <v/>
      </c>
      <c r="O23" s="58" t="str">
        <f>IF(AND('R. Gestión '!$AD$286="Alta",'R. Gestión '!$AF$286="Leve"),CONCATENATE("R8C",'R. Gestión '!$S$286),"")</f>
        <v/>
      </c>
      <c r="P23" s="56" t="str">
        <f>IF(AND('R. Gestión '!$AD$281="Alta",'R. Gestión '!$AF$281="Menor"),CONCATENATE("R8C",'R. Gestión '!$S$281),"")</f>
        <v/>
      </c>
      <c r="Q23" s="57" t="str">
        <f>IF(AND('R. Gestión '!$AD$282="Alta",'R. Gestión '!$AF$282="Menor"),CONCATENATE("R8C",'R. Gestión '!$S$282),"")</f>
        <v/>
      </c>
      <c r="R23" s="57" t="str">
        <f>IF(AND('R. Gestión '!$AD$283="Alta",'R. Gestión '!$AF$283="Menor"),CONCATENATE("R8C",'R. Gestión '!$S$283),"")</f>
        <v/>
      </c>
      <c r="S23" s="57" t="str">
        <f>IF(AND('R. Gestión '!$AD$284="Alta",'R. Gestión '!$AF$284="Menor"),CONCATENATE("R8C",'R. Gestión '!$S$284),"")</f>
        <v/>
      </c>
      <c r="T23" s="57" t="str">
        <f>IF(AND('R. Gestión '!$AD$285="Alta",'R. Gestión '!$AF$285="Menor"),CONCATENATE("R8C",'R. Gestión '!$S$285),"")</f>
        <v/>
      </c>
      <c r="U23" s="58" t="str">
        <f>IF(AND('R. Gestión '!$AD$286="Alta",'R. Gestión '!$AF$286="Menor"),CONCATENATE("R8C",'R. Gestión '!$S$286),"")</f>
        <v/>
      </c>
      <c r="V23" s="41" t="str">
        <f>IF(AND('R. Gestión '!$AD$281="Alta",'R. Gestión '!$AF$281="Moderado"),CONCATENATE("R8C",'R. Gestión '!$S$281),"")</f>
        <v/>
      </c>
      <c r="W23" s="42" t="str">
        <f>IF(AND('R. Gestión '!$AD$282="Alta",'R. Gestión '!$AF$282="Moderado"),CONCATENATE("R8C",'R. Gestión '!$S$282),"")</f>
        <v/>
      </c>
      <c r="X23" s="42" t="str">
        <f>IF(AND('R. Gestión '!$AD$283="Alta",'R. Gestión '!$AF$283="Moderado"),CONCATENATE("R8C",'R. Gestión '!$S$283),"")</f>
        <v/>
      </c>
      <c r="Y23" s="42" t="str">
        <f>IF(AND('R. Gestión '!$AD$284="Alta",'R. Gestión '!$AF$284="Moderado"),CONCATENATE("R8C",'R. Gestión '!$S$284),"")</f>
        <v/>
      </c>
      <c r="Z23" s="42" t="str">
        <f>IF(AND('R. Gestión '!$AD$285="Alta",'R. Gestión '!$AF$285="Moderado"),CONCATENATE("R8C",'R. Gestión '!$S$285),"")</f>
        <v/>
      </c>
      <c r="AA23" s="43" t="str">
        <f>IF(AND('R. Gestión '!$AD$286="Alta",'R. Gestión '!$AF$286="Moderado"),CONCATENATE("R8C",'R. Gestión '!$S$286),"")</f>
        <v/>
      </c>
      <c r="AB23" s="41" t="str">
        <f>IF(AND('R. Gestión '!$AD$281="Alta",'R. Gestión '!$AF$281="Mayor"),CONCATENATE("R8C",'R. Gestión '!$S$281),"")</f>
        <v/>
      </c>
      <c r="AC23" s="42" t="str">
        <f>IF(AND('R. Gestión '!$AD$282="Alta",'R. Gestión '!$AF$282="Mayor"),CONCATENATE("R8C",'R. Gestión '!$S$282),"")</f>
        <v/>
      </c>
      <c r="AD23" s="42" t="str">
        <f>IF(AND('R. Gestión '!$AD$283="Alta",'R. Gestión '!$AF$283="Mayor"),CONCATENATE("R8C",'R. Gestión '!$S$283),"")</f>
        <v/>
      </c>
      <c r="AE23" s="42" t="str">
        <f>IF(AND('R. Gestión '!$AD$284="Alta",'R. Gestión '!$AF$284="Mayor"),CONCATENATE("R8C",'R. Gestión '!$S$284),"")</f>
        <v/>
      </c>
      <c r="AF23" s="42" t="str">
        <f>IF(AND('R. Gestión '!$AD$285="Alta",'R. Gestión '!$AF$285="Mayor"),CONCATENATE("R8C",'R. Gestión '!$S$285),"")</f>
        <v/>
      </c>
      <c r="AG23" s="43" t="str">
        <f>IF(AND('R. Gestión '!$AD$286="Alta",'R. Gestión '!$AF$286="Mayor"),CONCATENATE("R8C",'R. Gestión '!$S$286),"")</f>
        <v/>
      </c>
      <c r="AH23" s="44" t="str">
        <f>IF(AND('R. Gestión '!$AD$281="Alta",'R. Gestión '!$AF$281="Catastrófico"),CONCATENATE("R8C",'R. Gestión '!$S$281),"")</f>
        <v/>
      </c>
      <c r="AI23" s="45" t="str">
        <f>IF(AND('R. Gestión '!$AD$282="Alta",'R. Gestión '!$AF$282="Catastrófico"),CONCATENATE("R8C",'R. Gestión '!$S$282),"")</f>
        <v/>
      </c>
      <c r="AJ23" s="45" t="str">
        <f>IF(AND('R. Gestión '!$AD$283="Alta",'R. Gestión '!$AF$283="Catastrófico"),CONCATENATE("R8C",'R. Gestión '!$S$283),"")</f>
        <v/>
      </c>
      <c r="AK23" s="45" t="str">
        <f>IF(AND('R. Gestión '!$AD$284="Alta",'R. Gestión '!$AF$284="Catastrófico"),CONCATENATE("R8C",'R. Gestión '!$S$284),"")</f>
        <v/>
      </c>
      <c r="AL23" s="45" t="str">
        <f>IF(AND('R. Gestión '!$AD$285="Alta",'R. Gestión '!$AF$285="Catastrófico"),CONCATENATE("R8C",'R. Gestión '!$S$285),"")</f>
        <v/>
      </c>
      <c r="AM23" s="46" t="str">
        <f>IF(AND('R. Gestión '!$AD$286="Alta",'R. Gestión '!$AF$286="Catastrófico"),CONCATENATE("R8C",'R. Gestión '!$S$286),"")</f>
        <v/>
      </c>
      <c r="AN23" s="72"/>
      <c r="AO23" s="714"/>
      <c r="AP23" s="715"/>
      <c r="AQ23" s="715"/>
      <c r="AR23" s="715"/>
      <c r="AS23" s="715"/>
      <c r="AT23" s="716"/>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x14ac:dyDescent="0.25">
      <c r="A24" s="72"/>
      <c r="B24" s="663"/>
      <c r="C24" s="663"/>
      <c r="D24" s="664"/>
      <c r="E24" s="704"/>
      <c r="F24" s="705"/>
      <c r="G24" s="705"/>
      <c r="H24" s="705"/>
      <c r="I24" s="705"/>
      <c r="J24" s="56" t="e">
        <f>IF(AND('R. Gestión '!#REF!="Alta",'R. Gestión '!#REF!="Leve"),CONCATENATE("R9C",'R. Gestión '!#REF!),"")</f>
        <v>#REF!</v>
      </c>
      <c r="K24" s="57" t="e">
        <f>IF(AND('R. Gestión '!#REF!="Alta",'R. Gestión '!#REF!="Leve"),CONCATENATE("R9C",'R. Gestión '!#REF!),"")</f>
        <v>#REF!</v>
      </c>
      <c r="L24" s="57" t="e">
        <f>IF(AND('R. Gestión '!#REF!="Alta",'R. Gestión '!#REF!="Leve"),CONCATENATE("R9C",'R. Gestión '!#REF!),"")</f>
        <v>#REF!</v>
      </c>
      <c r="M24" s="57" t="e">
        <f>IF(AND('R. Gestión '!#REF!="Alta",'R. Gestión '!#REF!="Leve"),CONCATENATE("R9C",'R. Gestión '!#REF!),"")</f>
        <v>#REF!</v>
      </c>
      <c r="N24" s="57" t="e">
        <f>IF(AND('R. Gestión '!#REF!="Alta",'R. Gestión '!#REF!="Leve"),CONCATENATE("R9C",'R. Gestión '!#REF!),"")</f>
        <v>#REF!</v>
      </c>
      <c r="O24" s="58" t="e">
        <f>IF(AND('R. Gestión '!#REF!="Alta",'R. Gestión '!#REF!="Leve"),CONCATENATE("R9C",'R. Gestión '!#REF!),"")</f>
        <v>#REF!</v>
      </c>
      <c r="P24" s="56" t="e">
        <f>IF(AND('R. Gestión '!#REF!="Alta",'R. Gestión '!#REF!="Menor"),CONCATENATE("R9C",'R. Gestión '!#REF!),"")</f>
        <v>#REF!</v>
      </c>
      <c r="Q24" s="57" t="e">
        <f>IF(AND('R. Gestión '!#REF!="Alta",'R. Gestión '!#REF!="Menor"),CONCATENATE("R9C",'R. Gestión '!#REF!),"")</f>
        <v>#REF!</v>
      </c>
      <c r="R24" s="57" t="e">
        <f>IF(AND('R. Gestión '!#REF!="Alta",'R. Gestión '!#REF!="Menor"),CONCATENATE("R9C",'R. Gestión '!#REF!),"")</f>
        <v>#REF!</v>
      </c>
      <c r="S24" s="57" t="e">
        <f>IF(AND('R. Gestión '!#REF!="Alta",'R. Gestión '!#REF!="Menor"),CONCATENATE("R9C",'R. Gestión '!#REF!),"")</f>
        <v>#REF!</v>
      </c>
      <c r="T24" s="57" t="e">
        <f>IF(AND('R. Gestión '!#REF!="Alta",'R. Gestión '!#REF!="Menor"),CONCATENATE("R9C",'R. Gestión '!#REF!),"")</f>
        <v>#REF!</v>
      </c>
      <c r="U24" s="58" t="e">
        <f>IF(AND('R. Gestión '!#REF!="Alta",'R. Gestión '!#REF!="Menor"),CONCATENATE("R9C",'R. Gestión '!#REF!),"")</f>
        <v>#REF!</v>
      </c>
      <c r="V24" s="41" t="e">
        <f>IF(AND('R. Gestión '!#REF!="Alta",'R. Gestión '!#REF!="Moderado"),CONCATENATE("R9C",'R. Gestión '!#REF!),"")</f>
        <v>#REF!</v>
      </c>
      <c r="W24" s="42" t="e">
        <f>IF(AND('R. Gestión '!#REF!="Alta",'R. Gestión '!#REF!="Moderado"),CONCATENATE("R9C",'R. Gestión '!#REF!),"")</f>
        <v>#REF!</v>
      </c>
      <c r="X24" s="42" t="e">
        <f>IF(AND('R. Gestión '!#REF!="Alta",'R. Gestión '!#REF!="Moderado"),CONCATENATE("R9C",'R. Gestión '!#REF!),"")</f>
        <v>#REF!</v>
      </c>
      <c r="Y24" s="42" t="e">
        <f>IF(AND('R. Gestión '!#REF!="Alta",'R. Gestión '!#REF!="Moderado"),CONCATENATE("R9C",'R. Gestión '!#REF!),"")</f>
        <v>#REF!</v>
      </c>
      <c r="Z24" s="42" t="e">
        <f>IF(AND('R. Gestión '!#REF!="Alta",'R. Gestión '!#REF!="Moderado"),CONCATENATE("R9C",'R. Gestión '!#REF!),"")</f>
        <v>#REF!</v>
      </c>
      <c r="AA24" s="43" t="e">
        <f>IF(AND('R. Gestión '!#REF!="Alta",'R. Gestión '!#REF!="Moderado"),CONCATENATE("R9C",'R. Gestión '!#REF!),"")</f>
        <v>#REF!</v>
      </c>
      <c r="AB24" s="41" t="e">
        <f>IF(AND('R. Gestión '!#REF!="Alta",'R. Gestión '!#REF!="Mayor"),CONCATENATE("R9C",'R. Gestión '!#REF!),"")</f>
        <v>#REF!</v>
      </c>
      <c r="AC24" s="42" t="e">
        <f>IF(AND('R. Gestión '!#REF!="Alta",'R. Gestión '!#REF!="Mayor"),CONCATENATE("R9C",'R. Gestión '!#REF!),"")</f>
        <v>#REF!</v>
      </c>
      <c r="AD24" s="42" t="e">
        <f>IF(AND('R. Gestión '!#REF!="Alta",'R. Gestión '!#REF!="Mayor"),CONCATENATE("R9C",'R. Gestión '!#REF!),"")</f>
        <v>#REF!</v>
      </c>
      <c r="AE24" s="42" t="e">
        <f>IF(AND('R. Gestión '!#REF!="Alta",'R. Gestión '!#REF!="Mayor"),CONCATENATE("R9C",'R. Gestión '!#REF!),"")</f>
        <v>#REF!</v>
      </c>
      <c r="AF24" s="42" t="e">
        <f>IF(AND('R. Gestión '!#REF!="Alta",'R. Gestión '!#REF!="Mayor"),CONCATENATE("R9C",'R. Gestión '!#REF!),"")</f>
        <v>#REF!</v>
      </c>
      <c r="AG24" s="43" t="e">
        <f>IF(AND('R. Gestión '!#REF!="Alta",'R. Gestión '!#REF!="Mayor"),CONCATENATE("R9C",'R. Gestión '!#REF!),"")</f>
        <v>#REF!</v>
      </c>
      <c r="AH24" s="44" t="e">
        <f>IF(AND('R. Gestión '!#REF!="Alta",'R. Gestión '!#REF!="Catastrófico"),CONCATENATE("R9C",'R. Gestión '!#REF!),"")</f>
        <v>#REF!</v>
      </c>
      <c r="AI24" s="45" t="e">
        <f>IF(AND('R. Gestión '!#REF!="Alta",'R. Gestión '!#REF!="Catastrófico"),CONCATENATE("R9C",'R. Gestión '!#REF!),"")</f>
        <v>#REF!</v>
      </c>
      <c r="AJ24" s="45" t="e">
        <f>IF(AND('R. Gestión '!#REF!="Alta",'R. Gestión '!#REF!="Catastrófico"),CONCATENATE("R9C",'R. Gestión '!#REF!),"")</f>
        <v>#REF!</v>
      </c>
      <c r="AK24" s="45" t="e">
        <f>IF(AND('R. Gestión '!#REF!="Alta",'R. Gestión '!#REF!="Catastrófico"),CONCATENATE("R9C",'R. Gestión '!#REF!),"")</f>
        <v>#REF!</v>
      </c>
      <c r="AL24" s="45" t="e">
        <f>IF(AND('R. Gestión '!#REF!="Alta",'R. Gestión '!#REF!="Catastrófico"),CONCATENATE("R9C",'R. Gestión '!#REF!),"")</f>
        <v>#REF!</v>
      </c>
      <c r="AM24" s="46" t="e">
        <f>IF(AND('R. Gestión '!#REF!="Alta",'R. Gestión '!#REF!="Catastrófico"),CONCATENATE("R9C",'R. Gestión '!#REF!),"")</f>
        <v>#REF!</v>
      </c>
      <c r="AN24" s="72"/>
      <c r="AO24" s="714"/>
      <c r="AP24" s="715"/>
      <c r="AQ24" s="715"/>
      <c r="AR24" s="715"/>
      <c r="AS24" s="715"/>
      <c r="AT24" s="716"/>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x14ac:dyDescent="0.3">
      <c r="A25" s="72"/>
      <c r="B25" s="663"/>
      <c r="C25" s="663"/>
      <c r="D25" s="664"/>
      <c r="E25" s="707"/>
      <c r="F25" s="708"/>
      <c r="G25" s="708"/>
      <c r="H25" s="708"/>
      <c r="I25" s="708"/>
      <c r="J25" s="59" t="e">
        <f>IF(AND('R. Gestión '!#REF!="Alta",'R. Gestión '!#REF!="Leve"),CONCATENATE("R10C",'R. Gestión '!#REF!),"")</f>
        <v>#REF!</v>
      </c>
      <c r="K25" s="60" t="e">
        <f>IF(AND('R. Gestión '!#REF!="Alta",'R. Gestión '!#REF!="Leve"),CONCATENATE("R10C",'R. Gestión '!#REF!),"")</f>
        <v>#REF!</v>
      </c>
      <c r="L25" s="60" t="e">
        <f>IF(AND('R. Gestión '!#REF!="Alta",'R. Gestión '!#REF!="Leve"),CONCATENATE("R10C",'R. Gestión '!#REF!),"")</f>
        <v>#REF!</v>
      </c>
      <c r="M25" s="60" t="e">
        <f>IF(AND('R. Gestión '!#REF!="Alta",'R. Gestión '!#REF!="Leve"),CONCATENATE("R10C",'R. Gestión '!#REF!),"")</f>
        <v>#REF!</v>
      </c>
      <c r="N25" s="60" t="e">
        <f>IF(AND('R. Gestión '!#REF!="Alta",'R. Gestión '!#REF!="Leve"),CONCATENATE("R10C",'R. Gestión '!#REF!),"")</f>
        <v>#REF!</v>
      </c>
      <c r="O25" s="61" t="e">
        <f>IF(AND('R. Gestión '!#REF!="Alta",'R. Gestión '!#REF!="Leve"),CONCATENATE("R10C",'R. Gestión '!#REF!),"")</f>
        <v>#REF!</v>
      </c>
      <c r="P25" s="59" t="e">
        <f>IF(AND('R. Gestión '!#REF!="Alta",'R. Gestión '!#REF!="Menor"),CONCATENATE("R10C",'R. Gestión '!#REF!),"")</f>
        <v>#REF!</v>
      </c>
      <c r="Q25" s="60" t="e">
        <f>IF(AND('R. Gestión '!#REF!="Alta",'R. Gestión '!#REF!="Menor"),CONCATENATE("R10C",'R. Gestión '!#REF!),"")</f>
        <v>#REF!</v>
      </c>
      <c r="R25" s="60" t="e">
        <f>IF(AND('R. Gestión '!#REF!="Alta",'R. Gestión '!#REF!="Menor"),CONCATENATE("R10C",'R. Gestión '!#REF!),"")</f>
        <v>#REF!</v>
      </c>
      <c r="S25" s="60" t="e">
        <f>IF(AND('R. Gestión '!#REF!="Alta",'R. Gestión '!#REF!="Menor"),CONCATENATE("R10C",'R. Gestión '!#REF!),"")</f>
        <v>#REF!</v>
      </c>
      <c r="T25" s="60" t="e">
        <f>IF(AND('R. Gestión '!#REF!="Alta",'R. Gestión '!#REF!="Menor"),CONCATENATE("R10C",'R. Gestión '!#REF!),"")</f>
        <v>#REF!</v>
      </c>
      <c r="U25" s="61" t="e">
        <f>IF(AND('R. Gestión '!#REF!="Alta",'R. Gestión '!#REF!="Menor"),CONCATENATE("R10C",'R. Gestión '!#REF!),"")</f>
        <v>#REF!</v>
      </c>
      <c r="V25" s="47" t="e">
        <f>IF(AND('R. Gestión '!#REF!="Alta",'R. Gestión '!#REF!="Moderado"),CONCATENATE("R10C",'R. Gestión '!#REF!),"")</f>
        <v>#REF!</v>
      </c>
      <c r="W25" s="48" t="e">
        <f>IF(AND('R. Gestión '!#REF!="Alta",'R. Gestión '!#REF!="Moderado"),CONCATENATE("R10C",'R. Gestión '!#REF!),"")</f>
        <v>#REF!</v>
      </c>
      <c r="X25" s="48" t="e">
        <f>IF(AND('R. Gestión '!#REF!="Alta",'R. Gestión '!#REF!="Moderado"),CONCATENATE("R10C",'R. Gestión '!#REF!),"")</f>
        <v>#REF!</v>
      </c>
      <c r="Y25" s="48" t="e">
        <f>IF(AND('R. Gestión '!#REF!="Alta",'R. Gestión '!#REF!="Moderado"),CONCATENATE("R10C",'R. Gestión '!#REF!),"")</f>
        <v>#REF!</v>
      </c>
      <c r="Z25" s="48" t="e">
        <f>IF(AND('R. Gestión '!#REF!="Alta",'R. Gestión '!#REF!="Moderado"),CONCATENATE("R10C",'R. Gestión '!#REF!),"")</f>
        <v>#REF!</v>
      </c>
      <c r="AA25" s="49" t="e">
        <f>IF(AND('R. Gestión '!#REF!="Alta",'R. Gestión '!#REF!="Moderado"),CONCATENATE("R10C",'R. Gestión '!#REF!),"")</f>
        <v>#REF!</v>
      </c>
      <c r="AB25" s="47" t="e">
        <f>IF(AND('R. Gestión '!#REF!="Alta",'R. Gestión '!#REF!="Mayor"),CONCATENATE("R10C",'R. Gestión '!#REF!),"")</f>
        <v>#REF!</v>
      </c>
      <c r="AC25" s="48" t="e">
        <f>IF(AND('R. Gestión '!#REF!="Alta",'R. Gestión '!#REF!="Mayor"),CONCATENATE("R10C",'R. Gestión '!#REF!),"")</f>
        <v>#REF!</v>
      </c>
      <c r="AD25" s="48" t="e">
        <f>IF(AND('R. Gestión '!#REF!="Alta",'R. Gestión '!#REF!="Mayor"),CONCATENATE("R10C",'R. Gestión '!#REF!),"")</f>
        <v>#REF!</v>
      </c>
      <c r="AE25" s="48" t="e">
        <f>IF(AND('R. Gestión '!#REF!="Alta",'R. Gestión '!#REF!="Mayor"),CONCATENATE("R10C",'R. Gestión '!#REF!),"")</f>
        <v>#REF!</v>
      </c>
      <c r="AF25" s="48" t="e">
        <f>IF(AND('R. Gestión '!#REF!="Alta",'R. Gestión '!#REF!="Mayor"),CONCATENATE("R10C",'R. Gestión '!#REF!),"")</f>
        <v>#REF!</v>
      </c>
      <c r="AG25" s="49" t="e">
        <f>IF(AND('R. Gestión '!#REF!="Alta",'R. Gestión '!#REF!="Mayor"),CONCATENATE("R10C",'R. Gestión '!#REF!),"")</f>
        <v>#REF!</v>
      </c>
      <c r="AH25" s="50" t="e">
        <f>IF(AND('R. Gestión '!#REF!="Alta",'R. Gestión '!#REF!="Catastrófico"),CONCATENATE("R10C",'R. Gestión '!#REF!),"")</f>
        <v>#REF!</v>
      </c>
      <c r="AI25" s="51" t="e">
        <f>IF(AND('R. Gestión '!#REF!="Alta",'R. Gestión '!#REF!="Catastrófico"),CONCATENATE("R10C",'R. Gestión '!#REF!),"")</f>
        <v>#REF!</v>
      </c>
      <c r="AJ25" s="51" t="e">
        <f>IF(AND('R. Gestión '!#REF!="Alta",'R. Gestión '!#REF!="Catastrófico"),CONCATENATE("R10C",'R. Gestión '!#REF!),"")</f>
        <v>#REF!</v>
      </c>
      <c r="AK25" s="51" t="e">
        <f>IF(AND('R. Gestión '!#REF!="Alta",'R. Gestión '!#REF!="Catastrófico"),CONCATENATE("R10C",'R. Gestión '!#REF!),"")</f>
        <v>#REF!</v>
      </c>
      <c r="AL25" s="51" t="e">
        <f>IF(AND('R. Gestión '!#REF!="Alta",'R. Gestión '!#REF!="Catastrófico"),CONCATENATE("R10C",'R. Gestión '!#REF!),"")</f>
        <v>#REF!</v>
      </c>
      <c r="AM25" s="52" t="e">
        <f>IF(AND('R. Gestión '!#REF!="Alta",'R. Gestión '!#REF!="Catastrófico"),CONCATENATE("R10C",'R. Gestión '!#REF!),"")</f>
        <v>#REF!</v>
      </c>
      <c r="AN25" s="72"/>
      <c r="AO25" s="717"/>
      <c r="AP25" s="718"/>
      <c r="AQ25" s="718"/>
      <c r="AR25" s="718"/>
      <c r="AS25" s="718"/>
      <c r="AT25" s="719"/>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x14ac:dyDescent="0.25">
      <c r="A26" s="72"/>
      <c r="B26" s="663"/>
      <c r="C26" s="663"/>
      <c r="D26" s="664"/>
      <c r="E26" s="701" t="s">
        <v>101</v>
      </c>
      <c r="F26" s="702"/>
      <c r="G26" s="702"/>
      <c r="H26" s="702"/>
      <c r="I26" s="703"/>
      <c r="J26" s="53" t="e">
        <f>IF(AND('R. Gestión '!#REF!="Media",'R. Gestión '!#REF!="Leve"),CONCATENATE("R1C",'R. Gestión '!#REF!),"")</f>
        <v>#REF!</v>
      </c>
      <c r="K26" s="54" t="e">
        <f>IF(AND('R. Gestión '!#REF!="Media",'R. Gestión '!#REF!="Leve"),CONCATENATE("R1C",'R. Gestión '!#REF!),"")</f>
        <v>#REF!</v>
      </c>
      <c r="L26" s="54" t="e">
        <f>IF(AND('R. Gestión '!#REF!="Media",'R. Gestión '!#REF!="Leve"),CONCATENATE("R1C",'R. Gestión '!#REF!),"")</f>
        <v>#REF!</v>
      </c>
      <c r="M26" s="54" t="e">
        <f>IF(AND('R. Gestión '!#REF!="Media",'R. Gestión '!#REF!="Leve"),CONCATENATE("R1C",'R. Gestión '!#REF!),"")</f>
        <v>#REF!</v>
      </c>
      <c r="N26" s="54" t="e">
        <f>IF(AND('R. Gestión '!#REF!="Media",'R. Gestión '!#REF!="Leve"),CONCATENATE("R1C",'R. Gestión '!#REF!),"")</f>
        <v>#REF!</v>
      </c>
      <c r="O26" s="55" t="e">
        <f>IF(AND('R. Gestión '!#REF!="Media",'R. Gestión '!#REF!="Leve"),CONCATENATE("R1C",'R. Gestión '!#REF!),"")</f>
        <v>#REF!</v>
      </c>
      <c r="P26" s="53" t="e">
        <f>IF(AND('R. Gestión '!#REF!="Media",'R. Gestión '!#REF!="Menor"),CONCATENATE("R1C",'R. Gestión '!#REF!),"")</f>
        <v>#REF!</v>
      </c>
      <c r="Q26" s="54" t="e">
        <f>IF(AND('R. Gestión '!#REF!="Media",'R. Gestión '!#REF!="Menor"),CONCATENATE("R1C",'R. Gestión '!#REF!),"")</f>
        <v>#REF!</v>
      </c>
      <c r="R26" s="54" t="e">
        <f>IF(AND('R. Gestión '!#REF!="Media",'R. Gestión '!#REF!="Menor"),CONCATENATE("R1C",'R. Gestión '!#REF!),"")</f>
        <v>#REF!</v>
      </c>
      <c r="S26" s="54" t="e">
        <f>IF(AND('R. Gestión '!#REF!="Media",'R. Gestión '!#REF!="Menor"),CONCATENATE("R1C",'R. Gestión '!#REF!),"")</f>
        <v>#REF!</v>
      </c>
      <c r="T26" s="54" t="e">
        <f>IF(AND('R. Gestión '!#REF!="Media",'R. Gestión '!#REF!="Menor"),CONCATENATE("R1C",'R. Gestión '!#REF!),"")</f>
        <v>#REF!</v>
      </c>
      <c r="U26" s="55" t="e">
        <f>IF(AND('R. Gestión '!#REF!="Media",'R. Gestión '!#REF!="Menor"),CONCATENATE("R1C",'R. Gestión '!#REF!),"")</f>
        <v>#REF!</v>
      </c>
      <c r="V26" s="53" t="e">
        <f>IF(AND('R. Gestión '!#REF!="Media",'R. Gestión '!#REF!="Moderado"),CONCATENATE("R1C",'R. Gestión '!#REF!),"")</f>
        <v>#REF!</v>
      </c>
      <c r="W26" s="54" t="e">
        <f>IF(AND('R. Gestión '!#REF!="Media",'R. Gestión '!#REF!="Moderado"),CONCATENATE("R1C",'R. Gestión '!#REF!),"")</f>
        <v>#REF!</v>
      </c>
      <c r="X26" s="54" t="e">
        <f>IF(AND('R. Gestión '!#REF!="Media",'R. Gestión '!#REF!="Moderado"),CONCATENATE("R1C",'R. Gestión '!#REF!),"")</f>
        <v>#REF!</v>
      </c>
      <c r="Y26" s="54" t="e">
        <f>IF(AND('R. Gestión '!#REF!="Media",'R. Gestión '!#REF!="Moderado"),CONCATENATE("R1C",'R. Gestión '!#REF!),"")</f>
        <v>#REF!</v>
      </c>
      <c r="Z26" s="54" t="e">
        <f>IF(AND('R. Gestión '!#REF!="Media",'R. Gestión '!#REF!="Moderado"),CONCATENATE("R1C",'R. Gestión '!#REF!),"")</f>
        <v>#REF!</v>
      </c>
      <c r="AA26" s="55" t="e">
        <f>IF(AND('R. Gestión '!#REF!="Media",'R. Gestión '!#REF!="Moderado"),CONCATENATE("R1C",'R. Gestión '!#REF!),"")</f>
        <v>#REF!</v>
      </c>
      <c r="AB26" s="35" t="e">
        <f>IF(AND('R. Gestión '!#REF!="Media",'R. Gestión '!#REF!="Mayor"),CONCATENATE("R1C",'R. Gestión '!#REF!),"")</f>
        <v>#REF!</v>
      </c>
      <c r="AC26" s="36" t="e">
        <f>IF(AND('R. Gestión '!#REF!="Media",'R. Gestión '!#REF!="Mayor"),CONCATENATE("R1C",'R. Gestión '!#REF!),"")</f>
        <v>#REF!</v>
      </c>
      <c r="AD26" s="36" t="e">
        <f>IF(AND('R. Gestión '!#REF!="Media",'R. Gestión '!#REF!="Mayor"),CONCATENATE("R1C",'R. Gestión '!#REF!),"")</f>
        <v>#REF!</v>
      </c>
      <c r="AE26" s="36" t="e">
        <f>IF(AND('R. Gestión '!#REF!="Media",'R. Gestión '!#REF!="Mayor"),CONCATENATE("R1C",'R. Gestión '!#REF!),"")</f>
        <v>#REF!</v>
      </c>
      <c r="AF26" s="36" t="e">
        <f>IF(AND('R. Gestión '!#REF!="Media",'R. Gestión '!#REF!="Mayor"),CONCATENATE("R1C",'R. Gestión '!#REF!),"")</f>
        <v>#REF!</v>
      </c>
      <c r="AG26" s="37" t="e">
        <f>IF(AND('R. Gestión '!#REF!="Media",'R. Gestión '!#REF!="Mayor"),CONCATENATE("R1C",'R. Gestión '!#REF!),"")</f>
        <v>#REF!</v>
      </c>
      <c r="AH26" s="38" t="e">
        <f>IF(AND('R. Gestión '!#REF!="Media",'R. Gestión '!#REF!="Catastrófico"),CONCATENATE("R1C",'R. Gestión '!#REF!),"")</f>
        <v>#REF!</v>
      </c>
      <c r="AI26" s="39" t="e">
        <f>IF(AND('R. Gestión '!#REF!="Media",'R. Gestión '!#REF!="Catastrófico"),CONCATENATE("R1C",'R. Gestión '!#REF!),"")</f>
        <v>#REF!</v>
      </c>
      <c r="AJ26" s="39" t="e">
        <f>IF(AND('R. Gestión '!#REF!="Media",'R. Gestión '!#REF!="Catastrófico"),CONCATENATE("R1C",'R. Gestión '!#REF!),"")</f>
        <v>#REF!</v>
      </c>
      <c r="AK26" s="39" t="e">
        <f>IF(AND('R. Gestión '!#REF!="Media",'R. Gestión '!#REF!="Catastrófico"),CONCATENATE("R1C",'R. Gestión '!#REF!),"")</f>
        <v>#REF!</v>
      </c>
      <c r="AL26" s="39" t="e">
        <f>IF(AND('R. Gestión '!#REF!="Media",'R. Gestión '!#REF!="Catastrófico"),CONCATENATE("R1C",'R. Gestión '!#REF!),"")</f>
        <v>#REF!</v>
      </c>
      <c r="AM26" s="40" t="e">
        <f>IF(AND('R. Gestión '!#REF!="Media",'R. Gestión '!#REF!="Catastrófico"),CONCATENATE("R1C",'R. Gestión '!#REF!),"")</f>
        <v>#REF!</v>
      </c>
      <c r="AN26" s="72"/>
      <c r="AO26" s="741" t="s">
        <v>67</v>
      </c>
      <c r="AP26" s="742"/>
      <c r="AQ26" s="742"/>
      <c r="AR26" s="742"/>
      <c r="AS26" s="742"/>
      <c r="AT26" s="743"/>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x14ac:dyDescent="0.25">
      <c r="A27" s="72"/>
      <c r="B27" s="663"/>
      <c r="C27" s="663"/>
      <c r="D27" s="664"/>
      <c r="E27" s="720"/>
      <c r="F27" s="705"/>
      <c r="G27" s="705"/>
      <c r="H27" s="705"/>
      <c r="I27" s="706"/>
      <c r="J27" s="56" t="e">
        <f>IF(AND('R. Gestión '!#REF!="Media",'R. Gestión '!#REF!="Leve"),CONCATENATE("R2C",'R. Gestión '!#REF!),"")</f>
        <v>#REF!</v>
      </c>
      <c r="K27" s="57" t="e">
        <f>IF(AND('R. Gestión '!#REF!="Media",'R. Gestión '!#REF!="Leve"),CONCATENATE("R2C",'R. Gestión '!#REF!),"")</f>
        <v>#REF!</v>
      </c>
      <c r="L27" s="57" t="e">
        <f>IF(AND('R. Gestión '!#REF!="Media",'R. Gestión '!#REF!="Leve"),CONCATENATE("R2C",'R. Gestión '!#REF!),"")</f>
        <v>#REF!</v>
      </c>
      <c r="M27" s="57" t="e">
        <f>IF(AND('R. Gestión '!#REF!="Media",'R. Gestión '!#REF!="Leve"),CONCATENATE("R2C",'R. Gestión '!#REF!),"")</f>
        <v>#REF!</v>
      </c>
      <c r="N27" s="57" t="e">
        <f>IF(AND('R. Gestión '!#REF!="Media",'R. Gestión '!#REF!="Leve"),CONCATENATE("R2C",'R. Gestión '!#REF!),"")</f>
        <v>#REF!</v>
      </c>
      <c r="O27" s="58" t="e">
        <f>IF(AND('R. Gestión '!#REF!="Media",'R. Gestión '!#REF!="Leve"),CONCATENATE("R2C",'R. Gestión '!#REF!),"")</f>
        <v>#REF!</v>
      </c>
      <c r="P27" s="56" t="e">
        <f>IF(AND('R. Gestión '!#REF!="Media",'R. Gestión '!#REF!="Menor"),CONCATENATE("R2C",'R. Gestión '!#REF!),"")</f>
        <v>#REF!</v>
      </c>
      <c r="Q27" s="57" t="e">
        <f>IF(AND('R. Gestión '!#REF!="Media",'R. Gestión '!#REF!="Menor"),CONCATENATE("R2C",'R. Gestión '!#REF!),"")</f>
        <v>#REF!</v>
      </c>
      <c r="R27" s="57" t="e">
        <f>IF(AND('R. Gestión '!#REF!="Media",'R. Gestión '!#REF!="Menor"),CONCATENATE("R2C",'R. Gestión '!#REF!),"")</f>
        <v>#REF!</v>
      </c>
      <c r="S27" s="57" t="e">
        <f>IF(AND('R. Gestión '!#REF!="Media",'R. Gestión '!#REF!="Menor"),CONCATENATE("R2C",'R. Gestión '!#REF!),"")</f>
        <v>#REF!</v>
      </c>
      <c r="T27" s="57" t="e">
        <f>IF(AND('R. Gestión '!#REF!="Media",'R. Gestión '!#REF!="Menor"),CONCATENATE("R2C",'R. Gestión '!#REF!),"")</f>
        <v>#REF!</v>
      </c>
      <c r="U27" s="58" t="e">
        <f>IF(AND('R. Gestión '!#REF!="Media",'R. Gestión '!#REF!="Menor"),CONCATENATE("R2C",'R. Gestión '!#REF!),"")</f>
        <v>#REF!</v>
      </c>
      <c r="V27" s="56" t="e">
        <f>IF(AND('R. Gestión '!#REF!="Media",'R. Gestión '!#REF!="Moderado"),CONCATENATE("R2C",'R. Gestión '!#REF!),"")</f>
        <v>#REF!</v>
      </c>
      <c r="W27" s="57" t="e">
        <f>IF(AND('R. Gestión '!#REF!="Media",'R. Gestión '!#REF!="Moderado"),CONCATENATE("R2C",'R. Gestión '!#REF!),"")</f>
        <v>#REF!</v>
      </c>
      <c r="X27" s="57" t="e">
        <f>IF(AND('R. Gestión '!#REF!="Media",'R. Gestión '!#REF!="Moderado"),CONCATENATE("R2C",'R. Gestión '!#REF!),"")</f>
        <v>#REF!</v>
      </c>
      <c r="Y27" s="57" t="e">
        <f>IF(AND('R. Gestión '!#REF!="Media",'R. Gestión '!#REF!="Moderado"),CONCATENATE("R2C",'R. Gestión '!#REF!),"")</f>
        <v>#REF!</v>
      </c>
      <c r="Z27" s="57" t="e">
        <f>IF(AND('R. Gestión '!#REF!="Media",'R. Gestión '!#REF!="Moderado"),CONCATENATE("R2C",'R. Gestión '!#REF!),"")</f>
        <v>#REF!</v>
      </c>
      <c r="AA27" s="58" t="e">
        <f>IF(AND('R. Gestión '!#REF!="Media",'R. Gestión '!#REF!="Moderado"),CONCATENATE("R2C",'R. Gestión '!#REF!),"")</f>
        <v>#REF!</v>
      </c>
      <c r="AB27" s="41" t="e">
        <f>IF(AND('R. Gestión '!#REF!="Media",'R. Gestión '!#REF!="Mayor"),CONCATENATE("R2C",'R. Gestión '!#REF!),"")</f>
        <v>#REF!</v>
      </c>
      <c r="AC27" s="42" t="e">
        <f>IF(AND('R. Gestión '!#REF!="Media",'R. Gestión '!#REF!="Mayor"),CONCATENATE("R2C",'R. Gestión '!#REF!),"")</f>
        <v>#REF!</v>
      </c>
      <c r="AD27" s="42" t="e">
        <f>IF(AND('R. Gestión '!#REF!="Media",'R. Gestión '!#REF!="Mayor"),CONCATENATE("R2C",'R. Gestión '!#REF!),"")</f>
        <v>#REF!</v>
      </c>
      <c r="AE27" s="42" t="e">
        <f>IF(AND('R. Gestión '!#REF!="Media",'R. Gestión '!#REF!="Mayor"),CONCATENATE("R2C",'R. Gestión '!#REF!),"")</f>
        <v>#REF!</v>
      </c>
      <c r="AF27" s="42" t="e">
        <f>IF(AND('R. Gestión '!#REF!="Media",'R. Gestión '!#REF!="Mayor"),CONCATENATE("R2C",'R. Gestión '!#REF!),"")</f>
        <v>#REF!</v>
      </c>
      <c r="AG27" s="43" t="e">
        <f>IF(AND('R. Gestión '!#REF!="Media",'R. Gestión '!#REF!="Mayor"),CONCATENATE("R2C",'R. Gestión '!#REF!),"")</f>
        <v>#REF!</v>
      </c>
      <c r="AH27" s="44" t="e">
        <f>IF(AND('R. Gestión '!#REF!="Media",'R. Gestión '!#REF!="Catastrófico"),CONCATENATE("R2C",'R. Gestión '!#REF!),"")</f>
        <v>#REF!</v>
      </c>
      <c r="AI27" s="45" t="e">
        <f>IF(AND('R. Gestión '!#REF!="Media",'R. Gestión '!#REF!="Catastrófico"),CONCATENATE("R2C",'R. Gestión '!#REF!),"")</f>
        <v>#REF!</v>
      </c>
      <c r="AJ27" s="45" t="e">
        <f>IF(AND('R. Gestión '!#REF!="Media",'R. Gestión '!#REF!="Catastrófico"),CONCATENATE("R2C",'R. Gestión '!#REF!),"")</f>
        <v>#REF!</v>
      </c>
      <c r="AK27" s="45" t="e">
        <f>IF(AND('R. Gestión '!#REF!="Media",'R. Gestión '!#REF!="Catastrófico"),CONCATENATE("R2C",'R. Gestión '!#REF!),"")</f>
        <v>#REF!</v>
      </c>
      <c r="AL27" s="45" t="e">
        <f>IF(AND('R. Gestión '!#REF!="Media",'R. Gestión '!#REF!="Catastrófico"),CONCATENATE("R2C",'R. Gestión '!#REF!),"")</f>
        <v>#REF!</v>
      </c>
      <c r="AM27" s="46" t="e">
        <f>IF(AND('R. Gestión '!#REF!="Media",'R. Gestión '!#REF!="Catastrófico"),CONCATENATE("R2C",'R. Gestión '!#REF!),"")</f>
        <v>#REF!</v>
      </c>
      <c r="AN27" s="72"/>
      <c r="AO27" s="744"/>
      <c r="AP27" s="745"/>
      <c r="AQ27" s="745"/>
      <c r="AR27" s="745"/>
      <c r="AS27" s="745"/>
      <c r="AT27" s="746"/>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x14ac:dyDescent="0.25">
      <c r="A28" s="72"/>
      <c r="B28" s="663"/>
      <c r="C28" s="663"/>
      <c r="D28" s="664"/>
      <c r="E28" s="704"/>
      <c r="F28" s="705"/>
      <c r="G28" s="705"/>
      <c r="H28" s="705"/>
      <c r="I28" s="706"/>
      <c r="J28" s="56" t="e">
        <f>IF(AND('R. Gestión '!#REF!="Media",'R. Gestión '!#REF!="Leve"),CONCATENATE("R3C",'R. Gestión '!#REF!),"")</f>
        <v>#REF!</v>
      </c>
      <c r="K28" s="57" t="e">
        <f>IF(AND('R. Gestión '!#REF!="Media",'R. Gestión '!#REF!="Leve"),CONCATENATE("R3C",'R. Gestión '!#REF!),"")</f>
        <v>#REF!</v>
      </c>
      <c r="L28" s="57" t="e">
        <f>IF(AND('R. Gestión '!#REF!="Media",'R. Gestión '!#REF!="Leve"),CONCATENATE("R3C",'R. Gestión '!#REF!),"")</f>
        <v>#REF!</v>
      </c>
      <c r="M28" s="57" t="e">
        <f>IF(AND('R. Gestión '!#REF!="Media",'R. Gestión '!#REF!="Leve"),CONCATENATE("R3C",'R. Gestión '!#REF!),"")</f>
        <v>#REF!</v>
      </c>
      <c r="N28" s="57" t="e">
        <f>IF(AND('R. Gestión '!#REF!="Media",'R. Gestión '!#REF!="Leve"),CONCATENATE("R3C",'R. Gestión '!#REF!),"")</f>
        <v>#REF!</v>
      </c>
      <c r="O28" s="58" t="e">
        <f>IF(AND('R. Gestión '!#REF!="Media",'R. Gestión '!#REF!="Leve"),CONCATENATE("R3C",'R. Gestión '!#REF!),"")</f>
        <v>#REF!</v>
      </c>
      <c r="P28" s="56" t="e">
        <f>IF(AND('R. Gestión '!#REF!="Media",'R. Gestión '!#REF!="Menor"),CONCATENATE("R3C",'R. Gestión '!#REF!),"")</f>
        <v>#REF!</v>
      </c>
      <c r="Q28" s="57" t="e">
        <f>IF(AND('R. Gestión '!#REF!="Media",'R. Gestión '!#REF!="Menor"),CONCATENATE("R3C",'R. Gestión '!#REF!),"")</f>
        <v>#REF!</v>
      </c>
      <c r="R28" s="57" t="e">
        <f>IF(AND('R. Gestión '!#REF!="Media",'R. Gestión '!#REF!="Menor"),CONCATENATE("R3C",'R. Gestión '!#REF!),"")</f>
        <v>#REF!</v>
      </c>
      <c r="S28" s="57" t="e">
        <f>IF(AND('R. Gestión '!#REF!="Media",'R. Gestión '!#REF!="Menor"),CONCATENATE("R3C",'R. Gestión '!#REF!),"")</f>
        <v>#REF!</v>
      </c>
      <c r="T28" s="57" t="e">
        <f>IF(AND('R. Gestión '!#REF!="Media",'R. Gestión '!#REF!="Menor"),CONCATENATE("R3C",'R. Gestión '!#REF!),"")</f>
        <v>#REF!</v>
      </c>
      <c r="U28" s="58" t="e">
        <f>IF(AND('R. Gestión '!#REF!="Media",'R. Gestión '!#REF!="Menor"),CONCATENATE("R3C",'R. Gestión '!#REF!),"")</f>
        <v>#REF!</v>
      </c>
      <c r="V28" s="56" t="e">
        <f>IF(AND('R. Gestión '!#REF!="Media",'R. Gestión '!#REF!="Moderado"),CONCATENATE("R3C",'R. Gestión '!#REF!),"")</f>
        <v>#REF!</v>
      </c>
      <c r="W28" s="57" t="e">
        <f>IF(AND('R. Gestión '!#REF!="Media",'R. Gestión '!#REF!="Moderado"),CONCATENATE("R3C",'R. Gestión '!#REF!),"")</f>
        <v>#REF!</v>
      </c>
      <c r="X28" s="57" t="e">
        <f>IF(AND('R. Gestión '!#REF!="Media",'R. Gestión '!#REF!="Moderado"),CONCATENATE("R3C",'R. Gestión '!#REF!),"")</f>
        <v>#REF!</v>
      </c>
      <c r="Y28" s="57" t="e">
        <f>IF(AND('R. Gestión '!#REF!="Media",'R. Gestión '!#REF!="Moderado"),CONCATENATE("R3C",'R. Gestión '!#REF!),"")</f>
        <v>#REF!</v>
      </c>
      <c r="Z28" s="57" t="e">
        <f>IF(AND('R. Gestión '!#REF!="Media",'R. Gestión '!#REF!="Moderado"),CONCATENATE("R3C",'R. Gestión '!#REF!),"")</f>
        <v>#REF!</v>
      </c>
      <c r="AA28" s="58" t="e">
        <f>IF(AND('R. Gestión '!#REF!="Media",'R. Gestión '!#REF!="Moderado"),CONCATENATE("R3C",'R. Gestión '!#REF!),"")</f>
        <v>#REF!</v>
      </c>
      <c r="AB28" s="41" t="e">
        <f>IF(AND('R. Gestión '!#REF!="Media",'R. Gestión '!#REF!="Mayor"),CONCATENATE("R3C",'R. Gestión '!#REF!),"")</f>
        <v>#REF!</v>
      </c>
      <c r="AC28" s="42" t="e">
        <f>IF(AND('R. Gestión '!#REF!="Media",'R. Gestión '!#REF!="Mayor"),CONCATENATE("R3C",'R. Gestión '!#REF!),"")</f>
        <v>#REF!</v>
      </c>
      <c r="AD28" s="42" t="e">
        <f>IF(AND('R. Gestión '!#REF!="Media",'R. Gestión '!#REF!="Mayor"),CONCATENATE("R3C",'R. Gestión '!#REF!),"")</f>
        <v>#REF!</v>
      </c>
      <c r="AE28" s="42" t="e">
        <f>IF(AND('R. Gestión '!#REF!="Media",'R. Gestión '!#REF!="Mayor"),CONCATENATE("R3C",'R. Gestión '!#REF!),"")</f>
        <v>#REF!</v>
      </c>
      <c r="AF28" s="42" t="e">
        <f>IF(AND('R. Gestión '!#REF!="Media",'R. Gestión '!#REF!="Mayor"),CONCATENATE("R3C",'R. Gestión '!#REF!),"")</f>
        <v>#REF!</v>
      </c>
      <c r="AG28" s="43" t="e">
        <f>IF(AND('R. Gestión '!#REF!="Media",'R. Gestión '!#REF!="Mayor"),CONCATENATE("R3C",'R. Gestión '!#REF!),"")</f>
        <v>#REF!</v>
      </c>
      <c r="AH28" s="44" t="e">
        <f>IF(AND('R. Gestión '!#REF!="Media",'R. Gestión '!#REF!="Catastrófico"),CONCATENATE("R3C",'R. Gestión '!#REF!),"")</f>
        <v>#REF!</v>
      </c>
      <c r="AI28" s="45" t="e">
        <f>IF(AND('R. Gestión '!#REF!="Media",'R. Gestión '!#REF!="Catastrófico"),CONCATENATE("R3C",'R. Gestión '!#REF!),"")</f>
        <v>#REF!</v>
      </c>
      <c r="AJ28" s="45" t="e">
        <f>IF(AND('R. Gestión '!#REF!="Media",'R. Gestión '!#REF!="Catastrófico"),CONCATENATE("R3C",'R. Gestión '!#REF!),"")</f>
        <v>#REF!</v>
      </c>
      <c r="AK28" s="45" t="e">
        <f>IF(AND('R. Gestión '!#REF!="Media",'R. Gestión '!#REF!="Catastrófico"),CONCATENATE("R3C",'R. Gestión '!#REF!),"")</f>
        <v>#REF!</v>
      </c>
      <c r="AL28" s="45" t="e">
        <f>IF(AND('R. Gestión '!#REF!="Media",'R. Gestión '!#REF!="Catastrófico"),CONCATENATE("R3C",'R. Gestión '!#REF!),"")</f>
        <v>#REF!</v>
      </c>
      <c r="AM28" s="46" t="e">
        <f>IF(AND('R. Gestión '!#REF!="Media",'R. Gestión '!#REF!="Catastrófico"),CONCATENATE("R3C",'R. Gestión '!#REF!),"")</f>
        <v>#REF!</v>
      </c>
      <c r="AN28" s="72"/>
      <c r="AO28" s="744"/>
      <c r="AP28" s="745"/>
      <c r="AQ28" s="745"/>
      <c r="AR28" s="745"/>
      <c r="AS28" s="745"/>
      <c r="AT28" s="746"/>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x14ac:dyDescent="0.25">
      <c r="A29" s="72"/>
      <c r="B29" s="663"/>
      <c r="C29" s="663"/>
      <c r="D29" s="664"/>
      <c r="E29" s="704"/>
      <c r="F29" s="705"/>
      <c r="G29" s="705"/>
      <c r="H29" s="705"/>
      <c r="I29" s="706"/>
      <c r="J29" s="56" t="str">
        <f>IF(AND('R. Gestión '!$AD$239="Media",'R. Gestión '!$AF$239="Leve"),CONCATENATE("R4C",'R. Gestión '!$S$239),"")</f>
        <v/>
      </c>
      <c r="K29" s="57" t="str">
        <f>IF(AND('R. Gestión '!$AD$240="Media",'R. Gestión '!$AF$240="Leve"),CONCATENATE("R4C",'R. Gestión '!$S$240),"")</f>
        <v/>
      </c>
      <c r="L29" s="57" t="str">
        <f>IF(AND('R. Gestión '!$AD$241="Media",'R. Gestión '!$AF$241="Leve"),CONCATENATE("R4C",'R. Gestión '!$S$241),"")</f>
        <v/>
      </c>
      <c r="M29" s="57" t="str">
        <f>IF(AND('R. Gestión '!$AD$242="Media",'R. Gestión '!$AF$242="Leve"),CONCATENATE("R4C",'R. Gestión '!$S$242),"")</f>
        <v/>
      </c>
      <c r="N29" s="57" t="str">
        <f>IF(AND('R. Gestión '!$AD$243="Media",'R. Gestión '!$AF$243="Leve"),CONCATENATE("R4C",'R. Gestión '!$S$243),"")</f>
        <v/>
      </c>
      <c r="O29" s="58" t="str">
        <f>IF(AND('R. Gestión '!$AD$244="Media",'R. Gestión '!$AF$244="Leve"),CONCATENATE("R4C",'R. Gestión '!$S$244),"")</f>
        <v/>
      </c>
      <c r="P29" s="56" t="str">
        <f>IF(AND('R. Gestión '!$AD$239="Media",'R. Gestión '!$AF$239="Menor"),CONCATENATE("R4C",'R. Gestión '!$S$239),"")</f>
        <v/>
      </c>
      <c r="Q29" s="57" t="str">
        <f>IF(AND('R. Gestión '!$AD$240="Media",'R. Gestión '!$AF$240="Menor"),CONCATENATE("R4C",'R. Gestión '!$S$240),"")</f>
        <v/>
      </c>
      <c r="R29" s="57" t="str">
        <f>IF(AND('R. Gestión '!$AD$241="Media",'R. Gestión '!$AF$241="Menor"),CONCATENATE("R4C",'R. Gestión '!$S$241),"")</f>
        <v/>
      </c>
      <c r="S29" s="57" t="str">
        <f>IF(AND('R. Gestión '!$AD$242="Media",'R. Gestión '!$AF$242="Menor"),CONCATENATE("R4C",'R. Gestión '!$S$242),"")</f>
        <v/>
      </c>
      <c r="T29" s="57" t="str">
        <f>IF(AND('R. Gestión '!$AD$243="Media",'R. Gestión '!$AF$243="Menor"),CONCATENATE("R4C",'R. Gestión '!$S$243),"")</f>
        <v/>
      </c>
      <c r="U29" s="58" t="str">
        <f>IF(AND('R. Gestión '!$AD$244="Media",'R. Gestión '!$AF$244="Menor"),CONCATENATE("R4C",'R. Gestión '!$S$244),"")</f>
        <v/>
      </c>
      <c r="V29" s="56" t="str">
        <f>IF(AND('R. Gestión '!$AD$239="Media",'R. Gestión '!$AF$239="Moderado"),CONCATENATE("R4C",'R. Gestión '!$S$239),"")</f>
        <v/>
      </c>
      <c r="W29" s="57" t="str">
        <f>IF(AND('R. Gestión '!$AD$240="Media",'R. Gestión '!$AF$240="Moderado"),CONCATENATE("R4C",'R. Gestión '!$S$240),"")</f>
        <v/>
      </c>
      <c r="X29" s="57" t="str">
        <f>IF(AND('R. Gestión '!$AD$241="Media",'R. Gestión '!$AF$241="Moderado"),CONCATENATE("R4C",'R. Gestión '!$S$241),"")</f>
        <v/>
      </c>
      <c r="Y29" s="57" t="str">
        <f>IF(AND('R. Gestión '!$AD$242="Media",'R. Gestión '!$AF$242="Moderado"),CONCATENATE("R4C",'R. Gestión '!$S$242),"")</f>
        <v/>
      </c>
      <c r="Z29" s="57" t="str">
        <f>IF(AND('R. Gestión '!$AD$243="Media",'R. Gestión '!$AF$243="Moderado"),CONCATENATE("R4C",'R. Gestión '!$S$243),"")</f>
        <v/>
      </c>
      <c r="AA29" s="58" t="str">
        <f>IF(AND('R. Gestión '!$AD$244="Media",'R. Gestión '!$AF$244="Moderado"),CONCATENATE("R4C",'R. Gestión '!$S$244),"")</f>
        <v/>
      </c>
      <c r="AB29" s="41" t="str">
        <f>IF(AND('R. Gestión '!$AD$239="Media",'R. Gestión '!$AF$239="Mayor"),CONCATENATE("R4C",'R. Gestión '!$S$239),"")</f>
        <v/>
      </c>
      <c r="AC29" s="42" t="str">
        <f>IF(AND('R. Gestión '!$AD$240="Media",'R. Gestión '!$AF$240="Mayor"),CONCATENATE("R4C",'R. Gestión '!$S$240),"")</f>
        <v/>
      </c>
      <c r="AD29" s="42" t="str">
        <f>IF(AND('R. Gestión '!$AD$241="Media",'R. Gestión '!$AF$241="Mayor"),CONCATENATE("R4C",'R. Gestión '!$S$241),"")</f>
        <v/>
      </c>
      <c r="AE29" s="42" t="str">
        <f>IF(AND('R. Gestión '!$AD$242="Media",'R. Gestión '!$AF$242="Mayor"),CONCATENATE("R4C",'R. Gestión '!$S$242),"")</f>
        <v/>
      </c>
      <c r="AF29" s="42" t="str">
        <f>IF(AND('R. Gestión '!$AD$243="Media",'R. Gestión '!$AF$243="Mayor"),CONCATENATE("R4C",'R. Gestión '!$S$243),"")</f>
        <v/>
      </c>
      <c r="AG29" s="43" t="str">
        <f>IF(AND('R. Gestión '!$AD$244="Media",'R. Gestión '!$AF$244="Mayor"),CONCATENATE("R4C",'R. Gestión '!$S$244),"")</f>
        <v/>
      </c>
      <c r="AH29" s="44" t="str">
        <f>IF(AND('R. Gestión '!$AD$239="Media",'R. Gestión '!$AF$239="Catastrófico"),CONCATENATE("R4C",'R. Gestión '!$S$239),"")</f>
        <v/>
      </c>
      <c r="AI29" s="45" t="str">
        <f>IF(AND('R. Gestión '!$AD$240="Media",'R. Gestión '!$AF$240="Catastrófico"),CONCATENATE("R4C",'R. Gestión '!$S$240),"")</f>
        <v/>
      </c>
      <c r="AJ29" s="45" t="str">
        <f>IF(AND('R. Gestión '!$AD$241="Media",'R. Gestión '!$AF$241="Catastrófico"),CONCATENATE("R4C",'R. Gestión '!$S$241),"")</f>
        <v/>
      </c>
      <c r="AK29" s="45" t="str">
        <f>IF(AND('R. Gestión '!$AD$242="Media",'R. Gestión '!$AF$242="Catastrófico"),CONCATENATE("R4C",'R. Gestión '!$S$242),"")</f>
        <v/>
      </c>
      <c r="AL29" s="45" t="str">
        <f>IF(AND('R. Gestión '!$AD$243="Media",'R. Gestión '!$AF$243="Catastrófico"),CONCATENATE("R4C",'R. Gestión '!$S$243),"")</f>
        <v/>
      </c>
      <c r="AM29" s="46" t="str">
        <f>IF(AND('R. Gestión '!$AD$244="Media",'R. Gestión '!$AF$244="Catastrófico"),CONCATENATE("R4C",'R. Gestión '!$S$244),"")</f>
        <v/>
      </c>
      <c r="AN29" s="72"/>
      <c r="AO29" s="744"/>
      <c r="AP29" s="745"/>
      <c r="AQ29" s="745"/>
      <c r="AR29" s="745"/>
      <c r="AS29" s="745"/>
      <c r="AT29" s="746"/>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x14ac:dyDescent="0.25">
      <c r="A30" s="72"/>
      <c r="B30" s="663"/>
      <c r="C30" s="663"/>
      <c r="D30" s="664"/>
      <c r="E30" s="704"/>
      <c r="F30" s="705"/>
      <c r="G30" s="705"/>
      <c r="H30" s="705"/>
      <c r="I30" s="706"/>
      <c r="J30" s="56" t="str">
        <f>IF(AND('R. Gestión '!$AD$257="Media",'R. Gestión '!$AF$257="Leve"),CONCATENATE("R5C",'R. Gestión '!$S$257),"")</f>
        <v/>
      </c>
      <c r="K30" s="57" t="str">
        <f>IF(AND('R. Gestión '!$AD$258="Media",'R. Gestión '!$AF$258="Leve"),CONCATENATE("R5C",'R. Gestión '!$S$258),"")</f>
        <v/>
      </c>
      <c r="L30" s="57" t="str">
        <f>IF(AND('R. Gestión '!$AD$259="Media",'R. Gestión '!$AF$259="Leve"),CONCATENATE("R5C",'R. Gestión '!$S$259),"")</f>
        <v/>
      </c>
      <c r="M30" s="57" t="str">
        <f>IF(AND('R. Gestión '!$AD$260="Media",'R. Gestión '!$AF$260="Leve"),CONCATENATE("R5C",'R. Gestión '!$S$260),"")</f>
        <v/>
      </c>
      <c r="N30" s="57" t="str">
        <f>IF(AND('R. Gestión '!$AD$261="Media",'R. Gestión '!$AF$261="Leve"),CONCATENATE("R5C",'R. Gestión '!$S$261),"")</f>
        <v/>
      </c>
      <c r="O30" s="58" t="str">
        <f>IF(AND('R. Gestión '!$AD$262="Media",'R. Gestión '!$AF$262="Leve"),CONCATENATE("R5C",'R. Gestión '!$S$262),"")</f>
        <v/>
      </c>
      <c r="P30" s="56" t="str">
        <f>IF(AND('R. Gestión '!$AD$257="Media",'R. Gestión '!$AF$257="Menor"),CONCATENATE("R5C",'R. Gestión '!$S$257),"")</f>
        <v/>
      </c>
      <c r="Q30" s="57" t="str">
        <f>IF(AND('R. Gestión '!$AD$258="Media",'R. Gestión '!$AF$258="Menor"),CONCATENATE("R5C",'R. Gestión '!$S$258),"")</f>
        <v/>
      </c>
      <c r="R30" s="57" t="str">
        <f>IF(AND('R. Gestión '!$AD$259="Media",'R. Gestión '!$AF$259="Menor"),CONCATENATE("R5C",'R. Gestión '!$S$259),"")</f>
        <v/>
      </c>
      <c r="S30" s="57" t="str">
        <f>IF(AND('R. Gestión '!$AD$260="Media",'R. Gestión '!$AF$260="Menor"),CONCATENATE("R5C",'R. Gestión '!$S$260),"")</f>
        <v/>
      </c>
      <c r="T30" s="57" t="str">
        <f>IF(AND('R. Gestión '!$AD$261="Media",'R. Gestión '!$AF$261="Menor"),CONCATENATE("R5C",'R. Gestión '!$S$261),"")</f>
        <v/>
      </c>
      <c r="U30" s="58" t="str">
        <f>IF(AND('R. Gestión '!$AD$262="Media",'R. Gestión '!$AF$262="Menor"),CONCATENATE("R5C",'R. Gestión '!$S$262),"")</f>
        <v/>
      </c>
      <c r="V30" s="56" t="str">
        <f>IF(AND('R. Gestión '!$AD$257="Media",'R. Gestión '!$AF$257="Moderado"),CONCATENATE("R5C",'R. Gestión '!$S$257),"")</f>
        <v/>
      </c>
      <c r="W30" s="57" t="str">
        <f>IF(AND('R. Gestión '!$AD$258="Media",'R. Gestión '!$AF$258="Moderado"),CONCATENATE("R5C",'R. Gestión '!$S$258),"")</f>
        <v/>
      </c>
      <c r="X30" s="57" t="str">
        <f>IF(AND('R. Gestión '!$AD$259="Media",'R. Gestión '!$AF$259="Moderado"),CONCATENATE("R5C",'R. Gestión '!$S$259),"")</f>
        <v/>
      </c>
      <c r="Y30" s="57" t="str">
        <f>IF(AND('R. Gestión '!$AD$260="Media",'R. Gestión '!$AF$260="Moderado"),CONCATENATE("R5C",'R. Gestión '!$S$260),"")</f>
        <v/>
      </c>
      <c r="Z30" s="57" t="str">
        <f>IF(AND('R. Gestión '!$AD$261="Media",'R. Gestión '!$AF$261="Moderado"),CONCATENATE("R5C",'R. Gestión '!$S$261),"")</f>
        <v/>
      </c>
      <c r="AA30" s="58" t="str">
        <f>IF(AND('R. Gestión '!$AD$262="Media",'R. Gestión '!$AF$262="Moderado"),CONCATENATE("R5C",'R. Gestión '!$S$262),"")</f>
        <v/>
      </c>
      <c r="AB30" s="41" t="str">
        <f>IF(AND('R. Gestión '!$AD$257="Media",'R. Gestión '!$AF$257="Mayor"),CONCATENATE("R5C",'R. Gestión '!$S$257),"")</f>
        <v/>
      </c>
      <c r="AC30" s="42" t="str">
        <f>IF(AND('R. Gestión '!$AD$258="Media",'R. Gestión '!$AF$258="Mayor"),CONCATENATE("R5C",'R. Gestión '!$S$258),"")</f>
        <v/>
      </c>
      <c r="AD30" s="42" t="str">
        <f>IF(AND('R. Gestión '!$AD$259="Media",'R. Gestión '!$AF$259="Mayor"),CONCATENATE("R5C",'R. Gestión '!$S$259),"")</f>
        <v/>
      </c>
      <c r="AE30" s="42" t="str">
        <f>IF(AND('R. Gestión '!$AD$260="Media",'R. Gestión '!$AF$260="Mayor"),CONCATENATE("R5C",'R. Gestión '!$S$260),"")</f>
        <v/>
      </c>
      <c r="AF30" s="42" t="str">
        <f>IF(AND('R. Gestión '!$AD$261="Media",'R. Gestión '!$AF$261="Mayor"),CONCATENATE("R5C",'R. Gestión '!$S$261),"")</f>
        <v/>
      </c>
      <c r="AG30" s="43" t="str">
        <f>IF(AND('R. Gestión '!$AD$262="Media",'R. Gestión '!$AF$262="Mayor"),CONCATENATE("R5C",'R. Gestión '!$S$262),"")</f>
        <v/>
      </c>
      <c r="AH30" s="44" t="str">
        <f>IF(AND('R. Gestión '!$AD$257="Media",'R. Gestión '!$AF$257="Catastrófico"),CONCATENATE("R5C",'R. Gestión '!$S$257),"")</f>
        <v/>
      </c>
      <c r="AI30" s="45" t="str">
        <f>IF(AND('R. Gestión '!$AD$258="Media",'R. Gestión '!$AF$258="Catastrófico"),CONCATENATE("R5C",'R. Gestión '!$S$258),"")</f>
        <v/>
      </c>
      <c r="AJ30" s="45" t="str">
        <f>IF(AND('R. Gestión '!$AD$259="Media",'R. Gestión '!$AF$259="Catastrófico"),CONCATENATE("R5C",'R. Gestión '!$S$259),"")</f>
        <v/>
      </c>
      <c r="AK30" s="45" t="str">
        <f>IF(AND('R. Gestión '!$AD$260="Media",'R. Gestión '!$AF$260="Catastrófico"),CONCATENATE("R5C",'R. Gestión '!$S$260),"")</f>
        <v/>
      </c>
      <c r="AL30" s="45" t="str">
        <f>IF(AND('R. Gestión '!$AD$261="Media",'R. Gestión '!$AF$261="Catastrófico"),CONCATENATE("R5C",'R. Gestión '!$S$261),"")</f>
        <v/>
      </c>
      <c r="AM30" s="46" t="str">
        <f>IF(AND('R. Gestión '!$AD$262="Media",'R. Gestión '!$AF$262="Catastrófico"),CONCATENATE("R5C",'R. Gestión '!$S$262),"")</f>
        <v/>
      </c>
      <c r="AN30" s="72"/>
      <c r="AO30" s="744"/>
      <c r="AP30" s="745"/>
      <c r="AQ30" s="745"/>
      <c r="AR30" s="745"/>
      <c r="AS30" s="745"/>
      <c r="AT30" s="746"/>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x14ac:dyDescent="0.25">
      <c r="A31" s="72"/>
      <c r="B31" s="663"/>
      <c r="C31" s="663"/>
      <c r="D31" s="664"/>
      <c r="E31" s="704"/>
      <c r="F31" s="705"/>
      <c r="G31" s="705"/>
      <c r="H31" s="705"/>
      <c r="I31" s="706"/>
      <c r="J31" s="56" t="e">
        <f>IF(AND('R. Gestión '!#REF!="Media",'R. Gestión '!#REF!="Leve"),CONCATENATE("R6C",'R. Gestión '!#REF!),"")</f>
        <v>#REF!</v>
      </c>
      <c r="K31" s="57" t="e">
        <f>IF(AND('R. Gestión '!#REF!="Media",'R. Gestión '!#REF!="Leve"),CONCATENATE("R6C",'R. Gestión '!#REF!),"")</f>
        <v>#REF!</v>
      </c>
      <c r="L31" s="57" t="e">
        <f>IF(AND('R. Gestión '!#REF!="Media",'R. Gestión '!#REF!="Leve"),CONCATENATE("R6C",'R. Gestión '!#REF!),"")</f>
        <v>#REF!</v>
      </c>
      <c r="M31" s="57" t="e">
        <f>IF(AND('R. Gestión '!#REF!="Media",'R. Gestión '!#REF!="Leve"),CONCATENATE("R6C",'R. Gestión '!#REF!),"")</f>
        <v>#REF!</v>
      </c>
      <c r="N31" s="57" t="e">
        <f>IF(AND('R. Gestión '!#REF!="Media",'R. Gestión '!#REF!="Leve"),CONCATENATE("R6C",'R. Gestión '!#REF!),"")</f>
        <v>#REF!</v>
      </c>
      <c r="O31" s="58" t="e">
        <f>IF(AND('R. Gestión '!#REF!="Media",'R. Gestión '!#REF!="Leve"),CONCATENATE("R6C",'R. Gestión '!#REF!),"")</f>
        <v>#REF!</v>
      </c>
      <c r="P31" s="56" t="e">
        <f>IF(AND('R. Gestión '!#REF!="Media",'R. Gestión '!#REF!="Menor"),CONCATENATE("R6C",'R. Gestión '!#REF!),"")</f>
        <v>#REF!</v>
      </c>
      <c r="Q31" s="57" t="e">
        <f>IF(AND('R. Gestión '!#REF!="Media",'R. Gestión '!#REF!="Menor"),CONCATENATE("R6C",'R. Gestión '!#REF!),"")</f>
        <v>#REF!</v>
      </c>
      <c r="R31" s="57" t="e">
        <f>IF(AND('R. Gestión '!#REF!="Media",'R. Gestión '!#REF!="Menor"),CONCATENATE("R6C",'R. Gestión '!#REF!),"")</f>
        <v>#REF!</v>
      </c>
      <c r="S31" s="57" t="e">
        <f>IF(AND('R. Gestión '!#REF!="Media",'R. Gestión '!#REF!="Menor"),CONCATENATE("R6C",'R. Gestión '!#REF!),"")</f>
        <v>#REF!</v>
      </c>
      <c r="T31" s="57" t="e">
        <f>IF(AND('R. Gestión '!#REF!="Media",'R. Gestión '!#REF!="Menor"),CONCATENATE("R6C",'R. Gestión '!#REF!),"")</f>
        <v>#REF!</v>
      </c>
      <c r="U31" s="58" t="e">
        <f>IF(AND('R. Gestión '!#REF!="Media",'R. Gestión '!#REF!="Menor"),CONCATENATE("R6C",'R. Gestión '!#REF!),"")</f>
        <v>#REF!</v>
      </c>
      <c r="V31" s="56" t="e">
        <f>IF(AND('R. Gestión '!#REF!="Media",'R. Gestión '!#REF!="Moderado"),CONCATENATE("R6C",'R. Gestión '!#REF!),"")</f>
        <v>#REF!</v>
      </c>
      <c r="W31" s="57" t="e">
        <f>IF(AND('R. Gestión '!#REF!="Media",'R. Gestión '!#REF!="Moderado"),CONCATENATE("R6C",'R. Gestión '!#REF!),"")</f>
        <v>#REF!</v>
      </c>
      <c r="X31" s="57" t="e">
        <f>IF(AND('R. Gestión '!#REF!="Media",'R. Gestión '!#REF!="Moderado"),CONCATENATE("R6C",'R. Gestión '!#REF!),"")</f>
        <v>#REF!</v>
      </c>
      <c r="Y31" s="57" t="e">
        <f>IF(AND('R. Gestión '!#REF!="Media",'R. Gestión '!#REF!="Moderado"),CONCATENATE("R6C",'R. Gestión '!#REF!),"")</f>
        <v>#REF!</v>
      </c>
      <c r="Z31" s="57" t="e">
        <f>IF(AND('R. Gestión '!#REF!="Media",'R. Gestión '!#REF!="Moderado"),CONCATENATE("R6C",'R. Gestión '!#REF!),"")</f>
        <v>#REF!</v>
      </c>
      <c r="AA31" s="58" t="e">
        <f>IF(AND('R. Gestión '!#REF!="Media",'R. Gestión '!#REF!="Moderado"),CONCATENATE("R6C",'R. Gestión '!#REF!),"")</f>
        <v>#REF!</v>
      </c>
      <c r="AB31" s="41" t="e">
        <f>IF(AND('R. Gestión '!#REF!="Media",'R. Gestión '!#REF!="Mayor"),CONCATENATE("R6C",'R. Gestión '!#REF!),"")</f>
        <v>#REF!</v>
      </c>
      <c r="AC31" s="42" t="e">
        <f>IF(AND('R. Gestión '!#REF!="Media",'R. Gestión '!#REF!="Mayor"),CONCATENATE("R6C",'R. Gestión '!#REF!),"")</f>
        <v>#REF!</v>
      </c>
      <c r="AD31" s="42" t="e">
        <f>IF(AND('R. Gestión '!#REF!="Media",'R. Gestión '!#REF!="Mayor"),CONCATENATE("R6C",'R. Gestión '!#REF!),"")</f>
        <v>#REF!</v>
      </c>
      <c r="AE31" s="42" t="e">
        <f>IF(AND('R. Gestión '!#REF!="Media",'R. Gestión '!#REF!="Mayor"),CONCATENATE("R6C",'R. Gestión '!#REF!),"")</f>
        <v>#REF!</v>
      </c>
      <c r="AF31" s="42" t="e">
        <f>IF(AND('R. Gestión '!#REF!="Media",'R. Gestión '!#REF!="Mayor"),CONCATENATE("R6C",'R. Gestión '!#REF!),"")</f>
        <v>#REF!</v>
      </c>
      <c r="AG31" s="43" t="e">
        <f>IF(AND('R. Gestión '!#REF!="Media",'R. Gestión '!#REF!="Mayor"),CONCATENATE("R6C",'R. Gestión '!#REF!),"")</f>
        <v>#REF!</v>
      </c>
      <c r="AH31" s="44" t="e">
        <f>IF(AND('R. Gestión '!#REF!="Media",'R. Gestión '!#REF!="Catastrófico"),CONCATENATE("R6C",'R. Gestión '!#REF!),"")</f>
        <v>#REF!</v>
      </c>
      <c r="AI31" s="45" t="e">
        <f>IF(AND('R. Gestión '!#REF!="Media",'R. Gestión '!#REF!="Catastrófico"),CONCATENATE("R6C",'R. Gestión '!#REF!),"")</f>
        <v>#REF!</v>
      </c>
      <c r="AJ31" s="45" t="e">
        <f>IF(AND('R. Gestión '!#REF!="Media",'R. Gestión '!#REF!="Catastrófico"),CONCATENATE("R6C",'R. Gestión '!#REF!),"")</f>
        <v>#REF!</v>
      </c>
      <c r="AK31" s="45" t="e">
        <f>IF(AND('R. Gestión '!#REF!="Media",'R. Gestión '!#REF!="Catastrófico"),CONCATENATE("R6C",'R. Gestión '!#REF!),"")</f>
        <v>#REF!</v>
      </c>
      <c r="AL31" s="45" t="e">
        <f>IF(AND('R. Gestión '!#REF!="Media",'R. Gestión '!#REF!="Catastrófico"),CONCATENATE("R6C",'R. Gestión '!#REF!),"")</f>
        <v>#REF!</v>
      </c>
      <c r="AM31" s="46" t="e">
        <f>IF(AND('R. Gestión '!#REF!="Media",'R. Gestión '!#REF!="Catastrófico"),CONCATENATE("R6C",'R. Gestión '!#REF!),"")</f>
        <v>#REF!</v>
      </c>
      <c r="AN31" s="72"/>
      <c r="AO31" s="744"/>
      <c r="AP31" s="745"/>
      <c r="AQ31" s="745"/>
      <c r="AR31" s="745"/>
      <c r="AS31" s="745"/>
      <c r="AT31" s="746"/>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x14ac:dyDescent="0.25">
      <c r="A32" s="72"/>
      <c r="B32" s="663"/>
      <c r="C32" s="663"/>
      <c r="D32" s="664"/>
      <c r="E32" s="704"/>
      <c r="F32" s="705"/>
      <c r="G32" s="705"/>
      <c r="H32" s="705"/>
      <c r="I32" s="706"/>
      <c r="J32" s="56" t="e">
        <f>IF(AND('R. Gestión '!#REF!="Media",'R. Gestión '!#REF!="Leve"),CONCATENATE("R7C",'R. Gestión '!#REF!),"")</f>
        <v>#REF!</v>
      </c>
      <c r="K32" s="57" t="e">
        <f>IF(AND('R. Gestión '!#REF!="Media",'R. Gestión '!#REF!="Leve"),CONCATENATE("R7C",'R. Gestión '!#REF!),"")</f>
        <v>#REF!</v>
      </c>
      <c r="L32" s="57" t="e">
        <f>IF(AND('R. Gestión '!#REF!="Media",'R. Gestión '!#REF!="Leve"),CONCATENATE("R7C",'R. Gestión '!#REF!),"")</f>
        <v>#REF!</v>
      </c>
      <c r="M32" s="57" t="e">
        <f>IF(AND('R. Gestión '!#REF!="Media",'R. Gestión '!#REF!="Leve"),CONCATENATE("R7C",'R. Gestión '!#REF!),"")</f>
        <v>#REF!</v>
      </c>
      <c r="N32" s="57" t="e">
        <f>IF(AND('R. Gestión '!#REF!="Media",'R. Gestión '!#REF!="Leve"),CONCATENATE("R7C",'R. Gestión '!#REF!),"")</f>
        <v>#REF!</v>
      </c>
      <c r="O32" s="58" t="e">
        <f>IF(AND('R. Gestión '!#REF!="Media",'R. Gestión '!#REF!="Leve"),CONCATENATE("R7C",'R. Gestión '!#REF!),"")</f>
        <v>#REF!</v>
      </c>
      <c r="P32" s="56" t="e">
        <f>IF(AND('R. Gestión '!#REF!="Media",'R. Gestión '!#REF!="Menor"),CONCATENATE("R7C",'R. Gestión '!#REF!),"")</f>
        <v>#REF!</v>
      </c>
      <c r="Q32" s="57" t="e">
        <f>IF(AND('R. Gestión '!#REF!="Media",'R. Gestión '!#REF!="Menor"),CONCATENATE("R7C",'R. Gestión '!#REF!),"")</f>
        <v>#REF!</v>
      </c>
      <c r="R32" s="57" t="e">
        <f>IF(AND('R. Gestión '!#REF!="Media",'R. Gestión '!#REF!="Menor"),CONCATENATE("R7C",'R. Gestión '!#REF!),"")</f>
        <v>#REF!</v>
      </c>
      <c r="S32" s="57" t="e">
        <f>IF(AND('R. Gestión '!#REF!="Media",'R. Gestión '!#REF!="Menor"),CONCATENATE("R7C",'R. Gestión '!#REF!),"")</f>
        <v>#REF!</v>
      </c>
      <c r="T32" s="57" t="e">
        <f>IF(AND('R. Gestión '!#REF!="Media",'R. Gestión '!#REF!="Menor"),CONCATENATE("R7C",'R. Gestión '!#REF!),"")</f>
        <v>#REF!</v>
      </c>
      <c r="U32" s="58" t="e">
        <f>IF(AND('R. Gestión '!#REF!="Media",'R. Gestión '!#REF!="Menor"),CONCATENATE("R7C",'R. Gestión '!#REF!),"")</f>
        <v>#REF!</v>
      </c>
      <c r="V32" s="56" t="e">
        <f>IF(AND('R. Gestión '!#REF!="Media",'R. Gestión '!#REF!="Moderado"),CONCATENATE("R7C",'R. Gestión '!#REF!),"")</f>
        <v>#REF!</v>
      </c>
      <c r="W32" s="57" t="e">
        <f>IF(AND('R. Gestión '!#REF!="Media",'R. Gestión '!#REF!="Moderado"),CONCATENATE("R7C",'R. Gestión '!#REF!),"")</f>
        <v>#REF!</v>
      </c>
      <c r="X32" s="57" t="e">
        <f>IF(AND('R. Gestión '!#REF!="Media",'R. Gestión '!#REF!="Moderado"),CONCATENATE("R7C",'R. Gestión '!#REF!),"")</f>
        <v>#REF!</v>
      </c>
      <c r="Y32" s="57" t="e">
        <f>IF(AND('R. Gestión '!#REF!="Media",'R. Gestión '!#REF!="Moderado"),CONCATENATE("R7C",'R. Gestión '!#REF!),"")</f>
        <v>#REF!</v>
      </c>
      <c r="Z32" s="57" t="e">
        <f>IF(AND('R. Gestión '!#REF!="Media",'R. Gestión '!#REF!="Moderado"),CONCATENATE("R7C",'R. Gestión '!#REF!),"")</f>
        <v>#REF!</v>
      </c>
      <c r="AA32" s="58" t="e">
        <f>IF(AND('R. Gestión '!#REF!="Media",'R. Gestión '!#REF!="Moderado"),CONCATENATE("R7C",'R. Gestión '!#REF!),"")</f>
        <v>#REF!</v>
      </c>
      <c r="AB32" s="41" t="e">
        <f>IF(AND('R. Gestión '!#REF!="Media",'R. Gestión '!#REF!="Mayor"),CONCATENATE("R7C",'R. Gestión '!#REF!),"")</f>
        <v>#REF!</v>
      </c>
      <c r="AC32" s="42" t="e">
        <f>IF(AND('R. Gestión '!#REF!="Media",'R. Gestión '!#REF!="Mayor"),CONCATENATE("R7C",'R. Gestión '!#REF!),"")</f>
        <v>#REF!</v>
      </c>
      <c r="AD32" s="42" t="e">
        <f>IF(AND('R. Gestión '!#REF!="Media",'R. Gestión '!#REF!="Mayor"),CONCATENATE("R7C",'R. Gestión '!#REF!),"")</f>
        <v>#REF!</v>
      </c>
      <c r="AE32" s="42" t="e">
        <f>IF(AND('R. Gestión '!#REF!="Media",'R. Gestión '!#REF!="Mayor"),CONCATENATE("R7C",'R. Gestión '!#REF!),"")</f>
        <v>#REF!</v>
      </c>
      <c r="AF32" s="42" t="e">
        <f>IF(AND('R. Gestión '!#REF!="Media",'R. Gestión '!#REF!="Mayor"),CONCATENATE("R7C",'R. Gestión '!#REF!),"")</f>
        <v>#REF!</v>
      </c>
      <c r="AG32" s="43" t="e">
        <f>IF(AND('R. Gestión '!#REF!="Media",'R. Gestión '!#REF!="Mayor"),CONCATENATE("R7C",'R. Gestión '!#REF!),"")</f>
        <v>#REF!</v>
      </c>
      <c r="AH32" s="44" t="e">
        <f>IF(AND('R. Gestión '!#REF!="Media",'R. Gestión '!#REF!="Catastrófico"),CONCATENATE("R7C",'R. Gestión '!#REF!),"")</f>
        <v>#REF!</v>
      </c>
      <c r="AI32" s="45" t="e">
        <f>IF(AND('R. Gestión '!#REF!="Media",'R. Gestión '!#REF!="Catastrófico"),CONCATENATE("R7C",'R. Gestión '!#REF!),"")</f>
        <v>#REF!</v>
      </c>
      <c r="AJ32" s="45" t="e">
        <f>IF(AND('R. Gestión '!#REF!="Media",'R. Gestión '!#REF!="Catastrófico"),CONCATENATE("R7C",'R. Gestión '!#REF!),"")</f>
        <v>#REF!</v>
      </c>
      <c r="AK32" s="45" t="e">
        <f>IF(AND('R. Gestión '!#REF!="Media",'R. Gestión '!#REF!="Catastrófico"),CONCATENATE("R7C",'R. Gestión '!#REF!),"")</f>
        <v>#REF!</v>
      </c>
      <c r="AL32" s="45" t="e">
        <f>IF(AND('R. Gestión '!#REF!="Media",'R. Gestión '!#REF!="Catastrófico"),CONCATENATE("R7C",'R. Gestión '!#REF!),"")</f>
        <v>#REF!</v>
      </c>
      <c r="AM32" s="46" t="e">
        <f>IF(AND('R. Gestión '!#REF!="Media",'R. Gestión '!#REF!="Catastrófico"),CONCATENATE("R7C",'R. Gestión '!#REF!),"")</f>
        <v>#REF!</v>
      </c>
      <c r="AN32" s="72"/>
      <c r="AO32" s="744"/>
      <c r="AP32" s="745"/>
      <c r="AQ32" s="745"/>
      <c r="AR32" s="745"/>
      <c r="AS32" s="745"/>
      <c r="AT32" s="746"/>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x14ac:dyDescent="0.25">
      <c r="A33" s="72"/>
      <c r="B33" s="663"/>
      <c r="C33" s="663"/>
      <c r="D33" s="664"/>
      <c r="E33" s="704"/>
      <c r="F33" s="705"/>
      <c r="G33" s="705"/>
      <c r="H33" s="705"/>
      <c r="I33" s="706"/>
      <c r="J33" s="56" t="str">
        <f>IF(AND('R. Gestión '!$AD$281="Media",'R. Gestión '!$AF$281="Leve"),CONCATENATE("R8C",'R. Gestión '!$S$281),"")</f>
        <v/>
      </c>
      <c r="K33" s="57" t="str">
        <f>IF(AND('R. Gestión '!$AD$282="Media",'R. Gestión '!$AF$282="Leve"),CONCATENATE("R8C",'R. Gestión '!$S$282),"")</f>
        <v/>
      </c>
      <c r="L33" s="57" t="str">
        <f>IF(AND('R. Gestión '!$AD$283="Media",'R. Gestión '!$AF$283="Leve"),CONCATENATE("R8C",'R. Gestión '!$S$283),"")</f>
        <v/>
      </c>
      <c r="M33" s="57" t="str">
        <f>IF(AND('R. Gestión '!$AD$284="Media",'R. Gestión '!$AF$284="Leve"),CONCATENATE("R8C",'R. Gestión '!$S$284),"")</f>
        <v/>
      </c>
      <c r="N33" s="57" t="str">
        <f>IF(AND('R. Gestión '!$AD$285="Media",'R. Gestión '!$AF$285="Leve"),CONCATENATE("R8C",'R. Gestión '!$S$285),"")</f>
        <v/>
      </c>
      <c r="O33" s="58" t="str">
        <f>IF(AND('R. Gestión '!$AD$286="Media",'R. Gestión '!$AF$286="Leve"),CONCATENATE("R8C",'R. Gestión '!$S$286),"")</f>
        <v/>
      </c>
      <c r="P33" s="56" t="str">
        <f>IF(AND('R. Gestión '!$AD$281="Media",'R. Gestión '!$AF$281="Menor"),CONCATENATE("R8C",'R. Gestión '!$S$281),"")</f>
        <v/>
      </c>
      <c r="Q33" s="57" t="str">
        <f>IF(AND('R. Gestión '!$AD$282="Media",'R. Gestión '!$AF$282="Menor"),CONCATENATE("R8C",'R. Gestión '!$S$282),"")</f>
        <v/>
      </c>
      <c r="R33" s="57" t="str">
        <f>IF(AND('R. Gestión '!$AD$283="Media",'R. Gestión '!$AF$283="Menor"),CONCATENATE("R8C",'R. Gestión '!$S$283),"")</f>
        <v/>
      </c>
      <c r="S33" s="57" t="str">
        <f>IF(AND('R. Gestión '!$AD$284="Media",'R. Gestión '!$AF$284="Menor"),CONCATENATE("R8C",'R. Gestión '!$S$284),"")</f>
        <v/>
      </c>
      <c r="T33" s="57" t="str">
        <f>IF(AND('R. Gestión '!$AD$285="Media",'R. Gestión '!$AF$285="Menor"),CONCATENATE("R8C",'R. Gestión '!$S$285),"")</f>
        <v/>
      </c>
      <c r="U33" s="58" t="str">
        <f>IF(AND('R. Gestión '!$AD$286="Media",'R. Gestión '!$AF$286="Menor"),CONCATENATE("R8C",'R. Gestión '!$S$286),"")</f>
        <v/>
      </c>
      <c r="V33" s="56" t="str">
        <f>IF(AND('R. Gestión '!$AD$281="Media",'R. Gestión '!$AF$281="Moderado"),CONCATENATE("R8C",'R. Gestión '!$S$281),"")</f>
        <v/>
      </c>
      <c r="W33" s="57" t="str">
        <f>IF(AND('R. Gestión '!$AD$282="Media",'R. Gestión '!$AF$282="Moderado"),CONCATENATE("R8C",'R. Gestión '!$S$282),"")</f>
        <v/>
      </c>
      <c r="X33" s="57" t="str">
        <f>IF(AND('R. Gestión '!$AD$283="Media",'R. Gestión '!$AF$283="Moderado"),CONCATENATE("R8C",'R. Gestión '!$S$283),"")</f>
        <v/>
      </c>
      <c r="Y33" s="57" t="str">
        <f>IF(AND('R. Gestión '!$AD$284="Media",'R. Gestión '!$AF$284="Moderado"),CONCATENATE("R8C",'R. Gestión '!$S$284),"")</f>
        <v/>
      </c>
      <c r="Z33" s="57" t="str">
        <f>IF(AND('R. Gestión '!$AD$285="Media",'R. Gestión '!$AF$285="Moderado"),CONCATENATE("R8C",'R. Gestión '!$S$285),"")</f>
        <v/>
      </c>
      <c r="AA33" s="58" t="str">
        <f>IF(AND('R. Gestión '!$AD$286="Media",'R. Gestión '!$AF$286="Moderado"),CONCATENATE("R8C",'R. Gestión '!$S$286),"")</f>
        <v/>
      </c>
      <c r="AB33" s="41" t="str">
        <f>IF(AND('R. Gestión '!$AD$281="Media",'R. Gestión '!$AF$281="Mayor"),CONCATENATE("R8C",'R. Gestión '!$S$281),"")</f>
        <v/>
      </c>
      <c r="AC33" s="42" t="str">
        <f>IF(AND('R. Gestión '!$AD$282="Media",'R. Gestión '!$AF$282="Mayor"),CONCATENATE("R8C",'R. Gestión '!$S$282),"")</f>
        <v/>
      </c>
      <c r="AD33" s="42" t="str">
        <f>IF(AND('R. Gestión '!$AD$283="Media",'R. Gestión '!$AF$283="Mayor"),CONCATENATE("R8C",'R. Gestión '!$S$283),"")</f>
        <v/>
      </c>
      <c r="AE33" s="42" t="str">
        <f>IF(AND('R. Gestión '!$AD$284="Media",'R. Gestión '!$AF$284="Mayor"),CONCATENATE("R8C",'R. Gestión '!$S$284),"")</f>
        <v/>
      </c>
      <c r="AF33" s="42" t="str">
        <f>IF(AND('R. Gestión '!$AD$285="Media",'R. Gestión '!$AF$285="Mayor"),CONCATENATE("R8C",'R. Gestión '!$S$285),"")</f>
        <v/>
      </c>
      <c r="AG33" s="43" t="str">
        <f>IF(AND('R. Gestión '!$AD$286="Media",'R. Gestión '!$AF$286="Mayor"),CONCATENATE("R8C",'R. Gestión '!$S$286),"")</f>
        <v/>
      </c>
      <c r="AH33" s="44" t="str">
        <f>IF(AND('R. Gestión '!$AD$281="Media",'R. Gestión '!$AF$281="Catastrófico"),CONCATENATE("R8C",'R. Gestión '!$S$281),"")</f>
        <v/>
      </c>
      <c r="AI33" s="45" t="str">
        <f>IF(AND('R. Gestión '!$AD$282="Media",'R. Gestión '!$AF$282="Catastrófico"),CONCATENATE("R8C",'R. Gestión '!$S$282),"")</f>
        <v/>
      </c>
      <c r="AJ33" s="45" t="str">
        <f>IF(AND('R. Gestión '!$AD$283="Media",'R. Gestión '!$AF$283="Catastrófico"),CONCATENATE("R8C",'R. Gestión '!$S$283),"")</f>
        <v/>
      </c>
      <c r="AK33" s="45" t="str">
        <f>IF(AND('R. Gestión '!$AD$284="Media",'R. Gestión '!$AF$284="Catastrófico"),CONCATENATE("R8C",'R. Gestión '!$S$284),"")</f>
        <v/>
      </c>
      <c r="AL33" s="45" t="str">
        <f>IF(AND('R. Gestión '!$AD$285="Media",'R. Gestión '!$AF$285="Catastrófico"),CONCATENATE("R8C",'R. Gestión '!$S$285),"")</f>
        <v/>
      </c>
      <c r="AM33" s="46" t="str">
        <f>IF(AND('R. Gestión '!$AD$286="Media",'R. Gestión '!$AF$286="Catastrófico"),CONCATENATE("R8C",'R. Gestión '!$S$286),"")</f>
        <v/>
      </c>
      <c r="AN33" s="72"/>
      <c r="AO33" s="744"/>
      <c r="AP33" s="745"/>
      <c r="AQ33" s="745"/>
      <c r="AR33" s="745"/>
      <c r="AS33" s="745"/>
      <c r="AT33" s="746"/>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x14ac:dyDescent="0.25">
      <c r="A34" s="72"/>
      <c r="B34" s="663"/>
      <c r="C34" s="663"/>
      <c r="D34" s="664"/>
      <c r="E34" s="704"/>
      <c r="F34" s="705"/>
      <c r="G34" s="705"/>
      <c r="H34" s="705"/>
      <c r="I34" s="706"/>
      <c r="J34" s="56" t="e">
        <f>IF(AND('R. Gestión '!#REF!="Media",'R. Gestión '!#REF!="Leve"),CONCATENATE("R9C",'R. Gestión '!#REF!),"")</f>
        <v>#REF!</v>
      </c>
      <c r="K34" s="57" t="e">
        <f>IF(AND('R. Gestión '!#REF!="Media",'R. Gestión '!#REF!="Leve"),CONCATENATE("R9C",'R. Gestión '!#REF!),"")</f>
        <v>#REF!</v>
      </c>
      <c r="L34" s="57" t="e">
        <f>IF(AND('R. Gestión '!#REF!="Media",'R. Gestión '!#REF!="Leve"),CONCATENATE("R9C",'R. Gestión '!#REF!),"")</f>
        <v>#REF!</v>
      </c>
      <c r="M34" s="57" t="e">
        <f>IF(AND('R. Gestión '!#REF!="Media",'R. Gestión '!#REF!="Leve"),CONCATENATE("R9C",'R. Gestión '!#REF!),"")</f>
        <v>#REF!</v>
      </c>
      <c r="N34" s="57" t="e">
        <f>IF(AND('R. Gestión '!#REF!="Media",'R. Gestión '!#REF!="Leve"),CONCATENATE("R9C",'R. Gestión '!#REF!),"")</f>
        <v>#REF!</v>
      </c>
      <c r="O34" s="58" t="e">
        <f>IF(AND('R. Gestión '!#REF!="Media",'R. Gestión '!#REF!="Leve"),CONCATENATE("R9C",'R. Gestión '!#REF!),"")</f>
        <v>#REF!</v>
      </c>
      <c r="P34" s="56" t="e">
        <f>IF(AND('R. Gestión '!#REF!="Media",'R. Gestión '!#REF!="Menor"),CONCATENATE("R9C",'R. Gestión '!#REF!),"")</f>
        <v>#REF!</v>
      </c>
      <c r="Q34" s="57" t="e">
        <f>IF(AND('R. Gestión '!#REF!="Media",'R. Gestión '!#REF!="Menor"),CONCATENATE("R9C",'R. Gestión '!#REF!),"")</f>
        <v>#REF!</v>
      </c>
      <c r="R34" s="57" t="e">
        <f>IF(AND('R. Gestión '!#REF!="Media",'R. Gestión '!#REF!="Menor"),CONCATENATE("R9C",'R. Gestión '!#REF!),"")</f>
        <v>#REF!</v>
      </c>
      <c r="S34" s="57" t="e">
        <f>IF(AND('R. Gestión '!#REF!="Media",'R. Gestión '!#REF!="Menor"),CONCATENATE("R9C",'R. Gestión '!#REF!),"")</f>
        <v>#REF!</v>
      </c>
      <c r="T34" s="57" t="e">
        <f>IF(AND('R. Gestión '!#REF!="Media",'R. Gestión '!#REF!="Menor"),CONCATENATE("R9C",'R. Gestión '!#REF!),"")</f>
        <v>#REF!</v>
      </c>
      <c r="U34" s="58" t="e">
        <f>IF(AND('R. Gestión '!#REF!="Media",'R. Gestión '!#REF!="Menor"),CONCATENATE("R9C",'R. Gestión '!#REF!),"")</f>
        <v>#REF!</v>
      </c>
      <c r="V34" s="56" t="e">
        <f>IF(AND('R. Gestión '!#REF!="Media",'R. Gestión '!#REF!="Moderado"),CONCATENATE("R9C",'R. Gestión '!#REF!),"")</f>
        <v>#REF!</v>
      </c>
      <c r="W34" s="57" t="e">
        <f>IF(AND('R. Gestión '!#REF!="Media",'R. Gestión '!#REF!="Moderado"),CONCATENATE("R9C",'R. Gestión '!#REF!),"")</f>
        <v>#REF!</v>
      </c>
      <c r="X34" s="57" t="e">
        <f>IF(AND('R. Gestión '!#REF!="Media",'R. Gestión '!#REF!="Moderado"),CONCATENATE("R9C",'R. Gestión '!#REF!),"")</f>
        <v>#REF!</v>
      </c>
      <c r="Y34" s="57" t="e">
        <f>IF(AND('R. Gestión '!#REF!="Media",'R. Gestión '!#REF!="Moderado"),CONCATENATE("R9C",'R. Gestión '!#REF!),"")</f>
        <v>#REF!</v>
      </c>
      <c r="Z34" s="57" t="e">
        <f>IF(AND('R. Gestión '!#REF!="Media",'R. Gestión '!#REF!="Moderado"),CONCATENATE("R9C",'R. Gestión '!#REF!),"")</f>
        <v>#REF!</v>
      </c>
      <c r="AA34" s="58" t="e">
        <f>IF(AND('R. Gestión '!#REF!="Media",'R. Gestión '!#REF!="Moderado"),CONCATENATE("R9C",'R. Gestión '!#REF!),"")</f>
        <v>#REF!</v>
      </c>
      <c r="AB34" s="41" t="e">
        <f>IF(AND('R. Gestión '!#REF!="Media",'R. Gestión '!#REF!="Mayor"),CONCATENATE("R9C",'R. Gestión '!#REF!),"")</f>
        <v>#REF!</v>
      </c>
      <c r="AC34" s="42" t="e">
        <f>IF(AND('R. Gestión '!#REF!="Media",'R. Gestión '!#REF!="Mayor"),CONCATENATE("R9C",'R. Gestión '!#REF!),"")</f>
        <v>#REF!</v>
      </c>
      <c r="AD34" s="42" t="e">
        <f>IF(AND('R. Gestión '!#REF!="Media",'R. Gestión '!#REF!="Mayor"),CONCATENATE("R9C",'R. Gestión '!#REF!),"")</f>
        <v>#REF!</v>
      </c>
      <c r="AE34" s="42" t="e">
        <f>IF(AND('R. Gestión '!#REF!="Media",'R. Gestión '!#REF!="Mayor"),CONCATENATE("R9C",'R. Gestión '!#REF!),"")</f>
        <v>#REF!</v>
      </c>
      <c r="AF34" s="42" t="e">
        <f>IF(AND('R. Gestión '!#REF!="Media",'R. Gestión '!#REF!="Mayor"),CONCATENATE("R9C",'R. Gestión '!#REF!),"")</f>
        <v>#REF!</v>
      </c>
      <c r="AG34" s="43" t="e">
        <f>IF(AND('R. Gestión '!#REF!="Media",'R. Gestión '!#REF!="Mayor"),CONCATENATE("R9C",'R. Gestión '!#REF!),"")</f>
        <v>#REF!</v>
      </c>
      <c r="AH34" s="44" t="e">
        <f>IF(AND('R. Gestión '!#REF!="Media",'R. Gestión '!#REF!="Catastrófico"),CONCATENATE("R9C",'R. Gestión '!#REF!),"")</f>
        <v>#REF!</v>
      </c>
      <c r="AI34" s="45" t="e">
        <f>IF(AND('R. Gestión '!#REF!="Media",'R. Gestión '!#REF!="Catastrófico"),CONCATENATE("R9C",'R. Gestión '!#REF!),"")</f>
        <v>#REF!</v>
      </c>
      <c r="AJ34" s="45" t="e">
        <f>IF(AND('R. Gestión '!#REF!="Media",'R. Gestión '!#REF!="Catastrófico"),CONCATENATE("R9C",'R. Gestión '!#REF!),"")</f>
        <v>#REF!</v>
      </c>
      <c r="AK34" s="45" t="e">
        <f>IF(AND('R. Gestión '!#REF!="Media",'R. Gestión '!#REF!="Catastrófico"),CONCATENATE("R9C",'R. Gestión '!#REF!),"")</f>
        <v>#REF!</v>
      </c>
      <c r="AL34" s="45" t="e">
        <f>IF(AND('R. Gestión '!#REF!="Media",'R. Gestión '!#REF!="Catastrófico"),CONCATENATE("R9C",'R. Gestión '!#REF!),"")</f>
        <v>#REF!</v>
      </c>
      <c r="AM34" s="46" t="e">
        <f>IF(AND('R. Gestión '!#REF!="Media",'R. Gestión '!#REF!="Catastrófico"),CONCATENATE("R9C",'R. Gestión '!#REF!),"")</f>
        <v>#REF!</v>
      </c>
      <c r="AN34" s="72"/>
      <c r="AO34" s="744"/>
      <c r="AP34" s="745"/>
      <c r="AQ34" s="745"/>
      <c r="AR34" s="745"/>
      <c r="AS34" s="745"/>
      <c r="AT34" s="746"/>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x14ac:dyDescent="0.3">
      <c r="A35" s="72"/>
      <c r="B35" s="663"/>
      <c r="C35" s="663"/>
      <c r="D35" s="664"/>
      <c r="E35" s="707"/>
      <c r="F35" s="708"/>
      <c r="G35" s="708"/>
      <c r="H35" s="708"/>
      <c r="I35" s="709"/>
      <c r="J35" s="56" t="e">
        <f>IF(AND('R. Gestión '!#REF!="Media",'R. Gestión '!#REF!="Leve"),CONCATENATE("R10C",'R. Gestión '!#REF!),"")</f>
        <v>#REF!</v>
      </c>
      <c r="K35" s="57" t="e">
        <f>IF(AND('R. Gestión '!#REF!="Media",'R. Gestión '!#REF!="Leve"),CONCATENATE("R10C",'R. Gestión '!#REF!),"")</f>
        <v>#REF!</v>
      </c>
      <c r="L35" s="57" t="e">
        <f>IF(AND('R. Gestión '!#REF!="Media",'R. Gestión '!#REF!="Leve"),CONCATENATE("R10C",'R. Gestión '!#REF!),"")</f>
        <v>#REF!</v>
      </c>
      <c r="M35" s="57" t="e">
        <f>IF(AND('R. Gestión '!#REF!="Media",'R. Gestión '!#REF!="Leve"),CONCATENATE("R10C",'R. Gestión '!#REF!),"")</f>
        <v>#REF!</v>
      </c>
      <c r="N35" s="57" t="e">
        <f>IF(AND('R. Gestión '!#REF!="Media",'R. Gestión '!#REF!="Leve"),CONCATENATE("R10C",'R. Gestión '!#REF!),"")</f>
        <v>#REF!</v>
      </c>
      <c r="O35" s="58" t="e">
        <f>IF(AND('R. Gestión '!#REF!="Media",'R. Gestión '!#REF!="Leve"),CONCATENATE("R10C",'R. Gestión '!#REF!),"")</f>
        <v>#REF!</v>
      </c>
      <c r="P35" s="56" t="e">
        <f>IF(AND('R. Gestión '!#REF!="Media",'R. Gestión '!#REF!="Menor"),CONCATENATE("R10C",'R. Gestión '!#REF!),"")</f>
        <v>#REF!</v>
      </c>
      <c r="Q35" s="57" t="e">
        <f>IF(AND('R. Gestión '!#REF!="Media",'R. Gestión '!#REF!="Menor"),CONCATENATE("R10C",'R. Gestión '!#REF!),"")</f>
        <v>#REF!</v>
      </c>
      <c r="R35" s="57" t="e">
        <f>IF(AND('R. Gestión '!#REF!="Media",'R. Gestión '!#REF!="Menor"),CONCATENATE("R10C",'R. Gestión '!#REF!),"")</f>
        <v>#REF!</v>
      </c>
      <c r="S35" s="57" t="e">
        <f>IF(AND('R. Gestión '!#REF!="Media",'R. Gestión '!#REF!="Menor"),CONCATENATE("R10C",'R. Gestión '!#REF!),"")</f>
        <v>#REF!</v>
      </c>
      <c r="T35" s="57" t="e">
        <f>IF(AND('R. Gestión '!#REF!="Media",'R. Gestión '!#REF!="Menor"),CONCATENATE("R10C",'R. Gestión '!#REF!),"")</f>
        <v>#REF!</v>
      </c>
      <c r="U35" s="58" t="e">
        <f>IF(AND('R. Gestión '!#REF!="Media",'R. Gestión '!#REF!="Menor"),CONCATENATE("R10C",'R. Gestión '!#REF!),"")</f>
        <v>#REF!</v>
      </c>
      <c r="V35" s="56" t="e">
        <f>IF(AND('R. Gestión '!#REF!="Media",'R. Gestión '!#REF!="Moderado"),CONCATENATE("R10C",'R. Gestión '!#REF!),"")</f>
        <v>#REF!</v>
      </c>
      <c r="W35" s="57" t="e">
        <f>IF(AND('R. Gestión '!#REF!="Media",'R. Gestión '!#REF!="Moderado"),CONCATENATE("R10C",'R. Gestión '!#REF!),"")</f>
        <v>#REF!</v>
      </c>
      <c r="X35" s="57" t="e">
        <f>IF(AND('R. Gestión '!#REF!="Media",'R. Gestión '!#REF!="Moderado"),CONCATENATE("R10C",'R. Gestión '!#REF!),"")</f>
        <v>#REF!</v>
      </c>
      <c r="Y35" s="57" t="e">
        <f>IF(AND('R. Gestión '!#REF!="Media",'R. Gestión '!#REF!="Moderado"),CONCATENATE("R10C",'R. Gestión '!#REF!),"")</f>
        <v>#REF!</v>
      </c>
      <c r="Z35" s="57" t="e">
        <f>IF(AND('R. Gestión '!#REF!="Media",'R. Gestión '!#REF!="Moderado"),CONCATENATE("R10C",'R. Gestión '!#REF!),"")</f>
        <v>#REF!</v>
      </c>
      <c r="AA35" s="58" t="e">
        <f>IF(AND('R. Gestión '!#REF!="Media",'R. Gestión '!#REF!="Moderado"),CONCATENATE("R10C",'R. Gestión '!#REF!),"")</f>
        <v>#REF!</v>
      </c>
      <c r="AB35" s="47" t="e">
        <f>IF(AND('R. Gestión '!#REF!="Media",'R. Gestión '!#REF!="Mayor"),CONCATENATE("R10C",'R. Gestión '!#REF!),"")</f>
        <v>#REF!</v>
      </c>
      <c r="AC35" s="48" t="e">
        <f>IF(AND('R. Gestión '!#REF!="Media",'R. Gestión '!#REF!="Mayor"),CONCATENATE("R10C",'R. Gestión '!#REF!),"")</f>
        <v>#REF!</v>
      </c>
      <c r="AD35" s="48" t="e">
        <f>IF(AND('R. Gestión '!#REF!="Media",'R. Gestión '!#REF!="Mayor"),CONCATENATE("R10C",'R. Gestión '!#REF!),"")</f>
        <v>#REF!</v>
      </c>
      <c r="AE35" s="48" t="e">
        <f>IF(AND('R. Gestión '!#REF!="Media",'R. Gestión '!#REF!="Mayor"),CONCATENATE("R10C",'R. Gestión '!#REF!),"")</f>
        <v>#REF!</v>
      </c>
      <c r="AF35" s="48" t="e">
        <f>IF(AND('R. Gestión '!#REF!="Media",'R. Gestión '!#REF!="Mayor"),CONCATENATE("R10C",'R. Gestión '!#REF!),"")</f>
        <v>#REF!</v>
      </c>
      <c r="AG35" s="49" t="e">
        <f>IF(AND('R. Gestión '!#REF!="Media",'R. Gestión '!#REF!="Mayor"),CONCATENATE("R10C",'R. Gestión '!#REF!),"")</f>
        <v>#REF!</v>
      </c>
      <c r="AH35" s="50" t="e">
        <f>IF(AND('R. Gestión '!#REF!="Media",'R. Gestión '!#REF!="Catastrófico"),CONCATENATE("R10C",'R. Gestión '!#REF!),"")</f>
        <v>#REF!</v>
      </c>
      <c r="AI35" s="51" t="e">
        <f>IF(AND('R. Gestión '!#REF!="Media",'R. Gestión '!#REF!="Catastrófico"),CONCATENATE("R10C",'R. Gestión '!#REF!),"")</f>
        <v>#REF!</v>
      </c>
      <c r="AJ35" s="51" t="e">
        <f>IF(AND('R. Gestión '!#REF!="Media",'R. Gestión '!#REF!="Catastrófico"),CONCATENATE("R10C",'R. Gestión '!#REF!),"")</f>
        <v>#REF!</v>
      </c>
      <c r="AK35" s="51" t="e">
        <f>IF(AND('R. Gestión '!#REF!="Media",'R. Gestión '!#REF!="Catastrófico"),CONCATENATE("R10C",'R. Gestión '!#REF!),"")</f>
        <v>#REF!</v>
      </c>
      <c r="AL35" s="51" t="e">
        <f>IF(AND('R. Gestión '!#REF!="Media",'R. Gestión '!#REF!="Catastrófico"),CONCATENATE("R10C",'R. Gestión '!#REF!),"")</f>
        <v>#REF!</v>
      </c>
      <c r="AM35" s="52" t="e">
        <f>IF(AND('R. Gestión '!#REF!="Media",'R. Gestión '!#REF!="Catastrófico"),CONCATENATE("R10C",'R. Gestión '!#REF!),"")</f>
        <v>#REF!</v>
      </c>
      <c r="AN35" s="72"/>
      <c r="AO35" s="747"/>
      <c r="AP35" s="748"/>
      <c r="AQ35" s="748"/>
      <c r="AR35" s="748"/>
      <c r="AS35" s="748"/>
      <c r="AT35" s="749"/>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x14ac:dyDescent="0.25">
      <c r="A36" s="72"/>
      <c r="B36" s="663"/>
      <c r="C36" s="663"/>
      <c r="D36" s="664"/>
      <c r="E36" s="701" t="s">
        <v>98</v>
      </c>
      <c r="F36" s="702"/>
      <c r="G36" s="702"/>
      <c r="H36" s="702"/>
      <c r="I36" s="702"/>
      <c r="J36" s="62" t="e">
        <f>IF(AND('R. Gestión '!#REF!="Baja",'R. Gestión '!#REF!="Leve"),CONCATENATE("R1C",'R. Gestión '!#REF!),"")</f>
        <v>#REF!</v>
      </c>
      <c r="K36" s="63" t="e">
        <f>IF(AND('R. Gestión '!#REF!="Baja",'R. Gestión '!#REF!="Leve"),CONCATENATE("R1C",'R. Gestión '!#REF!),"")</f>
        <v>#REF!</v>
      </c>
      <c r="L36" s="63" t="e">
        <f>IF(AND('R. Gestión '!#REF!="Baja",'R. Gestión '!#REF!="Leve"),CONCATENATE("R1C",'R. Gestión '!#REF!),"")</f>
        <v>#REF!</v>
      </c>
      <c r="M36" s="63" t="e">
        <f>IF(AND('R. Gestión '!#REF!="Baja",'R. Gestión '!#REF!="Leve"),CONCATENATE("R1C",'R. Gestión '!#REF!),"")</f>
        <v>#REF!</v>
      </c>
      <c r="N36" s="63" t="e">
        <f>IF(AND('R. Gestión '!#REF!="Baja",'R. Gestión '!#REF!="Leve"),CONCATENATE("R1C",'R. Gestión '!#REF!),"")</f>
        <v>#REF!</v>
      </c>
      <c r="O36" s="64" t="e">
        <f>IF(AND('R. Gestión '!#REF!="Baja",'R. Gestión '!#REF!="Leve"),CONCATENATE("R1C",'R. Gestión '!#REF!),"")</f>
        <v>#REF!</v>
      </c>
      <c r="P36" s="53" t="e">
        <f>IF(AND('R. Gestión '!#REF!="Baja",'R. Gestión '!#REF!="Menor"),CONCATENATE("R1C",'R. Gestión '!#REF!),"")</f>
        <v>#REF!</v>
      </c>
      <c r="Q36" s="54" t="e">
        <f>IF(AND('R. Gestión '!#REF!="Baja",'R. Gestión '!#REF!="Menor"),CONCATENATE("R1C",'R. Gestión '!#REF!),"")</f>
        <v>#REF!</v>
      </c>
      <c r="R36" s="54" t="e">
        <f>IF(AND('R. Gestión '!#REF!="Baja",'R. Gestión '!#REF!="Menor"),CONCATENATE("R1C",'R. Gestión '!#REF!),"")</f>
        <v>#REF!</v>
      </c>
      <c r="S36" s="54" t="e">
        <f>IF(AND('R. Gestión '!#REF!="Baja",'R. Gestión '!#REF!="Menor"),CONCATENATE("R1C",'R. Gestión '!#REF!),"")</f>
        <v>#REF!</v>
      </c>
      <c r="T36" s="54" t="e">
        <f>IF(AND('R. Gestión '!#REF!="Baja",'R. Gestión '!#REF!="Menor"),CONCATENATE("R1C",'R. Gestión '!#REF!),"")</f>
        <v>#REF!</v>
      </c>
      <c r="U36" s="55" t="e">
        <f>IF(AND('R. Gestión '!#REF!="Baja",'R. Gestión '!#REF!="Menor"),CONCATENATE("R1C",'R. Gestión '!#REF!),"")</f>
        <v>#REF!</v>
      </c>
      <c r="V36" s="53" t="e">
        <f>IF(AND('R. Gestión '!#REF!="Baja",'R. Gestión '!#REF!="Moderado"),CONCATENATE("R1C",'R. Gestión '!#REF!),"")</f>
        <v>#REF!</v>
      </c>
      <c r="W36" s="54" t="e">
        <f>IF(AND('R. Gestión '!#REF!="Baja",'R. Gestión '!#REF!="Moderado"),CONCATENATE("R1C",'R. Gestión '!#REF!),"")</f>
        <v>#REF!</v>
      </c>
      <c r="X36" s="54" t="e">
        <f>IF(AND('R. Gestión '!#REF!="Baja",'R. Gestión '!#REF!="Moderado"),CONCATENATE("R1C",'R. Gestión '!#REF!),"")</f>
        <v>#REF!</v>
      </c>
      <c r="Y36" s="54" t="e">
        <f>IF(AND('R. Gestión '!#REF!="Baja",'R. Gestión '!#REF!="Moderado"),CONCATENATE("R1C",'R. Gestión '!#REF!),"")</f>
        <v>#REF!</v>
      </c>
      <c r="Z36" s="54" t="e">
        <f>IF(AND('R. Gestión '!#REF!="Baja",'R. Gestión '!#REF!="Moderado"),CONCATENATE("R1C",'R. Gestión '!#REF!),"")</f>
        <v>#REF!</v>
      </c>
      <c r="AA36" s="55" t="e">
        <f>IF(AND('R. Gestión '!#REF!="Baja",'R. Gestión '!#REF!="Moderado"),CONCATENATE("R1C",'R. Gestión '!#REF!),"")</f>
        <v>#REF!</v>
      </c>
      <c r="AB36" s="35" t="e">
        <f>IF(AND('R. Gestión '!#REF!="Baja",'R. Gestión '!#REF!="Mayor"),CONCATENATE("R1C",'R. Gestión '!#REF!),"")</f>
        <v>#REF!</v>
      </c>
      <c r="AC36" s="36" t="e">
        <f>IF(AND('R. Gestión '!#REF!="Baja",'R. Gestión '!#REF!="Mayor"),CONCATENATE("R1C",'R. Gestión '!#REF!),"")</f>
        <v>#REF!</v>
      </c>
      <c r="AD36" s="36" t="e">
        <f>IF(AND('R. Gestión '!#REF!="Baja",'R. Gestión '!#REF!="Mayor"),CONCATENATE("R1C",'R. Gestión '!#REF!),"")</f>
        <v>#REF!</v>
      </c>
      <c r="AE36" s="36" t="e">
        <f>IF(AND('R. Gestión '!#REF!="Baja",'R. Gestión '!#REF!="Mayor"),CONCATENATE("R1C",'R. Gestión '!#REF!),"")</f>
        <v>#REF!</v>
      </c>
      <c r="AF36" s="36" t="e">
        <f>IF(AND('R. Gestión '!#REF!="Baja",'R. Gestión '!#REF!="Mayor"),CONCATENATE("R1C",'R. Gestión '!#REF!),"")</f>
        <v>#REF!</v>
      </c>
      <c r="AG36" s="37" t="e">
        <f>IF(AND('R. Gestión '!#REF!="Baja",'R. Gestión '!#REF!="Mayor"),CONCATENATE("R1C",'R. Gestión '!#REF!),"")</f>
        <v>#REF!</v>
      </c>
      <c r="AH36" s="38" t="e">
        <f>IF(AND('R. Gestión '!#REF!="Baja",'R. Gestión '!#REF!="Catastrófico"),CONCATENATE("R1C",'R. Gestión '!#REF!),"")</f>
        <v>#REF!</v>
      </c>
      <c r="AI36" s="39" t="e">
        <f>IF(AND('R. Gestión '!#REF!="Baja",'R. Gestión '!#REF!="Catastrófico"),CONCATENATE("R1C",'R. Gestión '!#REF!),"")</f>
        <v>#REF!</v>
      </c>
      <c r="AJ36" s="39" t="e">
        <f>IF(AND('R. Gestión '!#REF!="Baja",'R. Gestión '!#REF!="Catastrófico"),CONCATENATE("R1C",'R. Gestión '!#REF!),"")</f>
        <v>#REF!</v>
      </c>
      <c r="AK36" s="39" t="e">
        <f>IF(AND('R. Gestión '!#REF!="Baja",'R. Gestión '!#REF!="Catastrófico"),CONCATENATE("R1C",'R. Gestión '!#REF!),"")</f>
        <v>#REF!</v>
      </c>
      <c r="AL36" s="39" t="e">
        <f>IF(AND('R. Gestión '!#REF!="Baja",'R. Gestión '!#REF!="Catastrófico"),CONCATENATE("R1C",'R. Gestión '!#REF!),"")</f>
        <v>#REF!</v>
      </c>
      <c r="AM36" s="40" t="e">
        <f>IF(AND('R. Gestión '!#REF!="Baja",'R. Gestión '!#REF!="Catastrófico"),CONCATENATE("R1C",'R. Gestión '!#REF!),"")</f>
        <v>#REF!</v>
      </c>
      <c r="AN36" s="72"/>
      <c r="AO36" s="732" t="s">
        <v>68</v>
      </c>
      <c r="AP36" s="733"/>
      <c r="AQ36" s="733"/>
      <c r="AR36" s="733"/>
      <c r="AS36" s="733"/>
      <c r="AT36" s="734"/>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x14ac:dyDescent="0.25">
      <c r="A37" s="72"/>
      <c r="B37" s="663"/>
      <c r="C37" s="663"/>
      <c r="D37" s="664"/>
      <c r="E37" s="720"/>
      <c r="F37" s="705"/>
      <c r="G37" s="705"/>
      <c r="H37" s="705"/>
      <c r="I37" s="705"/>
      <c r="J37" s="65" t="e">
        <f>IF(AND('R. Gestión '!#REF!="Baja",'R. Gestión '!#REF!="Leve"),CONCATENATE("R2C",'R. Gestión '!#REF!),"")</f>
        <v>#REF!</v>
      </c>
      <c r="K37" s="66" t="e">
        <f>IF(AND('R. Gestión '!#REF!="Baja",'R. Gestión '!#REF!="Leve"),CONCATENATE("R2C",'R. Gestión '!#REF!),"")</f>
        <v>#REF!</v>
      </c>
      <c r="L37" s="66" t="e">
        <f>IF(AND('R. Gestión '!#REF!="Baja",'R. Gestión '!#REF!="Leve"),CONCATENATE("R2C",'R. Gestión '!#REF!),"")</f>
        <v>#REF!</v>
      </c>
      <c r="M37" s="66" t="e">
        <f>IF(AND('R. Gestión '!#REF!="Baja",'R. Gestión '!#REF!="Leve"),CONCATENATE("R2C",'R. Gestión '!#REF!),"")</f>
        <v>#REF!</v>
      </c>
      <c r="N37" s="66" t="e">
        <f>IF(AND('R. Gestión '!#REF!="Baja",'R. Gestión '!#REF!="Leve"),CONCATENATE("R2C",'R. Gestión '!#REF!),"")</f>
        <v>#REF!</v>
      </c>
      <c r="O37" s="67" t="e">
        <f>IF(AND('R. Gestión '!#REF!="Baja",'R. Gestión '!#REF!="Leve"),CONCATENATE("R2C",'R. Gestión '!#REF!),"")</f>
        <v>#REF!</v>
      </c>
      <c r="P37" s="56" t="e">
        <f>IF(AND('R. Gestión '!#REF!="Baja",'R. Gestión '!#REF!="Menor"),CONCATENATE("R2C",'R. Gestión '!#REF!),"")</f>
        <v>#REF!</v>
      </c>
      <c r="Q37" s="57" t="e">
        <f>IF(AND('R. Gestión '!#REF!="Baja",'R. Gestión '!#REF!="Menor"),CONCATENATE("R2C",'R. Gestión '!#REF!),"")</f>
        <v>#REF!</v>
      </c>
      <c r="R37" s="57" t="e">
        <f>IF(AND('R. Gestión '!#REF!="Baja",'R. Gestión '!#REF!="Menor"),CONCATENATE("R2C",'R. Gestión '!#REF!),"")</f>
        <v>#REF!</v>
      </c>
      <c r="S37" s="57" t="e">
        <f>IF(AND('R. Gestión '!#REF!="Baja",'R. Gestión '!#REF!="Menor"),CONCATENATE("R2C",'R. Gestión '!#REF!),"")</f>
        <v>#REF!</v>
      </c>
      <c r="T37" s="57" t="e">
        <f>IF(AND('R. Gestión '!#REF!="Baja",'R. Gestión '!#REF!="Menor"),CONCATENATE("R2C",'R. Gestión '!#REF!),"")</f>
        <v>#REF!</v>
      </c>
      <c r="U37" s="58" t="e">
        <f>IF(AND('R. Gestión '!#REF!="Baja",'R. Gestión '!#REF!="Menor"),CONCATENATE("R2C",'R. Gestión '!#REF!),"")</f>
        <v>#REF!</v>
      </c>
      <c r="V37" s="56" t="e">
        <f>IF(AND('R. Gestión '!#REF!="Baja",'R. Gestión '!#REF!="Moderado"),CONCATENATE("R2C",'R. Gestión '!#REF!),"")</f>
        <v>#REF!</v>
      </c>
      <c r="W37" s="57" t="e">
        <f>IF(AND('R. Gestión '!#REF!="Baja",'R. Gestión '!#REF!="Moderado"),CONCATENATE("R2C",'R. Gestión '!#REF!),"")</f>
        <v>#REF!</v>
      </c>
      <c r="X37" s="57" t="e">
        <f>IF(AND('R. Gestión '!#REF!="Baja",'R. Gestión '!#REF!="Moderado"),CONCATENATE("R2C",'R. Gestión '!#REF!),"")</f>
        <v>#REF!</v>
      </c>
      <c r="Y37" s="57" t="e">
        <f>IF(AND('R. Gestión '!#REF!="Baja",'R. Gestión '!#REF!="Moderado"),CONCATENATE("R2C",'R. Gestión '!#REF!),"")</f>
        <v>#REF!</v>
      </c>
      <c r="Z37" s="57" t="e">
        <f>IF(AND('R. Gestión '!#REF!="Baja",'R. Gestión '!#REF!="Moderado"),CONCATENATE("R2C",'R. Gestión '!#REF!),"")</f>
        <v>#REF!</v>
      </c>
      <c r="AA37" s="58" t="e">
        <f>IF(AND('R. Gestión '!#REF!="Baja",'R. Gestión '!#REF!="Moderado"),CONCATENATE("R2C",'R. Gestión '!#REF!),"")</f>
        <v>#REF!</v>
      </c>
      <c r="AB37" s="41" t="e">
        <f>IF(AND('R. Gestión '!#REF!="Baja",'R. Gestión '!#REF!="Mayor"),CONCATENATE("R2C",'R. Gestión '!#REF!),"")</f>
        <v>#REF!</v>
      </c>
      <c r="AC37" s="42" t="e">
        <f>IF(AND('R. Gestión '!#REF!="Baja",'R. Gestión '!#REF!="Mayor"),CONCATENATE("R2C",'R. Gestión '!#REF!),"")</f>
        <v>#REF!</v>
      </c>
      <c r="AD37" s="42" t="e">
        <f>IF(AND('R. Gestión '!#REF!="Baja",'R. Gestión '!#REF!="Mayor"),CONCATENATE("R2C",'R. Gestión '!#REF!),"")</f>
        <v>#REF!</v>
      </c>
      <c r="AE37" s="42" t="e">
        <f>IF(AND('R. Gestión '!#REF!="Baja",'R. Gestión '!#REF!="Mayor"),CONCATENATE("R2C",'R. Gestión '!#REF!),"")</f>
        <v>#REF!</v>
      </c>
      <c r="AF37" s="42" t="e">
        <f>IF(AND('R. Gestión '!#REF!="Baja",'R. Gestión '!#REF!="Mayor"),CONCATENATE("R2C",'R. Gestión '!#REF!),"")</f>
        <v>#REF!</v>
      </c>
      <c r="AG37" s="43" t="e">
        <f>IF(AND('R. Gestión '!#REF!="Baja",'R. Gestión '!#REF!="Mayor"),CONCATENATE("R2C",'R. Gestión '!#REF!),"")</f>
        <v>#REF!</v>
      </c>
      <c r="AH37" s="44" t="e">
        <f>IF(AND('R. Gestión '!#REF!="Baja",'R. Gestión '!#REF!="Catastrófico"),CONCATENATE("R2C",'R. Gestión '!#REF!),"")</f>
        <v>#REF!</v>
      </c>
      <c r="AI37" s="45" t="e">
        <f>IF(AND('R. Gestión '!#REF!="Baja",'R. Gestión '!#REF!="Catastrófico"),CONCATENATE("R2C",'R. Gestión '!#REF!),"")</f>
        <v>#REF!</v>
      </c>
      <c r="AJ37" s="45" t="e">
        <f>IF(AND('R. Gestión '!#REF!="Baja",'R. Gestión '!#REF!="Catastrófico"),CONCATENATE("R2C",'R. Gestión '!#REF!),"")</f>
        <v>#REF!</v>
      </c>
      <c r="AK37" s="45" t="e">
        <f>IF(AND('R. Gestión '!#REF!="Baja",'R. Gestión '!#REF!="Catastrófico"),CONCATENATE("R2C",'R. Gestión '!#REF!),"")</f>
        <v>#REF!</v>
      </c>
      <c r="AL37" s="45" t="e">
        <f>IF(AND('R. Gestión '!#REF!="Baja",'R. Gestión '!#REF!="Catastrófico"),CONCATENATE("R2C",'R. Gestión '!#REF!),"")</f>
        <v>#REF!</v>
      </c>
      <c r="AM37" s="46" t="e">
        <f>IF(AND('R. Gestión '!#REF!="Baja",'R. Gestión '!#REF!="Catastrófico"),CONCATENATE("R2C",'R. Gestión '!#REF!),"")</f>
        <v>#REF!</v>
      </c>
      <c r="AN37" s="72"/>
      <c r="AO37" s="735"/>
      <c r="AP37" s="736"/>
      <c r="AQ37" s="736"/>
      <c r="AR37" s="736"/>
      <c r="AS37" s="736"/>
      <c r="AT37" s="737"/>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x14ac:dyDescent="0.25">
      <c r="A38" s="72"/>
      <c r="B38" s="663"/>
      <c r="C38" s="663"/>
      <c r="D38" s="664"/>
      <c r="E38" s="704"/>
      <c r="F38" s="705"/>
      <c r="G38" s="705"/>
      <c r="H38" s="705"/>
      <c r="I38" s="705"/>
      <c r="J38" s="65" t="e">
        <f>IF(AND('R. Gestión '!#REF!="Baja",'R. Gestión '!#REF!="Leve"),CONCATENATE("R3C",'R. Gestión '!#REF!),"")</f>
        <v>#REF!</v>
      </c>
      <c r="K38" s="66" t="e">
        <f>IF(AND('R. Gestión '!#REF!="Baja",'R. Gestión '!#REF!="Leve"),CONCATENATE("R3C",'R. Gestión '!#REF!),"")</f>
        <v>#REF!</v>
      </c>
      <c r="L38" s="66" t="e">
        <f>IF(AND('R. Gestión '!#REF!="Baja",'R. Gestión '!#REF!="Leve"),CONCATENATE("R3C",'R. Gestión '!#REF!),"")</f>
        <v>#REF!</v>
      </c>
      <c r="M38" s="66" t="e">
        <f>IF(AND('R. Gestión '!#REF!="Baja",'R. Gestión '!#REF!="Leve"),CONCATENATE("R3C",'R. Gestión '!#REF!),"")</f>
        <v>#REF!</v>
      </c>
      <c r="N38" s="66" t="e">
        <f>IF(AND('R. Gestión '!#REF!="Baja",'R. Gestión '!#REF!="Leve"),CONCATENATE("R3C",'R. Gestión '!#REF!),"")</f>
        <v>#REF!</v>
      </c>
      <c r="O38" s="67" t="e">
        <f>IF(AND('R. Gestión '!#REF!="Baja",'R. Gestión '!#REF!="Leve"),CONCATENATE("R3C",'R. Gestión '!#REF!),"")</f>
        <v>#REF!</v>
      </c>
      <c r="P38" s="56" t="e">
        <f>IF(AND('R. Gestión '!#REF!="Baja",'R. Gestión '!#REF!="Menor"),CONCATENATE("R3C",'R. Gestión '!#REF!),"")</f>
        <v>#REF!</v>
      </c>
      <c r="Q38" s="57" t="e">
        <f>IF(AND('R. Gestión '!#REF!="Baja",'R. Gestión '!#REF!="Menor"),CONCATENATE("R3C",'R. Gestión '!#REF!),"")</f>
        <v>#REF!</v>
      </c>
      <c r="R38" s="57" t="e">
        <f>IF(AND('R. Gestión '!#REF!="Baja",'R. Gestión '!#REF!="Menor"),CONCATENATE("R3C",'R. Gestión '!#REF!),"")</f>
        <v>#REF!</v>
      </c>
      <c r="S38" s="57" t="e">
        <f>IF(AND('R. Gestión '!#REF!="Baja",'R. Gestión '!#REF!="Menor"),CONCATENATE("R3C",'R. Gestión '!#REF!),"")</f>
        <v>#REF!</v>
      </c>
      <c r="T38" s="57" t="e">
        <f>IF(AND('R. Gestión '!#REF!="Baja",'R. Gestión '!#REF!="Menor"),CONCATENATE("R3C",'R. Gestión '!#REF!),"")</f>
        <v>#REF!</v>
      </c>
      <c r="U38" s="58" t="e">
        <f>IF(AND('R. Gestión '!#REF!="Baja",'R. Gestión '!#REF!="Menor"),CONCATENATE("R3C",'R. Gestión '!#REF!),"")</f>
        <v>#REF!</v>
      </c>
      <c r="V38" s="56" t="e">
        <f>IF(AND('R. Gestión '!#REF!="Baja",'R. Gestión '!#REF!="Moderado"),CONCATENATE("R3C",'R. Gestión '!#REF!),"")</f>
        <v>#REF!</v>
      </c>
      <c r="W38" s="57" t="e">
        <f>IF(AND('R. Gestión '!#REF!="Baja",'R. Gestión '!#REF!="Moderado"),CONCATENATE("R3C",'R. Gestión '!#REF!),"")</f>
        <v>#REF!</v>
      </c>
      <c r="X38" s="57" t="e">
        <f>IF(AND('R. Gestión '!#REF!="Baja",'R. Gestión '!#REF!="Moderado"),CONCATENATE("R3C",'R. Gestión '!#REF!),"")</f>
        <v>#REF!</v>
      </c>
      <c r="Y38" s="57" t="e">
        <f>IF(AND('R. Gestión '!#REF!="Baja",'R. Gestión '!#REF!="Moderado"),CONCATENATE("R3C",'R. Gestión '!#REF!),"")</f>
        <v>#REF!</v>
      </c>
      <c r="Z38" s="57" t="e">
        <f>IF(AND('R. Gestión '!#REF!="Baja",'R. Gestión '!#REF!="Moderado"),CONCATENATE("R3C",'R. Gestión '!#REF!),"")</f>
        <v>#REF!</v>
      </c>
      <c r="AA38" s="58" t="e">
        <f>IF(AND('R. Gestión '!#REF!="Baja",'R. Gestión '!#REF!="Moderado"),CONCATENATE("R3C",'R. Gestión '!#REF!),"")</f>
        <v>#REF!</v>
      </c>
      <c r="AB38" s="41" t="e">
        <f>IF(AND('R. Gestión '!#REF!="Baja",'R. Gestión '!#REF!="Mayor"),CONCATENATE("R3C",'R. Gestión '!#REF!),"")</f>
        <v>#REF!</v>
      </c>
      <c r="AC38" s="42" t="e">
        <f>IF(AND('R. Gestión '!#REF!="Baja",'R. Gestión '!#REF!="Mayor"),CONCATENATE("R3C",'R. Gestión '!#REF!),"")</f>
        <v>#REF!</v>
      </c>
      <c r="AD38" s="42" t="e">
        <f>IF(AND('R. Gestión '!#REF!="Baja",'R. Gestión '!#REF!="Mayor"),CONCATENATE("R3C",'R. Gestión '!#REF!),"")</f>
        <v>#REF!</v>
      </c>
      <c r="AE38" s="42" t="e">
        <f>IF(AND('R. Gestión '!#REF!="Baja",'R. Gestión '!#REF!="Mayor"),CONCATENATE("R3C",'R. Gestión '!#REF!),"")</f>
        <v>#REF!</v>
      </c>
      <c r="AF38" s="42" t="e">
        <f>IF(AND('R. Gestión '!#REF!="Baja",'R. Gestión '!#REF!="Mayor"),CONCATENATE("R3C",'R. Gestión '!#REF!),"")</f>
        <v>#REF!</v>
      </c>
      <c r="AG38" s="43" t="e">
        <f>IF(AND('R. Gestión '!#REF!="Baja",'R. Gestión '!#REF!="Mayor"),CONCATENATE("R3C",'R. Gestión '!#REF!),"")</f>
        <v>#REF!</v>
      </c>
      <c r="AH38" s="44" t="e">
        <f>IF(AND('R. Gestión '!#REF!="Baja",'R. Gestión '!#REF!="Catastrófico"),CONCATENATE("R3C",'R. Gestión '!#REF!),"")</f>
        <v>#REF!</v>
      </c>
      <c r="AI38" s="45" t="e">
        <f>IF(AND('R. Gestión '!#REF!="Baja",'R. Gestión '!#REF!="Catastrófico"),CONCATENATE("R3C",'R. Gestión '!#REF!),"")</f>
        <v>#REF!</v>
      </c>
      <c r="AJ38" s="45" t="e">
        <f>IF(AND('R. Gestión '!#REF!="Baja",'R. Gestión '!#REF!="Catastrófico"),CONCATENATE("R3C",'R. Gestión '!#REF!),"")</f>
        <v>#REF!</v>
      </c>
      <c r="AK38" s="45" t="e">
        <f>IF(AND('R. Gestión '!#REF!="Baja",'R. Gestión '!#REF!="Catastrófico"),CONCATENATE("R3C",'R. Gestión '!#REF!),"")</f>
        <v>#REF!</v>
      </c>
      <c r="AL38" s="45" t="e">
        <f>IF(AND('R. Gestión '!#REF!="Baja",'R. Gestión '!#REF!="Catastrófico"),CONCATENATE("R3C",'R. Gestión '!#REF!),"")</f>
        <v>#REF!</v>
      </c>
      <c r="AM38" s="46" t="e">
        <f>IF(AND('R. Gestión '!#REF!="Baja",'R. Gestión '!#REF!="Catastrófico"),CONCATENATE("R3C",'R. Gestión '!#REF!),"")</f>
        <v>#REF!</v>
      </c>
      <c r="AN38" s="72"/>
      <c r="AO38" s="735"/>
      <c r="AP38" s="736"/>
      <c r="AQ38" s="736"/>
      <c r="AR38" s="736"/>
      <c r="AS38" s="736"/>
      <c r="AT38" s="737"/>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x14ac:dyDescent="0.25">
      <c r="A39" s="72"/>
      <c r="B39" s="663"/>
      <c r="C39" s="663"/>
      <c r="D39" s="664"/>
      <c r="E39" s="704"/>
      <c r="F39" s="705"/>
      <c r="G39" s="705"/>
      <c r="H39" s="705"/>
      <c r="I39" s="705"/>
      <c r="J39" s="65" t="str">
        <f>IF(AND('R. Gestión '!$AD$239="Baja",'R. Gestión '!$AF$239="Leve"),CONCATENATE("R4C",'R. Gestión '!$S$239),"")</f>
        <v/>
      </c>
      <c r="K39" s="66" t="str">
        <f>IF(AND('R. Gestión '!$AD$240="Baja",'R. Gestión '!$AF$240="Leve"),CONCATENATE("R4C",'R. Gestión '!$S$240),"")</f>
        <v/>
      </c>
      <c r="L39" s="66" t="str">
        <f>IF(AND('R. Gestión '!$AD$241="Baja",'R. Gestión '!$AF$241="Leve"),CONCATENATE("R4C",'R. Gestión '!$S$241),"")</f>
        <v/>
      </c>
      <c r="M39" s="66" t="str">
        <f>IF(AND('R. Gestión '!$AD$242="Baja",'R. Gestión '!$AF$242="Leve"),CONCATENATE("R4C",'R. Gestión '!$S$242),"")</f>
        <v/>
      </c>
      <c r="N39" s="66" t="str">
        <f>IF(AND('R. Gestión '!$AD$243="Baja",'R. Gestión '!$AF$243="Leve"),CONCATENATE("R4C",'R. Gestión '!$S$243),"")</f>
        <v/>
      </c>
      <c r="O39" s="67" t="str">
        <f>IF(AND('R. Gestión '!$AD$244="Baja",'R. Gestión '!$AF$244="Leve"),CONCATENATE("R4C",'R. Gestión '!$S$244),"")</f>
        <v/>
      </c>
      <c r="P39" s="56" t="str">
        <f>IF(AND('R. Gestión '!$AD$239="Baja",'R. Gestión '!$AF$239="Menor"),CONCATENATE("R4C",'R. Gestión '!$S$239),"")</f>
        <v>R4C1</v>
      </c>
      <c r="Q39" s="57" t="str">
        <f>IF(AND('R. Gestión '!$AD$240="Baja",'R. Gestión '!$AF$240="Menor"),CONCATENATE("R4C",'R. Gestión '!$S$240),"")</f>
        <v>R4C2</v>
      </c>
      <c r="R39" s="57" t="str">
        <f>IF(AND('R. Gestión '!$AD$241="Baja",'R. Gestión '!$AF$241="Menor"),CONCATENATE("R4C",'R. Gestión '!$S$241),"")</f>
        <v/>
      </c>
      <c r="S39" s="57" t="str">
        <f>IF(AND('R. Gestión '!$AD$242="Baja",'R. Gestión '!$AF$242="Menor"),CONCATENATE("R4C",'R. Gestión '!$S$242),"")</f>
        <v/>
      </c>
      <c r="T39" s="57" t="str">
        <f>IF(AND('R. Gestión '!$AD$243="Baja",'R. Gestión '!$AF$243="Menor"),CONCATENATE("R4C",'R. Gestión '!$S$243),"")</f>
        <v/>
      </c>
      <c r="U39" s="58" t="str">
        <f>IF(AND('R. Gestión '!$AD$244="Baja",'R. Gestión '!$AF$244="Menor"),CONCATENATE("R4C",'R. Gestión '!$S$244),"")</f>
        <v/>
      </c>
      <c r="V39" s="56" t="str">
        <f>IF(AND('R. Gestión '!$AD$239="Baja",'R. Gestión '!$AF$239="Moderado"),CONCATENATE("R4C",'R. Gestión '!$S$239),"")</f>
        <v/>
      </c>
      <c r="W39" s="57" t="str">
        <f>IF(AND('R. Gestión '!$AD$240="Baja",'R. Gestión '!$AF$240="Moderado"),CONCATENATE("R4C",'R. Gestión '!$S$240),"")</f>
        <v/>
      </c>
      <c r="X39" s="57" t="str">
        <f>IF(AND('R. Gestión '!$AD$241="Baja",'R. Gestión '!$AF$241="Moderado"),CONCATENATE("R4C",'R. Gestión '!$S$241),"")</f>
        <v/>
      </c>
      <c r="Y39" s="57" t="str">
        <f>IF(AND('R. Gestión '!$AD$242="Baja",'R. Gestión '!$AF$242="Moderado"),CONCATENATE("R4C",'R. Gestión '!$S$242),"")</f>
        <v/>
      </c>
      <c r="Z39" s="57" t="str">
        <f>IF(AND('R. Gestión '!$AD$243="Baja",'R. Gestión '!$AF$243="Moderado"),CONCATENATE("R4C",'R. Gestión '!$S$243),"")</f>
        <v/>
      </c>
      <c r="AA39" s="58" t="str">
        <f>IF(AND('R. Gestión '!$AD$244="Baja",'R. Gestión '!$AF$244="Moderado"),CONCATENATE("R4C",'R. Gestión '!$S$244),"")</f>
        <v/>
      </c>
      <c r="AB39" s="41" t="str">
        <f>IF(AND('R. Gestión '!$AD$239="Baja",'R. Gestión '!$AF$239="Mayor"),CONCATENATE("R4C",'R. Gestión '!$S$239),"")</f>
        <v/>
      </c>
      <c r="AC39" s="42" t="str">
        <f>IF(AND('R. Gestión '!$AD$240="Baja",'R. Gestión '!$AF$240="Mayor"),CONCATENATE("R4C",'R. Gestión '!$S$240),"")</f>
        <v/>
      </c>
      <c r="AD39" s="42" t="str">
        <f>IF(AND('R. Gestión '!$AD$241="Baja",'R. Gestión '!$AF$241="Mayor"),CONCATENATE("R4C",'R. Gestión '!$S$241),"")</f>
        <v/>
      </c>
      <c r="AE39" s="42" t="str">
        <f>IF(AND('R. Gestión '!$AD$242="Baja",'R. Gestión '!$AF$242="Mayor"),CONCATENATE("R4C",'R. Gestión '!$S$242),"")</f>
        <v/>
      </c>
      <c r="AF39" s="42" t="str">
        <f>IF(AND('R. Gestión '!$AD$243="Baja",'R. Gestión '!$AF$243="Mayor"),CONCATENATE("R4C",'R. Gestión '!$S$243),"")</f>
        <v/>
      </c>
      <c r="AG39" s="43" t="str">
        <f>IF(AND('R. Gestión '!$AD$244="Baja",'R. Gestión '!$AF$244="Mayor"),CONCATENATE("R4C",'R. Gestión '!$S$244),"")</f>
        <v/>
      </c>
      <c r="AH39" s="44" t="str">
        <f>IF(AND('R. Gestión '!$AD$239="Baja",'R. Gestión '!$AF$239="Catastrófico"),CONCATENATE("R4C",'R. Gestión '!$S$239),"")</f>
        <v/>
      </c>
      <c r="AI39" s="45" t="str">
        <f>IF(AND('R. Gestión '!$AD$240="Baja",'R. Gestión '!$AF$240="Catastrófico"),CONCATENATE("R4C",'R. Gestión '!$S$240),"")</f>
        <v/>
      </c>
      <c r="AJ39" s="45" t="str">
        <f>IF(AND('R. Gestión '!$AD$241="Baja",'R. Gestión '!$AF$241="Catastrófico"),CONCATENATE("R4C",'R. Gestión '!$S$241),"")</f>
        <v/>
      </c>
      <c r="AK39" s="45" t="str">
        <f>IF(AND('R. Gestión '!$AD$242="Baja",'R. Gestión '!$AF$242="Catastrófico"),CONCATENATE("R4C",'R. Gestión '!$S$242),"")</f>
        <v/>
      </c>
      <c r="AL39" s="45" t="str">
        <f>IF(AND('R. Gestión '!$AD$243="Baja",'R. Gestión '!$AF$243="Catastrófico"),CONCATENATE("R4C",'R. Gestión '!$S$243),"")</f>
        <v/>
      </c>
      <c r="AM39" s="46" t="str">
        <f>IF(AND('R. Gestión '!$AD$244="Baja",'R. Gestión '!$AF$244="Catastrófico"),CONCATENATE("R4C",'R. Gestión '!$S$244),"")</f>
        <v/>
      </c>
      <c r="AN39" s="72"/>
      <c r="AO39" s="735"/>
      <c r="AP39" s="736"/>
      <c r="AQ39" s="736"/>
      <c r="AR39" s="736"/>
      <c r="AS39" s="736"/>
      <c r="AT39" s="737"/>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x14ac:dyDescent="0.25">
      <c r="A40" s="72"/>
      <c r="B40" s="663"/>
      <c r="C40" s="663"/>
      <c r="D40" s="664"/>
      <c r="E40" s="704"/>
      <c r="F40" s="705"/>
      <c r="G40" s="705"/>
      <c r="H40" s="705"/>
      <c r="I40" s="705"/>
      <c r="J40" s="65" t="str">
        <f>IF(AND('R. Gestión '!$AD$257="Baja",'R. Gestión '!$AF$257="Leve"),CONCATENATE("R5C",'R. Gestión '!$S$257),"")</f>
        <v/>
      </c>
      <c r="K40" s="66" t="str">
        <f>IF(AND('R. Gestión '!$AD$258="Baja",'R. Gestión '!$AF$258="Leve"),CONCATENATE("R5C",'R. Gestión '!$S$258),"")</f>
        <v/>
      </c>
      <c r="L40" s="66" t="str">
        <f>IF(AND('R. Gestión '!$AD$259="Baja",'R. Gestión '!$AF$259="Leve"),CONCATENATE("R5C",'R. Gestión '!$S$259),"")</f>
        <v/>
      </c>
      <c r="M40" s="66" t="str">
        <f>IF(AND('R. Gestión '!$AD$260="Baja",'R. Gestión '!$AF$260="Leve"),CONCATENATE("R5C",'R. Gestión '!$S$260),"")</f>
        <v/>
      </c>
      <c r="N40" s="66" t="str">
        <f>IF(AND('R. Gestión '!$AD$261="Baja",'R. Gestión '!$AF$261="Leve"),CONCATENATE("R5C",'R. Gestión '!$S$261),"")</f>
        <v/>
      </c>
      <c r="O40" s="67" t="str">
        <f>IF(AND('R. Gestión '!$AD$262="Baja",'R. Gestión '!$AF$262="Leve"),CONCATENATE("R5C",'R. Gestión '!$S$262),"")</f>
        <v/>
      </c>
      <c r="P40" s="56" t="str">
        <f>IF(AND('R. Gestión '!$AD$257="Baja",'R. Gestión '!$AF$257="Menor"),CONCATENATE("R5C",'R. Gestión '!$S$257),"")</f>
        <v>R5C1</v>
      </c>
      <c r="Q40" s="57" t="str">
        <f>IF(AND('R. Gestión '!$AD$258="Baja",'R. Gestión '!$AF$258="Menor"),CONCATENATE("R5C",'R. Gestión '!$S$258),"")</f>
        <v/>
      </c>
      <c r="R40" s="57" t="str">
        <f>IF(AND('R. Gestión '!$AD$259="Baja",'R. Gestión '!$AF$259="Menor"),CONCATENATE("R5C",'R. Gestión '!$S$259),"")</f>
        <v/>
      </c>
      <c r="S40" s="57" t="str">
        <f>IF(AND('R. Gestión '!$AD$260="Baja",'R. Gestión '!$AF$260="Menor"),CONCATENATE("R5C",'R. Gestión '!$S$260),"")</f>
        <v/>
      </c>
      <c r="T40" s="57" t="str">
        <f>IF(AND('R. Gestión '!$AD$261="Baja",'R. Gestión '!$AF$261="Menor"),CONCATENATE("R5C",'R. Gestión '!$S$261),"")</f>
        <v/>
      </c>
      <c r="U40" s="58" t="str">
        <f>IF(AND('R. Gestión '!$AD$262="Baja",'R. Gestión '!$AF$262="Menor"),CONCATENATE("R5C",'R. Gestión '!$S$262),"")</f>
        <v/>
      </c>
      <c r="V40" s="56" t="str">
        <f>IF(AND('R. Gestión '!$AD$257="Baja",'R. Gestión '!$AF$257="Moderado"),CONCATENATE("R5C",'R. Gestión '!$S$257),"")</f>
        <v/>
      </c>
      <c r="W40" s="57" t="str">
        <f>IF(AND('R. Gestión '!$AD$258="Baja",'R. Gestión '!$AF$258="Moderado"),CONCATENATE("R5C",'R. Gestión '!$S$258),"")</f>
        <v/>
      </c>
      <c r="X40" s="57" t="str">
        <f>IF(AND('R. Gestión '!$AD$259="Baja",'R. Gestión '!$AF$259="Moderado"),CONCATENATE("R5C",'R. Gestión '!$S$259),"")</f>
        <v/>
      </c>
      <c r="Y40" s="57" t="str">
        <f>IF(AND('R. Gestión '!$AD$260="Baja",'R. Gestión '!$AF$260="Moderado"),CONCATENATE("R5C",'R. Gestión '!$S$260),"")</f>
        <v/>
      </c>
      <c r="Z40" s="57" t="str">
        <f>IF(AND('R. Gestión '!$AD$261="Baja",'R. Gestión '!$AF$261="Moderado"),CONCATENATE("R5C",'R. Gestión '!$S$261),"")</f>
        <v/>
      </c>
      <c r="AA40" s="58" t="str">
        <f>IF(AND('R. Gestión '!$AD$262="Baja",'R. Gestión '!$AF$262="Moderado"),CONCATENATE("R5C",'R. Gestión '!$S$262),"")</f>
        <v/>
      </c>
      <c r="AB40" s="41" t="str">
        <f>IF(AND('R. Gestión '!$AD$257="Baja",'R. Gestión '!$AF$257="Mayor"),CONCATENATE("R5C",'R. Gestión '!$S$257),"")</f>
        <v/>
      </c>
      <c r="AC40" s="42" t="str">
        <f>IF(AND('R. Gestión '!$AD$258="Baja",'R. Gestión '!$AF$258="Mayor"),CONCATENATE("R5C",'R. Gestión '!$S$258),"")</f>
        <v/>
      </c>
      <c r="AD40" s="42" t="str">
        <f>IF(AND('R. Gestión '!$AD$259="Baja",'R. Gestión '!$AF$259="Mayor"),CONCATENATE("R5C",'R. Gestión '!$S$259),"")</f>
        <v/>
      </c>
      <c r="AE40" s="42" t="str">
        <f>IF(AND('R. Gestión '!$AD$260="Baja",'R. Gestión '!$AF$260="Mayor"),CONCATENATE("R5C",'R. Gestión '!$S$260),"")</f>
        <v/>
      </c>
      <c r="AF40" s="42" t="str">
        <f>IF(AND('R. Gestión '!$AD$261="Baja",'R. Gestión '!$AF$261="Mayor"),CONCATENATE("R5C",'R. Gestión '!$S$261),"")</f>
        <v/>
      </c>
      <c r="AG40" s="43" t="str">
        <f>IF(AND('R. Gestión '!$AD$262="Baja",'R. Gestión '!$AF$262="Mayor"),CONCATENATE("R5C",'R. Gestión '!$S$262),"")</f>
        <v/>
      </c>
      <c r="AH40" s="44" t="str">
        <f>IF(AND('R. Gestión '!$AD$257="Baja",'R. Gestión '!$AF$257="Catastrófico"),CONCATENATE("R5C",'R. Gestión '!$S$257),"")</f>
        <v/>
      </c>
      <c r="AI40" s="45" t="str">
        <f>IF(AND('R. Gestión '!$AD$258="Baja",'R. Gestión '!$AF$258="Catastrófico"),CONCATENATE("R5C",'R. Gestión '!$S$258),"")</f>
        <v/>
      </c>
      <c r="AJ40" s="45" t="str">
        <f>IF(AND('R. Gestión '!$AD$259="Baja",'R. Gestión '!$AF$259="Catastrófico"),CONCATENATE("R5C",'R. Gestión '!$S$259),"")</f>
        <v/>
      </c>
      <c r="AK40" s="45" t="str">
        <f>IF(AND('R. Gestión '!$AD$260="Baja",'R. Gestión '!$AF$260="Catastrófico"),CONCATENATE("R5C",'R. Gestión '!$S$260),"")</f>
        <v/>
      </c>
      <c r="AL40" s="45" t="str">
        <f>IF(AND('R. Gestión '!$AD$261="Baja",'R. Gestión '!$AF$261="Catastrófico"),CONCATENATE("R5C",'R. Gestión '!$S$261),"")</f>
        <v/>
      </c>
      <c r="AM40" s="46" t="str">
        <f>IF(AND('R. Gestión '!$AD$262="Baja",'R. Gestión '!$AF$262="Catastrófico"),CONCATENATE("R5C",'R. Gestión '!$S$262),"")</f>
        <v/>
      </c>
      <c r="AN40" s="72"/>
      <c r="AO40" s="735"/>
      <c r="AP40" s="736"/>
      <c r="AQ40" s="736"/>
      <c r="AR40" s="736"/>
      <c r="AS40" s="736"/>
      <c r="AT40" s="737"/>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x14ac:dyDescent="0.25">
      <c r="A41" s="72"/>
      <c r="B41" s="663"/>
      <c r="C41" s="663"/>
      <c r="D41" s="664"/>
      <c r="E41" s="704"/>
      <c r="F41" s="705"/>
      <c r="G41" s="705"/>
      <c r="H41" s="705"/>
      <c r="I41" s="705"/>
      <c r="J41" s="65" t="e">
        <f>IF(AND('R. Gestión '!#REF!="Baja",'R. Gestión '!#REF!="Leve"),CONCATENATE("R6C",'R. Gestión '!#REF!),"")</f>
        <v>#REF!</v>
      </c>
      <c r="K41" s="66" t="e">
        <f>IF(AND('R. Gestión '!#REF!="Baja",'R. Gestión '!#REF!="Leve"),CONCATENATE("R6C",'R. Gestión '!#REF!),"")</f>
        <v>#REF!</v>
      </c>
      <c r="L41" s="66" t="e">
        <f>IF(AND('R. Gestión '!#REF!="Baja",'R. Gestión '!#REF!="Leve"),CONCATENATE("R6C",'R. Gestión '!#REF!),"")</f>
        <v>#REF!</v>
      </c>
      <c r="M41" s="66" t="e">
        <f>IF(AND('R. Gestión '!#REF!="Baja",'R. Gestión '!#REF!="Leve"),CONCATENATE("R6C",'R. Gestión '!#REF!),"")</f>
        <v>#REF!</v>
      </c>
      <c r="N41" s="66" t="e">
        <f>IF(AND('R. Gestión '!#REF!="Baja",'R. Gestión '!#REF!="Leve"),CONCATENATE("R6C",'R. Gestión '!#REF!),"")</f>
        <v>#REF!</v>
      </c>
      <c r="O41" s="67" t="e">
        <f>IF(AND('R. Gestión '!#REF!="Baja",'R. Gestión '!#REF!="Leve"),CONCATENATE("R6C",'R. Gestión '!#REF!),"")</f>
        <v>#REF!</v>
      </c>
      <c r="P41" s="56" t="e">
        <f>IF(AND('R. Gestión '!#REF!="Baja",'R. Gestión '!#REF!="Menor"),CONCATENATE("R6C",'R. Gestión '!#REF!),"")</f>
        <v>#REF!</v>
      </c>
      <c r="Q41" s="57" t="e">
        <f>IF(AND('R. Gestión '!#REF!="Baja",'R. Gestión '!#REF!="Menor"),CONCATENATE("R6C",'R. Gestión '!#REF!),"")</f>
        <v>#REF!</v>
      </c>
      <c r="R41" s="57" t="e">
        <f>IF(AND('R. Gestión '!#REF!="Baja",'R. Gestión '!#REF!="Menor"),CONCATENATE("R6C",'R. Gestión '!#REF!),"")</f>
        <v>#REF!</v>
      </c>
      <c r="S41" s="57" t="e">
        <f>IF(AND('R. Gestión '!#REF!="Baja",'R. Gestión '!#REF!="Menor"),CONCATENATE("R6C",'R. Gestión '!#REF!),"")</f>
        <v>#REF!</v>
      </c>
      <c r="T41" s="57" t="e">
        <f>IF(AND('R. Gestión '!#REF!="Baja",'R. Gestión '!#REF!="Menor"),CONCATENATE("R6C",'R. Gestión '!#REF!),"")</f>
        <v>#REF!</v>
      </c>
      <c r="U41" s="58" t="e">
        <f>IF(AND('R. Gestión '!#REF!="Baja",'R. Gestión '!#REF!="Menor"),CONCATENATE("R6C",'R. Gestión '!#REF!),"")</f>
        <v>#REF!</v>
      </c>
      <c r="V41" s="56" t="e">
        <f>IF(AND('R. Gestión '!#REF!="Baja",'R. Gestión '!#REF!="Moderado"),CONCATENATE("R6C",'R. Gestión '!#REF!),"")</f>
        <v>#REF!</v>
      </c>
      <c r="W41" s="57" t="e">
        <f>IF(AND('R. Gestión '!#REF!="Baja",'R. Gestión '!#REF!="Moderado"),CONCATENATE("R6C",'R. Gestión '!#REF!),"")</f>
        <v>#REF!</v>
      </c>
      <c r="X41" s="57" t="e">
        <f>IF(AND('R. Gestión '!#REF!="Baja",'R. Gestión '!#REF!="Moderado"),CONCATENATE("R6C",'R. Gestión '!#REF!),"")</f>
        <v>#REF!</v>
      </c>
      <c r="Y41" s="57" t="e">
        <f>IF(AND('R. Gestión '!#REF!="Baja",'R. Gestión '!#REF!="Moderado"),CONCATENATE("R6C",'R. Gestión '!#REF!),"")</f>
        <v>#REF!</v>
      </c>
      <c r="Z41" s="57" t="e">
        <f>IF(AND('R. Gestión '!#REF!="Baja",'R. Gestión '!#REF!="Moderado"),CONCATENATE("R6C",'R. Gestión '!#REF!),"")</f>
        <v>#REF!</v>
      </c>
      <c r="AA41" s="58" t="e">
        <f>IF(AND('R. Gestión '!#REF!="Baja",'R. Gestión '!#REF!="Moderado"),CONCATENATE("R6C",'R. Gestión '!#REF!),"")</f>
        <v>#REF!</v>
      </c>
      <c r="AB41" s="41" t="e">
        <f>IF(AND('R. Gestión '!#REF!="Baja",'R. Gestión '!#REF!="Mayor"),CONCATENATE("R6C",'R. Gestión '!#REF!),"")</f>
        <v>#REF!</v>
      </c>
      <c r="AC41" s="42" t="e">
        <f>IF(AND('R. Gestión '!#REF!="Baja",'R. Gestión '!#REF!="Mayor"),CONCATENATE("R6C",'R. Gestión '!#REF!),"")</f>
        <v>#REF!</v>
      </c>
      <c r="AD41" s="42" t="e">
        <f>IF(AND('R. Gestión '!#REF!="Baja",'R. Gestión '!#REF!="Mayor"),CONCATENATE("R6C",'R. Gestión '!#REF!),"")</f>
        <v>#REF!</v>
      </c>
      <c r="AE41" s="42" t="e">
        <f>IF(AND('R. Gestión '!#REF!="Baja",'R. Gestión '!#REF!="Mayor"),CONCATENATE("R6C",'R. Gestión '!#REF!),"")</f>
        <v>#REF!</v>
      </c>
      <c r="AF41" s="42" t="e">
        <f>IF(AND('R. Gestión '!#REF!="Baja",'R. Gestión '!#REF!="Mayor"),CONCATENATE("R6C",'R. Gestión '!#REF!),"")</f>
        <v>#REF!</v>
      </c>
      <c r="AG41" s="43" t="e">
        <f>IF(AND('R. Gestión '!#REF!="Baja",'R. Gestión '!#REF!="Mayor"),CONCATENATE("R6C",'R. Gestión '!#REF!),"")</f>
        <v>#REF!</v>
      </c>
      <c r="AH41" s="44" t="e">
        <f>IF(AND('R. Gestión '!#REF!="Baja",'R. Gestión '!#REF!="Catastrófico"),CONCATENATE("R6C",'R. Gestión '!#REF!),"")</f>
        <v>#REF!</v>
      </c>
      <c r="AI41" s="45" t="e">
        <f>IF(AND('R. Gestión '!#REF!="Baja",'R. Gestión '!#REF!="Catastrófico"),CONCATENATE("R6C",'R. Gestión '!#REF!),"")</f>
        <v>#REF!</v>
      </c>
      <c r="AJ41" s="45" t="e">
        <f>IF(AND('R. Gestión '!#REF!="Baja",'R. Gestión '!#REF!="Catastrófico"),CONCATENATE("R6C",'R. Gestión '!#REF!),"")</f>
        <v>#REF!</v>
      </c>
      <c r="AK41" s="45" t="e">
        <f>IF(AND('R. Gestión '!#REF!="Baja",'R. Gestión '!#REF!="Catastrófico"),CONCATENATE("R6C",'R. Gestión '!#REF!),"")</f>
        <v>#REF!</v>
      </c>
      <c r="AL41" s="45" t="e">
        <f>IF(AND('R. Gestión '!#REF!="Baja",'R. Gestión '!#REF!="Catastrófico"),CONCATENATE("R6C",'R. Gestión '!#REF!),"")</f>
        <v>#REF!</v>
      </c>
      <c r="AM41" s="46" t="e">
        <f>IF(AND('R. Gestión '!#REF!="Baja",'R. Gestión '!#REF!="Catastrófico"),CONCATENATE("R6C",'R. Gestión '!#REF!),"")</f>
        <v>#REF!</v>
      </c>
      <c r="AN41" s="72"/>
      <c r="AO41" s="735"/>
      <c r="AP41" s="736"/>
      <c r="AQ41" s="736"/>
      <c r="AR41" s="736"/>
      <c r="AS41" s="736"/>
      <c r="AT41" s="737"/>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x14ac:dyDescent="0.25">
      <c r="A42" s="72"/>
      <c r="B42" s="663"/>
      <c r="C42" s="663"/>
      <c r="D42" s="664"/>
      <c r="E42" s="704"/>
      <c r="F42" s="705"/>
      <c r="G42" s="705"/>
      <c r="H42" s="705"/>
      <c r="I42" s="705"/>
      <c r="J42" s="65" t="e">
        <f>IF(AND('R. Gestión '!#REF!="Baja",'R. Gestión '!#REF!="Leve"),CONCATENATE("R7C",'R. Gestión '!#REF!),"")</f>
        <v>#REF!</v>
      </c>
      <c r="K42" s="66" t="e">
        <f>IF(AND('R. Gestión '!#REF!="Baja",'R. Gestión '!#REF!="Leve"),CONCATENATE("R7C",'R. Gestión '!#REF!),"")</f>
        <v>#REF!</v>
      </c>
      <c r="L42" s="66" t="e">
        <f>IF(AND('R. Gestión '!#REF!="Baja",'R. Gestión '!#REF!="Leve"),CONCATENATE("R7C",'R. Gestión '!#REF!),"")</f>
        <v>#REF!</v>
      </c>
      <c r="M42" s="66" t="e">
        <f>IF(AND('R. Gestión '!#REF!="Baja",'R. Gestión '!#REF!="Leve"),CONCATENATE("R7C",'R. Gestión '!#REF!),"")</f>
        <v>#REF!</v>
      </c>
      <c r="N42" s="66" t="e">
        <f>IF(AND('R. Gestión '!#REF!="Baja",'R. Gestión '!#REF!="Leve"),CONCATENATE("R7C",'R. Gestión '!#REF!),"")</f>
        <v>#REF!</v>
      </c>
      <c r="O42" s="67" t="e">
        <f>IF(AND('R. Gestión '!#REF!="Baja",'R. Gestión '!#REF!="Leve"),CONCATENATE("R7C",'R. Gestión '!#REF!),"")</f>
        <v>#REF!</v>
      </c>
      <c r="P42" s="56" t="e">
        <f>IF(AND('R. Gestión '!#REF!="Baja",'R. Gestión '!#REF!="Menor"),CONCATENATE("R7C",'R. Gestión '!#REF!),"")</f>
        <v>#REF!</v>
      </c>
      <c r="Q42" s="57" t="e">
        <f>IF(AND('R. Gestión '!#REF!="Baja",'R. Gestión '!#REF!="Menor"),CONCATENATE("R7C",'R. Gestión '!#REF!),"")</f>
        <v>#REF!</v>
      </c>
      <c r="R42" s="57" t="e">
        <f>IF(AND('R. Gestión '!#REF!="Baja",'R. Gestión '!#REF!="Menor"),CONCATENATE("R7C",'R. Gestión '!#REF!),"")</f>
        <v>#REF!</v>
      </c>
      <c r="S42" s="57" t="e">
        <f>IF(AND('R. Gestión '!#REF!="Baja",'R. Gestión '!#REF!="Menor"),CONCATENATE("R7C",'R. Gestión '!#REF!),"")</f>
        <v>#REF!</v>
      </c>
      <c r="T42" s="57" t="e">
        <f>IF(AND('R. Gestión '!#REF!="Baja",'R. Gestión '!#REF!="Menor"),CONCATENATE("R7C",'R. Gestión '!#REF!),"")</f>
        <v>#REF!</v>
      </c>
      <c r="U42" s="58" t="e">
        <f>IF(AND('R. Gestión '!#REF!="Baja",'R. Gestión '!#REF!="Menor"),CONCATENATE("R7C",'R. Gestión '!#REF!),"")</f>
        <v>#REF!</v>
      </c>
      <c r="V42" s="56" t="e">
        <f>IF(AND('R. Gestión '!#REF!="Baja",'R. Gestión '!#REF!="Moderado"),CONCATENATE("R7C",'R. Gestión '!#REF!),"")</f>
        <v>#REF!</v>
      </c>
      <c r="W42" s="57" t="e">
        <f>IF(AND('R. Gestión '!#REF!="Baja",'R. Gestión '!#REF!="Moderado"),CONCATENATE("R7C",'R. Gestión '!#REF!),"")</f>
        <v>#REF!</v>
      </c>
      <c r="X42" s="57" t="e">
        <f>IF(AND('R. Gestión '!#REF!="Baja",'R. Gestión '!#REF!="Moderado"),CONCATENATE("R7C",'R. Gestión '!#REF!),"")</f>
        <v>#REF!</v>
      </c>
      <c r="Y42" s="57" t="e">
        <f>IF(AND('R. Gestión '!#REF!="Baja",'R. Gestión '!#REF!="Moderado"),CONCATENATE("R7C",'R. Gestión '!#REF!),"")</f>
        <v>#REF!</v>
      </c>
      <c r="Z42" s="57" t="e">
        <f>IF(AND('R. Gestión '!#REF!="Baja",'R. Gestión '!#REF!="Moderado"),CONCATENATE("R7C",'R. Gestión '!#REF!),"")</f>
        <v>#REF!</v>
      </c>
      <c r="AA42" s="58" t="e">
        <f>IF(AND('R. Gestión '!#REF!="Baja",'R. Gestión '!#REF!="Moderado"),CONCATENATE("R7C",'R. Gestión '!#REF!),"")</f>
        <v>#REF!</v>
      </c>
      <c r="AB42" s="41" t="e">
        <f>IF(AND('R. Gestión '!#REF!="Baja",'R. Gestión '!#REF!="Mayor"),CONCATENATE("R7C",'R. Gestión '!#REF!),"")</f>
        <v>#REF!</v>
      </c>
      <c r="AC42" s="42" t="e">
        <f>IF(AND('R. Gestión '!#REF!="Baja",'R. Gestión '!#REF!="Mayor"),CONCATENATE("R7C",'R. Gestión '!#REF!),"")</f>
        <v>#REF!</v>
      </c>
      <c r="AD42" s="42" t="e">
        <f>IF(AND('R. Gestión '!#REF!="Baja",'R. Gestión '!#REF!="Mayor"),CONCATENATE("R7C",'R. Gestión '!#REF!),"")</f>
        <v>#REF!</v>
      </c>
      <c r="AE42" s="42" t="e">
        <f>IF(AND('R. Gestión '!#REF!="Baja",'R. Gestión '!#REF!="Mayor"),CONCATENATE("R7C",'R. Gestión '!#REF!),"")</f>
        <v>#REF!</v>
      </c>
      <c r="AF42" s="42" t="e">
        <f>IF(AND('R. Gestión '!#REF!="Baja",'R. Gestión '!#REF!="Mayor"),CONCATENATE("R7C",'R. Gestión '!#REF!),"")</f>
        <v>#REF!</v>
      </c>
      <c r="AG42" s="43" t="e">
        <f>IF(AND('R. Gestión '!#REF!="Baja",'R. Gestión '!#REF!="Mayor"),CONCATENATE("R7C",'R. Gestión '!#REF!),"")</f>
        <v>#REF!</v>
      </c>
      <c r="AH42" s="44" t="e">
        <f>IF(AND('R. Gestión '!#REF!="Baja",'R. Gestión '!#REF!="Catastrófico"),CONCATENATE("R7C",'R. Gestión '!#REF!),"")</f>
        <v>#REF!</v>
      </c>
      <c r="AI42" s="45" t="e">
        <f>IF(AND('R. Gestión '!#REF!="Baja",'R. Gestión '!#REF!="Catastrófico"),CONCATENATE("R7C",'R. Gestión '!#REF!),"")</f>
        <v>#REF!</v>
      </c>
      <c r="AJ42" s="45" t="e">
        <f>IF(AND('R. Gestión '!#REF!="Baja",'R. Gestión '!#REF!="Catastrófico"),CONCATENATE("R7C",'R. Gestión '!#REF!),"")</f>
        <v>#REF!</v>
      </c>
      <c r="AK42" s="45" t="e">
        <f>IF(AND('R. Gestión '!#REF!="Baja",'R. Gestión '!#REF!="Catastrófico"),CONCATENATE("R7C",'R. Gestión '!#REF!),"")</f>
        <v>#REF!</v>
      </c>
      <c r="AL42" s="45" t="e">
        <f>IF(AND('R. Gestión '!#REF!="Baja",'R. Gestión '!#REF!="Catastrófico"),CONCATENATE("R7C",'R. Gestión '!#REF!),"")</f>
        <v>#REF!</v>
      </c>
      <c r="AM42" s="46" t="e">
        <f>IF(AND('R. Gestión '!#REF!="Baja",'R. Gestión '!#REF!="Catastrófico"),CONCATENATE("R7C",'R. Gestión '!#REF!),"")</f>
        <v>#REF!</v>
      </c>
      <c r="AN42" s="72"/>
      <c r="AO42" s="735"/>
      <c r="AP42" s="736"/>
      <c r="AQ42" s="736"/>
      <c r="AR42" s="736"/>
      <c r="AS42" s="736"/>
      <c r="AT42" s="737"/>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x14ac:dyDescent="0.25">
      <c r="A43" s="72"/>
      <c r="B43" s="663"/>
      <c r="C43" s="663"/>
      <c r="D43" s="664"/>
      <c r="E43" s="704"/>
      <c r="F43" s="705"/>
      <c r="G43" s="705"/>
      <c r="H43" s="705"/>
      <c r="I43" s="705"/>
      <c r="J43" s="65" t="str">
        <f>IF(AND('R. Gestión '!$AD$281="Baja",'R. Gestión '!$AF$281="Leve"),CONCATENATE("R8C",'R. Gestión '!$S$281),"")</f>
        <v/>
      </c>
      <c r="K43" s="66" t="str">
        <f>IF(AND('R. Gestión '!$AD$282="Baja",'R. Gestión '!$AF$282="Leve"),CONCATENATE("R8C",'R. Gestión '!$S$282),"")</f>
        <v/>
      </c>
      <c r="L43" s="66" t="str">
        <f>IF(AND('R. Gestión '!$AD$283="Baja",'R. Gestión '!$AF$283="Leve"),CONCATENATE("R8C",'R. Gestión '!$S$283),"")</f>
        <v/>
      </c>
      <c r="M43" s="66" t="str">
        <f>IF(AND('R. Gestión '!$AD$284="Baja",'R. Gestión '!$AF$284="Leve"),CONCATENATE("R8C",'R. Gestión '!$S$284),"")</f>
        <v/>
      </c>
      <c r="N43" s="66" t="str">
        <f>IF(AND('R. Gestión '!$AD$285="Baja",'R. Gestión '!$AF$285="Leve"),CONCATENATE("R8C",'R. Gestión '!$S$285),"")</f>
        <v/>
      </c>
      <c r="O43" s="67" t="str">
        <f>IF(AND('R. Gestión '!$AD$286="Baja",'R. Gestión '!$AF$286="Leve"),CONCATENATE("R8C",'R. Gestión '!$S$286),"")</f>
        <v/>
      </c>
      <c r="P43" s="56" t="str">
        <f>IF(AND('R. Gestión '!$AD$281="Baja",'R. Gestión '!$AF$281="Menor"),CONCATENATE("R8C",'R. Gestión '!$S$281),"")</f>
        <v>R8C1</v>
      </c>
      <c r="Q43" s="57" t="str">
        <f>IF(AND('R. Gestión '!$AD$282="Baja",'R. Gestión '!$AF$282="Menor"),CONCATENATE("R8C",'R. Gestión '!$S$282),"")</f>
        <v/>
      </c>
      <c r="R43" s="57" t="str">
        <f>IF(AND('R. Gestión '!$AD$283="Baja",'R. Gestión '!$AF$283="Menor"),CONCATENATE("R8C",'R. Gestión '!$S$283),"")</f>
        <v/>
      </c>
      <c r="S43" s="57" t="str">
        <f>IF(AND('R. Gestión '!$AD$284="Baja",'R. Gestión '!$AF$284="Menor"),CONCATENATE("R8C",'R. Gestión '!$S$284),"")</f>
        <v/>
      </c>
      <c r="T43" s="57" t="str">
        <f>IF(AND('R. Gestión '!$AD$285="Baja",'R. Gestión '!$AF$285="Menor"),CONCATENATE("R8C",'R. Gestión '!$S$285),"")</f>
        <v/>
      </c>
      <c r="U43" s="58" t="str">
        <f>IF(AND('R. Gestión '!$AD$286="Baja",'R. Gestión '!$AF$286="Menor"),CONCATENATE("R8C",'R. Gestión '!$S$286),"")</f>
        <v/>
      </c>
      <c r="V43" s="56" t="str">
        <f>IF(AND('R. Gestión '!$AD$281="Baja",'R. Gestión '!$AF$281="Moderado"),CONCATENATE("R8C",'R. Gestión '!$S$281),"")</f>
        <v/>
      </c>
      <c r="W43" s="57" t="str">
        <f>IF(AND('R. Gestión '!$AD$282="Baja",'R. Gestión '!$AF$282="Moderado"),CONCATENATE("R8C",'R. Gestión '!$S$282),"")</f>
        <v/>
      </c>
      <c r="X43" s="57" t="str">
        <f>IF(AND('R. Gestión '!$AD$283="Baja",'R. Gestión '!$AF$283="Moderado"),CONCATENATE("R8C",'R. Gestión '!$S$283),"")</f>
        <v/>
      </c>
      <c r="Y43" s="57" t="str">
        <f>IF(AND('R. Gestión '!$AD$284="Baja",'R. Gestión '!$AF$284="Moderado"),CONCATENATE("R8C",'R. Gestión '!$S$284),"")</f>
        <v/>
      </c>
      <c r="Z43" s="57" t="str">
        <f>IF(AND('R. Gestión '!$AD$285="Baja",'R. Gestión '!$AF$285="Moderado"),CONCATENATE("R8C",'R. Gestión '!$S$285),"")</f>
        <v/>
      </c>
      <c r="AA43" s="58" t="str">
        <f>IF(AND('R. Gestión '!$AD$286="Baja",'R. Gestión '!$AF$286="Moderado"),CONCATENATE("R8C",'R. Gestión '!$S$286),"")</f>
        <v/>
      </c>
      <c r="AB43" s="41" t="str">
        <f>IF(AND('R. Gestión '!$AD$281="Baja",'R. Gestión '!$AF$281="Mayor"),CONCATENATE("R8C",'R. Gestión '!$S$281),"")</f>
        <v/>
      </c>
      <c r="AC43" s="42" t="str">
        <f>IF(AND('R. Gestión '!$AD$282="Baja",'R. Gestión '!$AF$282="Mayor"),CONCATENATE("R8C",'R. Gestión '!$S$282),"")</f>
        <v/>
      </c>
      <c r="AD43" s="42" t="str">
        <f>IF(AND('R. Gestión '!$AD$283="Baja",'R. Gestión '!$AF$283="Mayor"),CONCATENATE("R8C",'R. Gestión '!$S$283),"")</f>
        <v/>
      </c>
      <c r="AE43" s="42" t="str">
        <f>IF(AND('R. Gestión '!$AD$284="Baja",'R. Gestión '!$AF$284="Mayor"),CONCATENATE("R8C",'R. Gestión '!$S$284),"")</f>
        <v/>
      </c>
      <c r="AF43" s="42" t="str">
        <f>IF(AND('R. Gestión '!$AD$285="Baja",'R. Gestión '!$AF$285="Mayor"),CONCATENATE("R8C",'R. Gestión '!$S$285),"")</f>
        <v/>
      </c>
      <c r="AG43" s="43" t="str">
        <f>IF(AND('R. Gestión '!$AD$286="Baja",'R. Gestión '!$AF$286="Mayor"),CONCATENATE("R8C",'R. Gestión '!$S$286),"")</f>
        <v/>
      </c>
      <c r="AH43" s="44" t="str">
        <f>IF(AND('R. Gestión '!$AD$281="Baja",'R. Gestión '!$AF$281="Catastrófico"),CONCATENATE("R8C",'R. Gestión '!$S$281),"")</f>
        <v/>
      </c>
      <c r="AI43" s="45" t="str">
        <f>IF(AND('R. Gestión '!$AD$282="Baja",'R. Gestión '!$AF$282="Catastrófico"),CONCATENATE("R8C",'R. Gestión '!$S$282),"")</f>
        <v/>
      </c>
      <c r="AJ43" s="45" t="str">
        <f>IF(AND('R. Gestión '!$AD$283="Baja",'R. Gestión '!$AF$283="Catastrófico"),CONCATENATE("R8C",'R. Gestión '!$S$283),"")</f>
        <v/>
      </c>
      <c r="AK43" s="45" t="str">
        <f>IF(AND('R. Gestión '!$AD$284="Baja",'R. Gestión '!$AF$284="Catastrófico"),CONCATENATE("R8C",'R. Gestión '!$S$284),"")</f>
        <v/>
      </c>
      <c r="AL43" s="45" t="str">
        <f>IF(AND('R. Gestión '!$AD$285="Baja",'R. Gestión '!$AF$285="Catastrófico"),CONCATENATE("R8C",'R. Gestión '!$S$285),"")</f>
        <v/>
      </c>
      <c r="AM43" s="46" t="str">
        <f>IF(AND('R. Gestión '!$AD$286="Baja",'R. Gestión '!$AF$286="Catastrófico"),CONCATENATE("R8C",'R. Gestión '!$S$286),"")</f>
        <v/>
      </c>
      <c r="AN43" s="72"/>
      <c r="AO43" s="735"/>
      <c r="AP43" s="736"/>
      <c r="AQ43" s="736"/>
      <c r="AR43" s="736"/>
      <c r="AS43" s="736"/>
      <c r="AT43" s="737"/>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x14ac:dyDescent="0.25">
      <c r="A44" s="72"/>
      <c r="B44" s="663"/>
      <c r="C44" s="663"/>
      <c r="D44" s="664"/>
      <c r="E44" s="704"/>
      <c r="F44" s="705"/>
      <c r="G44" s="705"/>
      <c r="H44" s="705"/>
      <c r="I44" s="705"/>
      <c r="J44" s="65" t="e">
        <f>IF(AND('R. Gestión '!#REF!="Baja",'R. Gestión '!#REF!="Leve"),CONCATENATE("R9C",'R. Gestión '!#REF!),"")</f>
        <v>#REF!</v>
      </c>
      <c r="K44" s="66" t="e">
        <f>IF(AND('R. Gestión '!#REF!="Baja",'R. Gestión '!#REF!="Leve"),CONCATENATE("R9C",'R. Gestión '!#REF!),"")</f>
        <v>#REF!</v>
      </c>
      <c r="L44" s="66" t="e">
        <f>IF(AND('R. Gestión '!#REF!="Baja",'R. Gestión '!#REF!="Leve"),CONCATENATE("R9C",'R. Gestión '!#REF!),"")</f>
        <v>#REF!</v>
      </c>
      <c r="M44" s="66" t="e">
        <f>IF(AND('R. Gestión '!#REF!="Baja",'R. Gestión '!#REF!="Leve"),CONCATENATE("R9C",'R. Gestión '!#REF!),"")</f>
        <v>#REF!</v>
      </c>
      <c r="N44" s="66" t="e">
        <f>IF(AND('R. Gestión '!#REF!="Baja",'R. Gestión '!#REF!="Leve"),CONCATENATE("R9C",'R. Gestión '!#REF!),"")</f>
        <v>#REF!</v>
      </c>
      <c r="O44" s="67" t="e">
        <f>IF(AND('R. Gestión '!#REF!="Baja",'R. Gestión '!#REF!="Leve"),CONCATENATE("R9C",'R. Gestión '!#REF!),"")</f>
        <v>#REF!</v>
      </c>
      <c r="P44" s="56" t="e">
        <f>IF(AND('R. Gestión '!#REF!="Baja",'R. Gestión '!#REF!="Menor"),CONCATENATE("R9C",'R. Gestión '!#REF!),"")</f>
        <v>#REF!</v>
      </c>
      <c r="Q44" s="57" t="e">
        <f>IF(AND('R. Gestión '!#REF!="Baja",'R. Gestión '!#REF!="Menor"),CONCATENATE("R9C",'R. Gestión '!#REF!),"")</f>
        <v>#REF!</v>
      </c>
      <c r="R44" s="57" t="e">
        <f>IF(AND('R. Gestión '!#REF!="Baja",'R. Gestión '!#REF!="Menor"),CONCATENATE("R9C",'R. Gestión '!#REF!),"")</f>
        <v>#REF!</v>
      </c>
      <c r="S44" s="57" t="e">
        <f>IF(AND('R. Gestión '!#REF!="Baja",'R. Gestión '!#REF!="Menor"),CONCATENATE("R9C",'R. Gestión '!#REF!),"")</f>
        <v>#REF!</v>
      </c>
      <c r="T44" s="57" t="e">
        <f>IF(AND('R. Gestión '!#REF!="Baja",'R. Gestión '!#REF!="Menor"),CONCATENATE("R9C",'R. Gestión '!#REF!),"")</f>
        <v>#REF!</v>
      </c>
      <c r="U44" s="58" t="e">
        <f>IF(AND('R. Gestión '!#REF!="Baja",'R. Gestión '!#REF!="Menor"),CONCATENATE("R9C",'R. Gestión '!#REF!),"")</f>
        <v>#REF!</v>
      </c>
      <c r="V44" s="56" t="e">
        <f>IF(AND('R. Gestión '!#REF!="Baja",'R. Gestión '!#REF!="Moderado"),CONCATENATE("R9C",'R. Gestión '!#REF!),"")</f>
        <v>#REF!</v>
      </c>
      <c r="W44" s="57" t="e">
        <f>IF(AND('R. Gestión '!#REF!="Baja",'R. Gestión '!#REF!="Moderado"),CONCATENATE("R9C",'R. Gestión '!#REF!),"")</f>
        <v>#REF!</v>
      </c>
      <c r="X44" s="57" t="e">
        <f>IF(AND('R. Gestión '!#REF!="Baja",'R. Gestión '!#REF!="Moderado"),CONCATENATE("R9C",'R. Gestión '!#REF!),"")</f>
        <v>#REF!</v>
      </c>
      <c r="Y44" s="57" t="e">
        <f>IF(AND('R. Gestión '!#REF!="Baja",'R. Gestión '!#REF!="Moderado"),CONCATENATE("R9C",'R. Gestión '!#REF!),"")</f>
        <v>#REF!</v>
      </c>
      <c r="Z44" s="57" t="e">
        <f>IF(AND('R. Gestión '!#REF!="Baja",'R. Gestión '!#REF!="Moderado"),CONCATENATE("R9C",'R. Gestión '!#REF!),"")</f>
        <v>#REF!</v>
      </c>
      <c r="AA44" s="58" t="e">
        <f>IF(AND('R. Gestión '!#REF!="Baja",'R. Gestión '!#REF!="Moderado"),CONCATENATE("R9C",'R. Gestión '!#REF!),"")</f>
        <v>#REF!</v>
      </c>
      <c r="AB44" s="41" t="e">
        <f>IF(AND('R. Gestión '!#REF!="Baja",'R. Gestión '!#REF!="Mayor"),CONCATENATE("R9C",'R. Gestión '!#REF!),"")</f>
        <v>#REF!</v>
      </c>
      <c r="AC44" s="42" t="e">
        <f>IF(AND('R. Gestión '!#REF!="Baja",'R. Gestión '!#REF!="Mayor"),CONCATENATE("R9C",'R. Gestión '!#REF!),"")</f>
        <v>#REF!</v>
      </c>
      <c r="AD44" s="42" t="e">
        <f>IF(AND('R. Gestión '!#REF!="Baja",'R. Gestión '!#REF!="Mayor"),CONCATENATE("R9C",'R. Gestión '!#REF!),"")</f>
        <v>#REF!</v>
      </c>
      <c r="AE44" s="42" t="e">
        <f>IF(AND('R. Gestión '!#REF!="Baja",'R. Gestión '!#REF!="Mayor"),CONCATENATE("R9C",'R. Gestión '!#REF!),"")</f>
        <v>#REF!</v>
      </c>
      <c r="AF44" s="42" t="e">
        <f>IF(AND('R. Gestión '!#REF!="Baja",'R. Gestión '!#REF!="Mayor"),CONCATENATE("R9C",'R. Gestión '!#REF!),"")</f>
        <v>#REF!</v>
      </c>
      <c r="AG44" s="43" t="e">
        <f>IF(AND('R. Gestión '!#REF!="Baja",'R. Gestión '!#REF!="Mayor"),CONCATENATE("R9C",'R. Gestión '!#REF!),"")</f>
        <v>#REF!</v>
      </c>
      <c r="AH44" s="44" t="e">
        <f>IF(AND('R. Gestión '!#REF!="Baja",'R. Gestión '!#REF!="Catastrófico"),CONCATENATE("R9C",'R. Gestión '!#REF!),"")</f>
        <v>#REF!</v>
      </c>
      <c r="AI44" s="45" t="e">
        <f>IF(AND('R. Gestión '!#REF!="Baja",'R. Gestión '!#REF!="Catastrófico"),CONCATENATE("R9C",'R. Gestión '!#REF!),"")</f>
        <v>#REF!</v>
      </c>
      <c r="AJ44" s="45" t="e">
        <f>IF(AND('R. Gestión '!#REF!="Baja",'R. Gestión '!#REF!="Catastrófico"),CONCATENATE("R9C",'R. Gestión '!#REF!),"")</f>
        <v>#REF!</v>
      </c>
      <c r="AK44" s="45" t="e">
        <f>IF(AND('R. Gestión '!#REF!="Baja",'R. Gestión '!#REF!="Catastrófico"),CONCATENATE("R9C",'R. Gestión '!#REF!),"")</f>
        <v>#REF!</v>
      </c>
      <c r="AL44" s="45" t="e">
        <f>IF(AND('R. Gestión '!#REF!="Baja",'R. Gestión '!#REF!="Catastrófico"),CONCATENATE("R9C",'R. Gestión '!#REF!),"")</f>
        <v>#REF!</v>
      </c>
      <c r="AM44" s="46" t="e">
        <f>IF(AND('R. Gestión '!#REF!="Baja",'R. Gestión '!#REF!="Catastrófico"),CONCATENATE("R9C",'R. Gestión '!#REF!),"")</f>
        <v>#REF!</v>
      </c>
      <c r="AN44" s="72"/>
      <c r="AO44" s="735"/>
      <c r="AP44" s="736"/>
      <c r="AQ44" s="736"/>
      <c r="AR44" s="736"/>
      <c r="AS44" s="736"/>
      <c r="AT44" s="737"/>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x14ac:dyDescent="0.3">
      <c r="A45" s="72"/>
      <c r="B45" s="663"/>
      <c r="C45" s="663"/>
      <c r="D45" s="664"/>
      <c r="E45" s="707"/>
      <c r="F45" s="708"/>
      <c r="G45" s="708"/>
      <c r="H45" s="708"/>
      <c r="I45" s="708"/>
      <c r="J45" s="68" t="e">
        <f>IF(AND('R. Gestión '!#REF!="Baja",'R. Gestión '!#REF!="Leve"),CONCATENATE("R10C",'R. Gestión '!#REF!),"")</f>
        <v>#REF!</v>
      </c>
      <c r="K45" s="69" t="e">
        <f>IF(AND('R. Gestión '!#REF!="Baja",'R. Gestión '!#REF!="Leve"),CONCATENATE("R10C",'R. Gestión '!#REF!),"")</f>
        <v>#REF!</v>
      </c>
      <c r="L45" s="69" t="e">
        <f>IF(AND('R. Gestión '!#REF!="Baja",'R. Gestión '!#REF!="Leve"),CONCATENATE("R10C",'R. Gestión '!#REF!),"")</f>
        <v>#REF!</v>
      </c>
      <c r="M45" s="69" t="e">
        <f>IF(AND('R. Gestión '!#REF!="Baja",'R. Gestión '!#REF!="Leve"),CONCATENATE("R10C",'R. Gestión '!#REF!),"")</f>
        <v>#REF!</v>
      </c>
      <c r="N45" s="69" t="e">
        <f>IF(AND('R. Gestión '!#REF!="Baja",'R. Gestión '!#REF!="Leve"),CONCATENATE("R10C",'R. Gestión '!#REF!),"")</f>
        <v>#REF!</v>
      </c>
      <c r="O45" s="70" t="e">
        <f>IF(AND('R. Gestión '!#REF!="Baja",'R. Gestión '!#REF!="Leve"),CONCATENATE("R10C",'R. Gestión '!#REF!),"")</f>
        <v>#REF!</v>
      </c>
      <c r="P45" s="56" t="e">
        <f>IF(AND('R. Gestión '!#REF!="Baja",'R. Gestión '!#REF!="Menor"),CONCATENATE("R10C",'R. Gestión '!#REF!),"")</f>
        <v>#REF!</v>
      </c>
      <c r="Q45" s="57" t="e">
        <f>IF(AND('R. Gestión '!#REF!="Baja",'R. Gestión '!#REF!="Menor"),CONCATENATE("R10C",'R. Gestión '!#REF!),"")</f>
        <v>#REF!</v>
      </c>
      <c r="R45" s="57" t="e">
        <f>IF(AND('R. Gestión '!#REF!="Baja",'R. Gestión '!#REF!="Menor"),CONCATENATE("R10C",'R. Gestión '!#REF!),"")</f>
        <v>#REF!</v>
      </c>
      <c r="S45" s="57" t="e">
        <f>IF(AND('R. Gestión '!#REF!="Baja",'R. Gestión '!#REF!="Menor"),CONCATENATE("R10C",'R. Gestión '!#REF!),"")</f>
        <v>#REF!</v>
      </c>
      <c r="T45" s="57" t="e">
        <f>IF(AND('R. Gestión '!#REF!="Baja",'R. Gestión '!#REF!="Menor"),CONCATENATE("R10C",'R. Gestión '!#REF!),"")</f>
        <v>#REF!</v>
      </c>
      <c r="U45" s="58" t="e">
        <f>IF(AND('R. Gestión '!#REF!="Baja",'R. Gestión '!#REF!="Menor"),CONCATENATE("R10C",'R. Gestión '!#REF!),"")</f>
        <v>#REF!</v>
      </c>
      <c r="V45" s="59" t="e">
        <f>IF(AND('R. Gestión '!#REF!="Baja",'R. Gestión '!#REF!="Moderado"),CONCATENATE("R10C",'R. Gestión '!#REF!),"")</f>
        <v>#REF!</v>
      </c>
      <c r="W45" s="60" t="e">
        <f>IF(AND('R. Gestión '!#REF!="Baja",'R. Gestión '!#REF!="Moderado"),CONCATENATE("R10C",'R. Gestión '!#REF!),"")</f>
        <v>#REF!</v>
      </c>
      <c r="X45" s="60" t="e">
        <f>IF(AND('R. Gestión '!#REF!="Baja",'R. Gestión '!#REF!="Moderado"),CONCATENATE("R10C",'R. Gestión '!#REF!),"")</f>
        <v>#REF!</v>
      </c>
      <c r="Y45" s="60" t="e">
        <f>IF(AND('R. Gestión '!#REF!="Baja",'R. Gestión '!#REF!="Moderado"),CONCATENATE("R10C",'R. Gestión '!#REF!),"")</f>
        <v>#REF!</v>
      </c>
      <c r="Z45" s="60" t="e">
        <f>IF(AND('R. Gestión '!#REF!="Baja",'R. Gestión '!#REF!="Moderado"),CONCATENATE("R10C",'R. Gestión '!#REF!),"")</f>
        <v>#REF!</v>
      </c>
      <c r="AA45" s="61" t="e">
        <f>IF(AND('R. Gestión '!#REF!="Baja",'R. Gestión '!#REF!="Moderado"),CONCATENATE("R10C",'R. Gestión '!#REF!),"")</f>
        <v>#REF!</v>
      </c>
      <c r="AB45" s="47" t="e">
        <f>IF(AND('R. Gestión '!#REF!="Baja",'R. Gestión '!#REF!="Mayor"),CONCATENATE("R10C",'R. Gestión '!#REF!),"")</f>
        <v>#REF!</v>
      </c>
      <c r="AC45" s="48" t="e">
        <f>IF(AND('R. Gestión '!#REF!="Baja",'R. Gestión '!#REF!="Mayor"),CONCATENATE("R10C",'R. Gestión '!#REF!),"")</f>
        <v>#REF!</v>
      </c>
      <c r="AD45" s="48" t="e">
        <f>IF(AND('R. Gestión '!#REF!="Baja",'R. Gestión '!#REF!="Mayor"),CONCATENATE("R10C",'R. Gestión '!#REF!),"")</f>
        <v>#REF!</v>
      </c>
      <c r="AE45" s="48" t="e">
        <f>IF(AND('R. Gestión '!#REF!="Baja",'R. Gestión '!#REF!="Mayor"),CONCATENATE("R10C",'R. Gestión '!#REF!),"")</f>
        <v>#REF!</v>
      </c>
      <c r="AF45" s="48" t="e">
        <f>IF(AND('R. Gestión '!#REF!="Baja",'R. Gestión '!#REF!="Mayor"),CONCATENATE("R10C",'R. Gestión '!#REF!),"")</f>
        <v>#REF!</v>
      </c>
      <c r="AG45" s="49" t="e">
        <f>IF(AND('R. Gestión '!#REF!="Baja",'R. Gestión '!#REF!="Mayor"),CONCATENATE("R10C",'R. Gestión '!#REF!),"")</f>
        <v>#REF!</v>
      </c>
      <c r="AH45" s="50" t="e">
        <f>IF(AND('R. Gestión '!#REF!="Baja",'R. Gestión '!#REF!="Catastrófico"),CONCATENATE("R10C",'R. Gestión '!#REF!),"")</f>
        <v>#REF!</v>
      </c>
      <c r="AI45" s="51" t="e">
        <f>IF(AND('R. Gestión '!#REF!="Baja",'R. Gestión '!#REF!="Catastrófico"),CONCATENATE("R10C",'R. Gestión '!#REF!),"")</f>
        <v>#REF!</v>
      </c>
      <c r="AJ45" s="51" t="e">
        <f>IF(AND('R. Gestión '!#REF!="Baja",'R. Gestión '!#REF!="Catastrófico"),CONCATENATE("R10C",'R. Gestión '!#REF!),"")</f>
        <v>#REF!</v>
      </c>
      <c r="AK45" s="51" t="e">
        <f>IF(AND('R. Gestión '!#REF!="Baja",'R. Gestión '!#REF!="Catastrófico"),CONCATENATE("R10C",'R. Gestión '!#REF!),"")</f>
        <v>#REF!</v>
      </c>
      <c r="AL45" s="51" t="e">
        <f>IF(AND('R. Gestión '!#REF!="Baja",'R. Gestión '!#REF!="Catastrófico"),CONCATENATE("R10C",'R. Gestión '!#REF!),"")</f>
        <v>#REF!</v>
      </c>
      <c r="AM45" s="52" t="e">
        <f>IF(AND('R. Gestión '!#REF!="Baja",'R. Gestión '!#REF!="Catastrófico"),CONCATENATE("R10C",'R. Gestión '!#REF!),"")</f>
        <v>#REF!</v>
      </c>
      <c r="AN45" s="72"/>
      <c r="AO45" s="738"/>
      <c r="AP45" s="739"/>
      <c r="AQ45" s="739"/>
      <c r="AR45" s="739"/>
      <c r="AS45" s="739"/>
      <c r="AT45" s="740"/>
    </row>
    <row r="46" spans="1:80" ht="46.5" customHeight="1" x14ac:dyDescent="0.35">
      <c r="A46" s="72"/>
      <c r="B46" s="663"/>
      <c r="C46" s="663"/>
      <c r="D46" s="664"/>
      <c r="E46" s="701" t="s">
        <v>97</v>
      </c>
      <c r="F46" s="702"/>
      <c r="G46" s="702"/>
      <c r="H46" s="702"/>
      <c r="I46" s="703"/>
      <c r="J46" s="62" t="e">
        <f>IF(AND('R. Gestión '!#REF!="Muy Baja",'R. Gestión '!#REF!="Leve"),CONCATENATE("R1C",'R. Gestión '!#REF!),"")</f>
        <v>#REF!</v>
      </c>
      <c r="K46" s="63" t="e">
        <f>IF(AND('R. Gestión '!#REF!="Muy Baja",'R. Gestión '!#REF!="Leve"),CONCATENATE("R1C",'R. Gestión '!#REF!),"")</f>
        <v>#REF!</v>
      </c>
      <c r="L46" s="63" t="e">
        <f>IF(AND('R. Gestión '!#REF!="Muy Baja",'R. Gestión '!#REF!="Leve"),CONCATENATE("R1C",'R. Gestión '!#REF!),"")</f>
        <v>#REF!</v>
      </c>
      <c r="M46" s="63" t="e">
        <f>IF(AND('R. Gestión '!#REF!="Muy Baja",'R. Gestión '!#REF!="Leve"),CONCATENATE("R1C",'R. Gestión '!#REF!),"")</f>
        <v>#REF!</v>
      </c>
      <c r="N46" s="63" t="e">
        <f>IF(AND('R. Gestión '!#REF!="Muy Baja",'R. Gestión '!#REF!="Leve"),CONCATENATE("R1C",'R. Gestión '!#REF!),"")</f>
        <v>#REF!</v>
      </c>
      <c r="O46" s="64" t="e">
        <f>IF(AND('R. Gestión '!#REF!="Muy Baja",'R. Gestión '!#REF!="Leve"),CONCATENATE("R1C",'R. Gestión '!#REF!),"")</f>
        <v>#REF!</v>
      </c>
      <c r="P46" s="62" t="e">
        <f>IF(AND('R. Gestión '!#REF!="Muy Baja",'R. Gestión '!#REF!="Menor"),CONCATENATE("R1C",'R. Gestión '!#REF!),"")</f>
        <v>#REF!</v>
      </c>
      <c r="Q46" s="63" t="e">
        <f>IF(AND('R. Gestión '!#REF!="Muy Baja",'R. Gestión '!#REF!="Menor"),CONCATENATE("R1C",'R. Gestión '!#REF!),"")</f>
        <v>#REF!</v>
      </c>
      <c r="R46" s="63" t="e">
        <f>IF(AND('R. Gestión '!#REF!="Muy Baja",'R. Gestión '!#REF!="Menor"),CONCATENATE("R1C",'R. Gestión '!#REF!),"")</f>
        <v>#REF!</v>
      </c>
      <c r="S46" s="63" t="e">
        <f>IF(AND('R. Gestión '!#REF!="Muy Baja",'R. Gestión '!#REF!="Menor"),CONCATENATE("R1C",'R. Gestión '!#REF!),"")</f>
        <v>#REF!</v>
      </c>
      <c r="T46" s="63" t="e">
        <f>IF(AND('R. Gestión '!#REF!="Muy Baja",'R. Gestión '!#REF!="Menor"),CONCATENATE("R1C",'R. Gestión '!#REF!),"")</f>
        <v>#REF!</v>
      </c>
      <c r="U46" s="64" t="e">
        <f>IF(AND('R. Gestión '!#REF!="Muy Baja",'R. Gestión '!#REF!="Menor"),CONCATENATE("R1C",'R. Gestión '!#REF!),"")</f>
        <v>#REF!</v>
      </c>
      <c r="V46" s="53" t="e">
        <f>IF(AND('R. Gestión '!#REF!="Muy Baja",'R. Gestión '!#REF!="Moderado"),CONCATENATE("R1C",'R. Gestión '!#REF!),"")</f>
        <v>#REF!</v>
      </c>
      <c r="W46" s="71" t="e">
        <f>IF(AND('R. Gestión '!#REF!="Muy Baja",'R. Gestión '!#REF!="Moderado"),CONCATENATE("R1C",'R. Gestión '!#REF!),"")</f>
        <v>#REF!</v>
      </c>
      <c r="X46" s="54" t="e">
        <f>IF(AND('R. Gestión '!#REF!="Muy Baja",'R. Gestión '!#REF!="Moderado"),CONCATENATE("R1C",'R. Gestión '!#REF!),"")</f>
        <v>#REF!</v>
      </c>
      <c r="Y46" s="54" t="e">
        <f>IF(AND('R. Gestión '!#REF!="Muy Baja",'R. Gestión '!#REF!="Moderado"),CONCATENATE("R1C",'R. Gestión '!#REF!),"")</f>
        <v>#REF!</v>
      </c>
      <c r="Z46" s="54" t="e">
        <f>IF(AND('R. Gestión '!#REF!="Muy Baja",'R. Gestión '!#REF!="Moderado"),CONCATENATE("R1C",'R. Gestión '!#REF!),"")</f>
        <v>#REF!</v>
      </c>
      <c r="AA46" s="55" t="e">
        <f>IF(AND('R. Gestión '!#REF!="Muy Baja",'R. Gestión '!#REF!="Moderado"),CONCATENATE("R1C",'R. Gestión '!#REF!),"")</f>
        <v>#REF!</v>
      </c>
      <c r="AB46" s="35" t="e">
        <f>IF(AND('R. Gestión '!#REF!="Muy Baja",'R. Gestión '!#REF!="Mayor"),CONCATENATE("R1C",'R. Gestión '!#REF!),"")</f>
        <v>#REF!</v>
      </c>
      <c r="AC46" s="36" t="e">
        <f>IF(AND('R. Gestión '!#REF!="Muy Baja",'R. Gestión '!#REF!="Mayor"),CONCATENATE("R1C",'R. Gestión '!#REF!),"")</f>
        <v>#REF!</v>
      </c>
      <c r="AD46" s="36" t="e">
        <f>IF(AND('R. Gestión '!#REF!="Muy Baja",'R. Gestión '!#REF!="Mayor"),CONCATENATE("R1C",'R. Gestión '!#REF!),"")</f>
        <v>#REF!</v>
      </c>
      <c r="AE46" s="36" t="e">
        <f>IF(AND('R. Gestión '!#REF!="Muy Baja",'R. Gestión '!#REF!="Mayor"),CONCATENATE("R1C",'R. Gestión '!#REF!),"")</f>
        <v>#REF!</v>
      </c>
      <c r="AF46" s="36" t="e">
        <f>IF(AND('R. Gestión '!#REF!="Muy Baja",'R. Gestión '!#REF!="Mayor"),CONCATENATE("R1C",'R. Gestión '!#REF!),"")</f>
        <v>#REF!</v>
      </c>
      <c r="AG46" s="37" t="e">
        <f>IF(AND('R. Gestión '!#REF!="Muy Baja",'R. Gestión '!#REF!="Mayor"),CONCATENATE("R1C",'R. Gestión '!#REF!),"")</f>
        <v>#REF!</v>
      </c>
      <c r="AH46" s="38" t="e">
        <f>IF(AND('R. Gestión '!#REF!="Muy Baja",'R. Gestión '!#REF!="Catastrófico"),CONCATENATE("R1C",'R. Gestión '!#REF!),"")</f>
        <v>#REF!</v>
      </c>
      <c r="AI46" s="39" t="e">
        <f>IF(AND('R. Gestión '!#REF!="Muy Baja",'R. Gestión '!#REF!="Catastrófico"),CONCATENATE("R1C",'R. Gestión '!#REF!),"")</f>
        <v>#REF!</v>
      </c>
      <c r="AJ46" s="39" t="e">
        <f>IF(AND('R. Gestión '!#REF!="Muy Baja",'R. Gestión '!#REF!="Catastrófico"),CONCATENATE("R1C",'R. Gestión '!#REF!),"")</f>
        <v>#REF!</v>
      </c>
      <c r="AK46" s="39" t="e">
        <f>IF(AND('R. Gestión '!#REF!="Muy Baja",'R. Gestión '!#REF!="Catastrófico"),CONCATENATE("R1C",'R. Gestión '!#REF!),"")</f>
        <v>#REF!</v>
      </c>
      <c r="AL46" s="39" t="e">
        <f>IF(AND('R. Gestión '!#REF!="Muy Baja",'R. Gestión '!#REF!="Catastrófico"),CONCATENATE("R1C",'R. Gestión '!#REF!),"")</f>
        <v>#REF!</v>
      </c>
      <c r="AM46" s="40" t="e">
        <f>IF(AND('R. Gestión '!#REF!="Muy Baja",'R. Gestión '!#REF!="Catastrófico"),CONCATENATE("R1C",'R. Gestión '!#REF!),"")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x14ac:dyDescent="0.25">
      <c r="A47" s="72"/>
      <c r="B47" s="663"/>
      <c r="C47" s="663"/>
      <c r="D47" s="664"/>
      <c r="E47" s="720"/>
      <c r="F47" s="705"/>
      <c r="G47" s="705"/>
      <c r="H47" s="705"/>
      <c r="I47" s="706"/>
      <c r="J47" s="65" t="e">
        <f>IF(AND('R. Gestión '!#REF!="Muy Baja",'R. Gestión '!#REF!="Leve"),CONCATENATE("R2C",'R. Gestión '!#REF!),"")</f>
        <v>#REF!</v>
      </c>
      <c r="K47" s="66" t="e">
        <f>IF(AND('R. Gestión '!#REF!="Muy Baja",'R. Gestión '!#REF!="Leve"),CONCATENATE("R2C",'R. Gestión '!#REF!),"")</f>
        <v>#REF!</v>
      </c>
      <c r="L47" s="66" t="e">
        <f>IF(AND('R. Gestión '!#REF!="Muy Baja",'R. Gestión '!#REF!="Leve"),CONCATENATE("R2C",'R. Gestión '!#REF!),"")</f>
        <v>#REF!</v>
      </c>
      <c r="M47" s="66" t="e">
        <f>IF(AND('R. Gestión '!#REF!="Muy Baja",'R. Gestión '!#REF!="Leve"),CONCATENATE("R2C",'R. Gestión '!#REF!),"")</f>
        <v>#REF!</v>
      </c>
      <c r="N47" s="66" t="e">
        <f>IF(AND('R. Gestión '!#REF!="Muy Baja",'R. Gestión '!#REF!="Leve"),CONCATENATE("R2C",'R. Gestión '!#REF!),"")</f>
        <v>#REF!</v>
      </c>
      <c r="O47" s="67" t="e">
        <f>IF(AND('R. Gestión '!#REF!="Muy Baja",'R. Gestión '!#REF!="Leve"),CONCATENATE("R2C",'R. Gestión '!#REF!),"")</f>
        <v>#REF!</v>
      </c>
      <c r="P47" s="65" t="e">
        <f>IF(AND('R. Gestión '!#REF!="Muy Baja",'R. Gestión '!#REF!="Menor"),CONCATENATE("R2C",'R. Gestión '!#REF!),"")</f>
        <v>#REF!</v>
      </c>
      <c r="Q47" s="66" t="e">
        <f>IF(AND('R. Gestión '!#REF!="Muy Baja",'R. Gestión '!#REF!="Menor"),CONCATENATE("R2C",'R. Gestión '!#REF!),"")</f>
        <v>#REF!</v>
      </c>
      <c r="R47" s="66" t="e">
        <f>IF(AND('R. Gestión '!#REF!="Muy Baja",'R. Gestión '!#REF!="Menor"),CONCATENATE("R2C",'R. Gestión '!#REF!),"")</f>
        <v>#REF!</v>
      </c>
      <c r="S47" s="66" t="e">
        <f>IF(AND('R. Gestión '!#REF!="Muy Baja",'R. Gestión '!#REF!="Menor"),CONCATENATE("R2C",'R. Gestión '!#REF!),"")</f>
        <v>#REF!</v>
      </c>
      <c r="T47" s="66" t="e">
        <f>IF(AND('R. Gestión '!#REF!="Muy Baja",'R. Gestión '!#REF!="Menor"),CONCATENATE("R2C",'R. Gestión '!#REF!),"")</f>
        <v>#REF!</v>
      </c>
      <c r="U47" s="67" t="e">
        <f>IF(AND('R. Gestión '!#REF!="Muy Baja",'R. Gestión '!#REF!="Menor"),CONCATENATE("R2C",'R. Gestión '!#REF!),"")</f>
        <v>#REF!</v>
      </c>
      <c r="V47" s="56" t="e">
        <f>IF(AND('R. Gestión '!#REF!="Muy Baja",'R. Gestión '!#REF!="Moderado"),CONCATENATE("R2C",'R. Gestión '!#REF!),"")</f>
        <v>#REF!</v>
      </c>
      <c r="W47" s="57" t="e">
        <f>IF(AND('R. Gestión '!#REF!="Muy Baja",'R. Gestión '!#REF!="Moderado"),CONCATENATE("R2C",'R. Gestión '!#REF!),"")</f>
        <v>#REF!</v>
      </c>
      <c r="X47" s="57" t="e">
        <f>IF(AND('R. Gestión '!#REF!="Muy Baja",'R. Gestión '!#REF!="Moderado"),CONCATENATE("R2C",'R. Gestión '!#REF!),"")</f>
        <v>#REF!</v>
      </c>
      <c r="Y47" s="57" t="e">
        <f>IF(AND('R. Gestión '!#REF!="Muy Baja",'R. Gestión '!#REF!="Moderado"),CONCATENATE("R2C",'R. Gestión '!#REF!),"")</f>
        <v>#REF!</v>
      </c>
      <c r="Z47" s="57" t="e">
        <f>IF(AND('R. Gestión '!#REF!="Muy Baja",'R. Gestión '!#REF!="Moderado"),CONCATENATE("R2C",'R. Gestión '!#REF!),"")</f>
        <v>#REF!</v>
      </c>
      <c r="AA47" s="58" t="e">
        <f>IF(AND('R. Gestión '!#REF!="Muy Baja",'R. Gestión '!#REF!="Moderado"),CONCATENATE("R2C",'R. Gestión '!#REF!),"")</f>
        <v>#REF!</v>
      </c>
      <c r="AB47" s="41" t="e">
        <f>IF(AND('R. Gestión '!#REF!="Muy Baja",'R. Gestión '!#REF!="Mayor"),CONCATENATE("R2C",'R. Gestión '!#REF!),"")</f>
        <v>#REF!</v>
      </c>
      <c r="AC47" s="42" t="e">
        <f>IF(AND('R. Gestión '!#REF!="Muy Baja",'R. Gestión '!#REF!="Mayor"),CONCATENATE("R2C",'R. Gestión '!#REF!),"")</f>
        <v>#REF!</v>
      </c>
      <c r="AD47" s="42" t="e">
        <f>IF(AND('R. Gestión '!#REF!="Muy Baja",'R. Gestión '!#REF!="Mayor"),CONCATENATE("R2C",'R. Gestión '!#REF!),"")</f>
        <v>#REF!</v>
      </c>
      <c r="AE47" s="42" t="e">
        <f>IF(AND('R. Gestión '!#REF!="Muy Baja",'R. Gestión '!#REF!="Mayor"),CONCATENATE("R2C",'R. Gestión '!#REF!),"")</f>
        <v>#REF!</v>
      </c>
      <c r="AF47" s="42" t="e">
        <f>IF(AND('R. Gestión '!#REF!="Muy Baja",'R. Gestión '!#REF!="Mayor"),CONCATENATE("R2C",'R. Gestión '!#REF!),"")</f>
        <v>#REF!</v>
      </c>
      <c r="AG47" s="43" t="e">
        <f>IF(AND('R. Gestión '!#REF!="Muy Baja",'R. Gestión '!#REF!="Mayor"),CONCATENATE("R2C",'R. Gestión '!#REF!),"")</f>
        <v>#REF!</v>
      </c>
      <c r="AH47" s="44" t="e">
        <f>IF(AND('R. Gestión '!#REF!="Muy Baja",'R. Gestión '!#REF!="Catastrófico"),CONCATENATE("R2C",'R. Gestión '!#REF!),"")</f>
        <v>#REF!</v>
      </c>
      <c r="AI47" s="45" t="e">
        <f>IF(AND('R. Gestión '!#REF!="Muy Baja",'R. Gestión '!#REF!="Catastrófico"),CONCATENATE("R2C",'R. Gestión '!#REF!),"")</f>
        <v>#REF!</v>
      </c>
      <c r="AJ47" s="45" t="e">
        <f>IF(AND('R. Gestión '!#REF!="Muy Baja",'R. Gestión '!#REF!="Catastrófico"),CONCATENATE("R2C",'R. Gestión '!#REF!),"")</f>
        <v>#REF!</v>
      </c>
      <c r="AK47" s="45" t="e">
        <f>IF(AND('R. Gestión '!#REF!="Muy Baja",'R. Gestión '!#REF!="Catastrófico"),CONCATENATE("R2C",'R. Gestión '!#REF!),"")</f>
        <v>#REF!</v>
      </c>
      <c r="AL47" s="45" t="e">
        <f>IF(AND('R. Gestión '!#REF!="Muy Baja",'R. Gestión '!#REF!="Catastrófico"),CONCATENATE("R2C",'R. Gestión '!#REF!),"")</f>
        <v>#REF!</v>
      </c>
      <c r="AM47" s="46" t="e">
        <f>IF(AND('R. Gestión '!#REF!="Muy Baja",'R. Gestión '!#REF!="Catastrófico"),CONCATENATE("R2C",'R. Gestión '!#REF!),"")</f>
        <v>#REF!</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5">
      <c r="A48" s="72"/>
      <c r="B48" s="663"/>
      <c r="C48" s="663"/>
      <c r="D48" s="664"/>
      <c r="E48" s="720"/>
      <c r="F48" s="705"/>
      <c r="G48" s="705"/>
      <c r="H48" s="705"/>
      <c r="I48" s="706"/>
      <c r="J48" s="65" t="e">
        <f>IF(AND('R. Gestión '!#REF!="Muy Baja",'R. Gestión '!#REF!="Leve"),CONCATENATE("R3C",'R. Gestión '!#REF!),"")</f>
        <v>#REF!</v>
      </c>
      <c r="K48" s="66" t="e">
        <f>IF(AND('R. Gestión '!#REF!="Muy Baja",'R. Gestión '!#REF!="Leve"),CONCATENATE("R3C",'R. Gestión '!#REF!),"")</f>
        <v>#REF!</v>
      </c>
      <c r="L48" s="66" t="e">
        <f>IF(AND('R. Gestión '!#REF!="Muy Baja",'R. Gestión '!#REF!="Leve"),CONCATENATE("R3C",'R. Gestión '!#REF!),"")</f>
        <v>#REF!</v>
      </c>
      <c r="M48" s="66" t="e">
        <f>IF(AND('R. Gestión '!#REF!="Muy Baja",'R. Gestión '!#REF!="Leve"),CONCATENATE("R3C",'R. Gestión '!#REF!),"")</f>
        <v>#REF!</v>
      </c>
      <c r="N48" s="66" t="e">
        <f>IF(AND('R. Gestión '!#REF!="Muy Baja",'R. Gestión '!#REF!="Leve"),CONCATENATE("R3C",'R. Gestión '!#REF!),"")</f>
        <v>#REF!</v>
      </c>
      <c r="O48" s="67" t="e">
        <f>IF(AND('R. Gestión '!#REF!="Muy Baja",'R. Gestión '!#REF!="Leve"),CONCATENATE("R3C",'R. Gestión '!#REF!),"")</f>
        <v>#REF!</v>
      </c>
      <c r="P48" s="65" t="e">
        <f>IF(AND('R. Gestión '!#REF!="Muy Baja",'R. Gestión '!#REF!="Menor"),CONCATENATE("R3C",'R. Gestión '!#REF!),"")</f>
        <v>#REF!</v>
      </c>
      <c r="Q48" s="66" t="e">
        <f>IF(AND('R. Gestión '!#REF!="Muy Baja",'R. Gestión '!#REF!="Menor"),CONCATENATE("R3C",'R. Gestión '!#REF!),"")</f>
        <v>#REF!</v>
      </c>
      <c r="R48" s="66" t="e">
        <f>IF(AND('R. Gestión '!#REF!="Muy Baja",'R. Gestión '!#REF!="Menor"),CONCATENATE("R3C",'R. Gestión '!#REF!),"")</f>
        <v>#REF!</v>
      </c>
      <c r="S48" s="66" t="e">
        <f>IF(AND('R. Gestión '!#REF!="Muy Baja",'R. Gestión '!#REF!="Menor"),CONCATENATE("R3C",'R. Gestión '!#REF!),"")</f>
        <v>#REF!</v>
      </c>
      <c r="T48" s="66" t="e">
        <f>IF(AND('R. Gestión '!#REF!="Muy Baja",'R. Gestión '!#REF!="Menor"),CONCATENATE("R3C",'R. Gestión '!#REF!),"")</f>
        <v>#REF!</v>
      </c>
      <c r="U48" s="67" t="e">
        <f>IF(AND('R. Gestión '!#REF!="Muy Baja",'R. Gestión '!#REF!="Menor"),CONCATENATE("R3C",'R. Gestión '!#REF!),"")</f>
        <v>#REF!</v>
      </c>
      <c r="V48" s="56" t="e">
        <f>IF(AND('R. Gestión '!#REF!="Muy Baja",'R. Gestión '!#REF!="Moderado"),CONCATENATE("R3C",'R. Gestión '!#REF!),"")</f>
        <v>#REF!</v>
      </c>
      <c r="W48" s="57" t="e">
        <f>IF(AND('R. Gestión '!#REF!="Muy Baja",'R. Gestión '!#REF!="Moderado"),CONCATENATE("R3C",'R. Gestión '!#REF!),"")</f>
        <v>#REF!</v>
      </c>
      <c r="X48" s="57" t="e">
        <f>IF(AND('R. Gestión '!#REF!="Muy Baja",'R. Gestión '!#REF!="Moderado"),CONCATENATE("R3C",'R. Gestión '!#REF!),"")</f>
        <v>#REF!</v>
      </c>
      <c r="Y48" s="57" t="e">
        <f>IF(AND('R. Gestión '!#REF!="Muy Baja",'R. Gestión '!#REF!="Moderado"),CONCATENATE("R3C",'R. Gestión '!#REF!),"")</f>
        <v>#REF!</v>
      </c>
      <c r="Z48" s="57" t="e">
        <f>IF(AND('R. Gestión '!#REF!="Muy Baja",'R. Gestión '!#REF!="Moderado"),CONCATENATE("R3C",'R. Gestión '!#REF!),"")</f>
        <v>#REF!</v>
      </c>
      <c r="AA48" s="58" t="e">
        <f>IF(AND('R. Gestión '!#REF!="Muy Baja",'R. Gestión '!#REF!="Moderado"),CONCATENATE("R3C",'R. Gestión '!#REF!),"")</f>
        <v>#REF!</v>
      </c>
      <c r="AB48" s="41" t="e">
        <f>IF(AND('R. Gestión '!#REF!="Muy Baja",'R. Gestión '!#REF!="Mayor"),CONCATENATE("R3C",'R. Gestión '!#REF!),"")</f>
        <v>#REF!</v>
      </c>
      <c r="AC48" s="42" t="e">
        <f>IF(AND('R. Gestión '!#REF!="Muy Baja",'R. Gestión '!#REF!="Mayor"),CONCATENATE("R3C",'R. Gestión '!#REF!),"")</f>
        <v>#REF!</v>
      </c>
      <c r="AD48" s="42" t="e">
        <f>IF(AND('R. Gestión '!#REF!="Muy Baja",'R. Gestión '!#REF!="Mayor"),CONCATENATE("R3C",'R. Gestión '!#REF!),"")</f>
        <v>#REF!</v>
      </c>
      <c r="AE48" s="42" t="e">
        <f>IF(AND('R. Gestión '!#REF!="Muy Baja",'R. Gestión '!#REF!="Mayor"),CONCATENATE("R3C",'R. Gestión '!#REF!),"")</f>
        <v>#REF!</v>
      </c>
      <c r="AF48" s="42" t="e">
        <f>IF(AND('R. Gestión '!#REF!="Muy Baja",'R. Gestión '!#REF!="Mayor"),CONCATENATE("R3C",'R. Gestión '!#REF!),"")</f>
        <v>#REF!</v>
      </c>
      <c r="AG48" s="43" t="e">
        <f>IF(AND('R. Gestión '!#REF!="Muy Baja",'R. Gestión '!#REF!="Mayor"),CONCATENATE("R3C",'R. Gestión '!#REF!),"")</f>
        <v>#REF!</v>
      </c>
      <c r="AH48" s="44" t="e">
        <f>IF(AND('R. Gestión '!#REF!="Muy Baja",'R. Gestión '!#REF!="Catastrófico"),CONCATENATE("R3C",'R. Gestión '!#REF!),"")</f>
        <v>#REF!</v>
      </c>
      <c r="AI48" s="45" t="e">
        <f>IF(AND('R. Gestión '!#REF!="Muy Baja",'R. Gestión '!#REF!="Catastrófico"),CONCATENATE("R3C",'R. Gestión '!#REF!),"")</f>
        <v>#REF!</v>
      </c>
      <c r="AJ48" s="45" t="e">
        <f>IF(AND('R. Gestión '!#REF!="Muy Baja",'R. Gestión '!#REF!="Catastrófico"),CONCATENATE("R3C",'R. Gestión '!#REF!),"")</f>
        <v>#REF!</v>
      </c>
      <c r="AK48" s="45" t="e">
        <f>IF(AND('R. Gestión '!#REF!="Muy Baja",'R. Gestión '!#REF!="Catastrófico"),CONCATENATE("R3C",'R. Gestión '!#REF!),"")</f>
        <v>#REF!</v>
      </c>
      <c r="AL48" s="45" t="e">
        <f>IF(AND('R. Gestión '!#REF!="Muy Baja",'R. Gestión '!#REF!="Catastrófico"),CONCATENATE("R3C",'R. Gestión '!#REF!),"")</f>
        <v>#REF!</v>
      </c>
      <c r="AM48" s="46" t="e">
        <f>IF(AND('R. Gestión '!#REF!="Muy Baja",'R. Gestión '!#REF!="Catastrófico"),CONCATENATE("R3C",'R. Gestión '!#REF!),"")</f>
        <v>#REF!</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x14ac:dyDescent="0.25">
      <c r="A49" s="72"/>
      <c r="B49" s="663"/>
      <c r="C49" s="663"/>
      <c r="D49" s="664"/>
      <c r="E49" s="704"/>
      <c r="F49" s="705"/>
      <c r="G49" s="705"/>
      <c r="H49" s="705"/>
      <c r="I49" s="706"/>
      <c r="J49" s="65" t="str">
        <f>IF(AND('R. Gestión '!$AD$239="Muy Baja",'R. Gestión '!$AF$239="Leve"),CONCATENATE("R4C",'R. Gestión '!$S$239),"")</f>
        <v/>
      </c>
      <c r="K49" s="66" t="str">
        <f>IF(AND('R. Gestión '!$AD$240="Muy Baja",'R. Gestión '!$AF$240="Leve"),CONCATENATE("R4C",'R. Gestión '!$S$240),"")</f>
        <v/>
      </c>
      <c r="L49" s="66" t="str">
        <f>IF(AND('R. Gestión '!$AD$241="Muy Baja",'R. Gestión '!$AF$241="Leve"),CONCATENATE("R4C",'R. Gestión '!$S$241),"")</f>
        <v/>
      </c>
      <c r="M49" s="66" t="str">
        <f>IF(AND('R. Gestión '!$AD$242="Muy Baja",'R. Gestión '!$AF$242="Leve"),CONCATENATE("R4C",'R. Gestión '!$S$242),"")</f>
        <v/>
      </c>
      <c r="N49" s="66" t="str">
        <f>IF(AND('R. Gestión '!$AD$243="Muy Baja",'R. Gestión '!$AF$243="Leve"),CONCATENATE("R4C",'R. Gestión '!$S$243),"")</f>
        <v/>
      </c>
      <c r="O49" s="67" t="str">
        <f>IF(AND('R. Gestión '!$AD$244="Muy Baja",'R. Gestión '!$AF$244="Leve"),CONCATENATE("R4C",'R. Gestión '!$S$244),"")</f>
        <v/>
      </c>
      <c r="P49" s="65" t="str">
        <f>IF(AND('R. Gestión '!$AD$239="Muy Baja",'R. Gestión '!$AF$239="Menor"),CONCATENATE("R4C",'R. Gestión '!$S$239),"")</f>
        <v/>
      </c>
      <c r="Q49" s="66" t="str">
        <f>IF(AND('R. Gestión '!$AD$240="Muy Baja",'R. Gestión '!$AF$240="Menor"),CONCATENATE("R4C",'R. Gestión '!$S$240),"")</f>
        <v/>
      </c>
      <c r="R49" s="66" t="str">
        <f>IF(AND('R. Gestión '!$AD$241="Muy Baja",'R. Gestión '!$AF$241="Menor"),CONCATENATE("R4C",'R. Gestión '!$S$241),"")</f>
        <v/>
      </c>
      <c r="S49" s="66" t="str">
        <f>IF(AND('R. Gestión '!$AD$242="Muy Baja",'R. Gestión '!$AF$242="Menor"),CONCATENATE("R4C",'R. Gestión '!$S$242),"")</f>
        <v/>
      </c>
      <c r="T49" s="66" t="str">
        <f>IF(AND('R. Gestión '!$AD$243="Muy Baja",'R. Gestión '!$AF$243="Menor"),CONCATENATE("R4C",'R. Gestión '!$S$243),"")</f>
        <v/>
      </c>
      <c r="U49" s="67" t="str">
        <f>IF(AND('R. Gestión '!$AD$244="Muy Baja",'R. Gestión '!$AF$244="Menor"),CONCATENATE("R4C",'R. Gestión '!$S$244),"")</f>
        <v/>
      </c>
      <c r="V49" s="56" t="str">
        <f>IF(AND('R. Gestión '!$AD$239="Muy Baja",'R. Gestión '!$AF$239="Moderado"),CONCATENATE("R4C",'R. Gestión '!$S$239),"")</f>
        <v/>
      </c>
      <c r="W49" s="57" t="str">
        <f>IF(AND('R. Gestión '!$AD$240="Muy Baja",'R. Gestión '!$AF$240="Moderado"),CONCATENATE("R4C",'R. Gestión '!$S$240),"")</f>
        <v/>
      </c>
      <c r="X49" s="57" t="str">
        <f>IF(AND('R. Gestión '!$AD$241="Muy Baja",'R. Gestión '!$AF$241="Moderado"),CONCATENATE("R4C",'R. Gestión '!$S$241),"")</f>
        <v/>
      </c>
      <c r="Y49" s="57" t="str">
        <f>IF(AND('R. Gestión '!$AD$242="Muy Baja",'R. Gestión '!$AF$242="Moderado"),CONCATENATE("R4C",'R. Gestión '!$S$242),"")</f>
        <v/>
      </c>
      <c r="Z49" s="57" t="str">
        <f>IF(AND('R. Gestión '!$AD$243="Muy Baja",'R. Gestión '!$AF$243="Moderado"),CONCATENATE("R4C",'R. Gestión '!$S$243),"")</f>
        <v/>
      </c>
      <c r="AA49" s="58" t="str">
        <f>IF(AND('R. Gestión '!$AD$244="Muy Baja",'R. Gestión '!$AF$244="Moderado"),CONCATENATE("R4C",'R. Gestión '!$S$244),"")</f>
        <v/>
      </c>
      <c r="AB49" s="41" t="str">
        <f>IF(AND('R. Gestión '!$AD$239="Muy Baja",'R. Gestión '!$AF$239="Mayor"),CONCATENATE("R4C",'R. Gestión '!$S$239),"")</f>
        <v/>
      </c>
      <c r="AC49" s="42" t="str">
        <f>IF(AND('R. Gestión '!$AD$240="Muy Baja",'R. Gestión '!$AF$240="Mayor"),CONCATENATE("R4C",'R. Gestión '!$S$240),"")</f>
        <v/>
      </c>
      <c r="AD49" s="42" t="str">
        <f>IF(AND('R. Gestión '!$AD$241="Muy Baja",'R. Gestión '!$AF$241="Mayor"),CONCATENATE("R4C",'R. Gestión '!$S$241),"")</f>
        <v/>
      </c>
      <c r="AE49" s="42" t="str">
        <f>IF(AND('R. Gestión '!$AD$242="Muy Baja",'R. Gestión '!$AF$242="Mayor"),CONCATENATE("R4C",'R. Gestión '!$S$242),"")</f>
        <v/>
      </c>
      <c r="AF49" s="42" t="str">
        <f>IF(AND('R. Gestión '!$AD$243="Muy Baja",'R. Gestión '!$AF$243="Mayor"),CONCATENATE("R4C",'R. Gestión '!$S$243),"")</f>
        <v/>
      </c>
      <c r="AG49" s="43" t="str">
        <f>IF(AND('R. Gestión '!$AD$244="Muy Baja",'R. Gestión '!$AF$244="Mayor"),CONCATENATE("R4C",'R. Gestión '!$S$244),"")</f>
        <v/>
      </c>
      <c r="AH49" s="44" t="str">
        <f>IF(AND('R. Gestión '!$AD$239="Muy Baja",'R. Gestión '!$AF$239="Catastrófico"),CONCATENATE("R4C",'R. Gestión '!$S$239),"")</f>
        <v/>
      </c>
      <c r="AI49" s="45" t="str">
        <f>IF(AND('R. Gestión '!$AD$240="Muy Baja",'R. Gestión '!$AF$240="Catastrófico"),CONCATENATE("R4C",'R. Gestión '!$S$240),"")</f>
        <v/>
      </c>
      <c r="AJ49" s="45" t="str">
        <f>IF(AND('R. Gestión '!$AD$241="Muy Baja",'R. Gestión '!$AF$241="Catastrófico"),CONCATENATE("R4C",'R. Gestión '!$S$241),"")</f>
        <v/>
      </c>
      <c r="AK49" s="45" t="str">
        <f>IF(AND('R. Gestión '!$AD$242="Muy Baja",'R. Gestión '!$AF$242="Catastrófico"),CONCATENATE("R4C",'R. Gestión '!$S$242),"")</f>
        <v/>
      </c>
      <c r="AL49" s="45" t="str">
        <f>IF(AND('R. Gestión '!$AD$243="Muy Baja",'R. Gestión '!$AF$243="Catastrófico"),CONCATENATE("R4C",'R. Gestión '!$S$243),"")</f>
        <v/>
      </c>
      <c r="AM49" s="46" t="str">
        <f>IF(AND('R. Gestión '!$AD$244="Muy Baja",'R. Gestión '!$AF$244="Catastrófico"),CONCATENATE("R4C",'R. Gestión '!$S$244),"")</f>
        <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x14ac:dyDescent="0.25">
      <c r="A50" s="72"/>
      <c r="B50" s="663"/>
      <c r="C50" s="663"/>
      <c r="D50" s="664"/>
      <c r="E50" s="704"/>
      <c r="F50" s="705"/>
      <c r="G50" s="705"/>
      <c r="H50" s="705"/>
      <c r="I50" s="706"/>
      <c r="J50" s="65" t="str">
        <f>IF(AND('R. Gestión '!$AD$257="Muy Baja",'R. Gestión '!$AF$257="Leve"),CONCATENATE("R5C",'R. Gestión '!$S$257),"")</f>
        <v/>
      </c>
      <c r="K50" s="66" t="str">
        <f>IF(AND('R. Gestión '!$AD$258="Muy Baja",'R. Gestión '!$AF$258="Leve"),CONCATENATE("R5C",'R. Gestión '!$S$258),"")</f>
        <v/>
      </c>
      <c r="L50" s="66" t="str">
        <f>IF(AND('R. Gestión '!$AD$259="Muy Baja",'R. Gestión '!$AF$259="Leve"),CONCATENATE("R5C",'R. Gestión '!$S$259),"")</f>
        <v/>
      </c>
      <c r="M50" s="66" t="str">
        <f>IF(AND('R. Gestión '!$AD$260="Muy Baja",'R. Gestión '!$AF$260="Leve"),CONCATENATE("R5C",'R. Gestión '!$S$260),"")</f>
        <v/>
      </c>
      <c r="N50" s="66" t="str">
        <f>IF(AND('R. Gestión '!$AD$261="Muy Baja",'R. Gestión '!$AF$261="Leve"),CONCATENATE("R5C",'R. Gestión '!$S$261),"")</f>
        <v/>
      </c>
      <c r="O50" s="67" t="str">
        <f>IF(AND('R. Gestión '!$AD$262="Muy Baja",'R. Gestión '!$AF$262="Leve"),CONCATENATE("R5C",'R. Gestión '!$S$262),"")</f>
        <v/>
      </c>
      <c r="P50" s="65" t="str">
        <f>IF(AND('R. Gestión '!$AD$257="Muy Baja",'R. Gestión '!$AF$257="Menor"),CONCATENATE("R5C",'R. Gestión '!$S$257),"")</f>
        <v/>
      </c>
      <c r="Q50" s="66" t="str">
        <f>IF(AND('R. Gestión '!$AD$258="Muy Baja",'R. Gestión '!$AF$258="Menor"),CONCATENATE("R5C",'R. Gestión '!$S$258),"")</f>
        <v/>
      </c>
      <c r="R50" s="66" t="str">
        <f>IF(AND('R. Gestión '!$AD$259="Muy Baja",'R. Gestión '!$AF$259="Menor"),CONCATENATE("R5C",'R. Gestión '!$S$259),"")</f>
        <v/>
      </c>
      <c r="S50" s="66" t="str">
        <f>IF(AND('R. Gestión '!$AD$260="Muy Baja",'R. Gestión '!$AF$260="Menor"),CONCATENATE("R5C",'R. Gestión '!$S$260),"")</f>
        <v/>
      </c>
      <c r="T50" s="66" t="str">
        <f>IF(AND('R. Gestión '!$AD$261="Muy Baja",'R. Gestión '!$AF$261="Menor"),CONCATENATE("R5C",'R. Gestión '!$S$261),"")</f>
        <v/>
      </c>
      <c r="U50" s="67" t="str">
        <f>IF(AND('R. Gestión '!$AD$262="Muy Baja",'R. Gestión '!$AF$262="Menor"),CONCATENATE("R5C",'R. Gestión '!$S$262),"")</f>
        <v/>
      </c>
      <c r="V50" s="56" t="str">
        <f>IF(AND('R. Gestión '!$AD$257="Muy Baja",'R. Gestión '!$AF$257="Moderado"),CONCATENATE("R5C",'R. Gestión '!$S$257),"")</f>
        <v/>
      </c>
      <c r="W50" s="57" t="str">
        <f>IF(AND('R. Gestión '!$AD$258="Muy Baja",'R. Gestión '!$AF$258="Moderado"),CONCATENATE("R5C",'R. Gestión '!$S$258),"")</f>
        <v/>
      </c>
      <c r="X50" s="57" t="str">
        <f>IF(AND('R. Gestión '!$AD$259="Muy Baja",'R. Gestión '!$AF$259="Moderado"),CONCATENATE("R5C",'R. Gestión '!$S$259),"")</f>
        <v/>
      </c>
      <c r="Y50" s="57" t="str">
        <f>IF(AND('R. Gestión '!$AD$260="Muy Baja",'R. Gestión '!$AF$260="Moderado"),CONCATENATE("R5C",'R. Gestión '!$S$260),"")</f>
        <v/>
      </c>
      <c r="Z50" s="57" t="str">
        <f>IF(AND('R. Gestión '!$AD$261="Muy Baja",'R. Gestión '!$AF$261="Moderado"),CONCATENATE("R5C",'R. Gestión '!$S$261),"")</f>
        <v/>
      </c>
      <c r="AA50" s="58" t="str">
        <f>IF(AND('R. Gestión '!$AD$262="Muy Baja",'R. Gestión '!$AF$262="Moderado"),CONCATENATE("R5C",'R. Gestión '!$S$262),"")</f>
        <v/>
      </c>
      <c r="AB50" s="41" t="str">
        <f>IF(AND('R. Gestión '!$AD$257="Muy Baja",'R. Gestión '!$AF$257="Mayor"),CONCATENATE("R5C",'R. Gestión '!$S$257),"")</f>
        <v/>
      </c>
      <c r="AC50" s="42" t="str">
        <f>IF(AND('R. Gestión '!$AD$258="Muy Baja",'R. Gestión '!$AF$258="Mayor"),CONCATENATE("R5C",'R. Gestión '!$S$258),"")</f>
        <v/>
      </c>
      <c r="AD50" s="42" t="str">
        <f>IF(AND('R. Gestión '!$AD$259="Muy Baja",'R. Gestión '!$AF$259="Mayor"),CONCATENATE("R5C",'R. Gestión '!$S$259),"")</f>
        <v/>
      </c>
      <c r="AE50" s="42" t="str">
        <f>IF(AND('R. Gestión '!$AD$260="Muy Baja",'R. Gestión '!$AF$260="Mayor"),CONCATENATE("R5C",'R. Gestión '!$S$260),"")</f>
        <v/>
      </c>
      <c r="AF50" s="42" t="str">
        <f>IF(AND('R. Gestión '!$AD$261="Muy Baja",'R. Gestión '!$AF$261="Mayor"),CONCATENATE("R5C",'R. Gestión '!$S$261),"")</f>
        <v/>
      </c>
      <c r="AG50" s="43" t="str">
        <f>IF(AND('R. Gestión '!$AD$262="Muy Baja",'R. Gestión '!$AF$262="Mayor"),CONCATENATE("R5C",'R. Gestión '!$S$262),"")</f>
        <v/>
      </c>
      <c r="AH50" s="44" t="str">
        <f>IF(AND('R. Gestión '!$AD$257="Muy Baja",'R. Gestión '!$AF$257="Catastrófico"),CONCATENATE("R5C",'R. Gestión '!$S$257),"")</f>
        <v/>
      </c>
      <c r="AI50" s="45" t="str">
        <f>IF(AND('R. Gestión '!$AD$258="Muy Baja",'R. Gestión '!$AF$258="Catastrófico"),CONCATENATE("R5C",'R. Gestión '!$S$258),"")</f>
        <v/>
      </c>
      <c r="AJ50" s="45" t="str">
        <f>IF(AND('R. Gestión '!$AD$259="Muy Baja",'R. Gestión '!$AF$259="Catastrófico"),CONCATENATE("R5C",'R. Gestión '!$S$259),"")</f>
        <v/>
      </c>
      <c r="AK50" s="45" t="str">
        <f>IF(AND('R. Gestión '!$AD$260="Muy Baja",'R. Gestión '!$AF$260="Catastrófico"),CONCATENATE("R5C",'R. Gestión '!$S$260),"")</f>
        <v/>
      </c>
      <c r="AL50" s="45" t="str">
        <f>IF(AND('R. Gestión '!$AD$261="Muy Baja",'R. Gestión '!$AF$261="Catastrófico"),CONCATENATE("R5C",'R. Gestión '!$S$261),"")</f>
        <v/>
      </c>
      <c r="AM50" s="46" t="str">
        <f>IF(AND('R. Gestión '!$AD$262="Muy Baja",'R. Gestión '!$AF$262="Catastrófico"),CONCATENATE("R5C",'R. Gestión '!$S$262),"")</f>
        <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x14ac:dyDescent="0.25">
      <c r="A51" s="72"/>
      <c r="B51" s="663"/>
      <c r="C51" s="663"/>
      <c r="D51" s="664"/>
      <c r="E51" s="704"/>
      <c r="F51" s="705"/>
      <c r="G51" s="705"/>
      <c r="H51" s="705"/>
      <c r="I51" s="706"/>
      <c r="J51" s="65" t="e">
        <f>IF(AND('R. Gestión '!#REF!="Muy Baja",'R. Gestión '!#REF!="Leve"),CONCATENATE("R6C",'R. Gestión '!#REF!),"")</f>
        <v>#REF!</v>
      </c>
      <c r="K51" s="66" t="e">
        <f>IF(AND('R. Gestión '!#REF!="Muy Baja",'R. Gestión '!#REF!="Leve"),CONCATENATE("R6C",'R. Gestión '!#REF!),"")</f>
        <v>#REF!</v>
      </c>
      <c r="L51" s="66" t="e">
        <f>IF(AND('R. Gestión '!#REF!="Muy Baja",'R. Gestión '!#REF!="Leve"),CONCATENATE("R6C",'R. Gestión '!#REF!),"")</f>
        <v>#REF!</v>
      </c>
      <c r="M51" s="66" t="e">
        <f>IF(AND('R. Gestión '!#REF!="Muy Baja",'R. Gestión '!#REF!="Leve"),CONCATENATE("R6C",'R. Gestión '!#REF!),"")</f>
        <v>#REF!</v>
      </c>
      <c r="N51" s="66" t="e">
        <f>IF(AND('R. Gestión '!#REF!="Muy Baja",'R. Gestión '!#REF!="Leve"),CONCATENATE("R6C",'R. Gestión '!#REF!),"")</f>
        <v>#REF!</v>
      </c>
      <c r="O51" s="67" t="e">
        <f>IF(AND('R. Gestión '!#REF!="Muy Baja",'R. Gestión '!#REF!="Leve"),CONCATENATE("R6C",'R. Gestión '!#REF!),"")</f>
        <v>#REF!</v>
      </c>
      <c r="P51" s="65" t="e">
        <f>IF(AND('R. Gestión '!#REF!="Muy Baja",'R. Gestión '!#REF!="Menor"),CONCATENATE("R6C",'R. Gestión '!#REF!),"")</f>
        <v>#REF!</v>
      </c>
      <c r="Q51" s="66" t="e">
        <f>IF(AND('R. Gestión '!#REF!="Muy Baja",'R. Gestión '!#REF!="Menor"),CONCATENATE("R6C",'R. Gestión '!#REF!),"")</f>
        <v>#REF!</v>
      </c>
      <c r="R51" s="66" t="e">
        <f>IF(AND('R. Gestión '!#REF!="Muy Baja",'R. Gestión '!#REF!="Menor"),CONCATENATE("R6C",'R. Gestión '!#REF!),"")</f>
        <v>#REF!</v>
      </c>
      <c r="S51" s="66" t="e">
        <f>IF(AND('R. Gestión '!#REF!="Muy Baja",'R. Gestión '!#REF!="Menor"),CONCATENATE("R6C",'R. Gestión '!#REF!),"")</f>
        <v>#REF!</v>
      </c>
      <c r="T51" s="66" t="e">
        <f>IF(AND('R. Gestión '!#REF!="Muy Baja",'R. Gestión '!#REF!="Menor"),CONCATENATE("R6C",'R. Gestión '!#REF!),"")</f>
        <v>#REF!</v>
      </c>
      <c r="U51" s="67" t="e">
        <f>IF(AND('R. Gestión '!#REF!="Muy Baja",'R. Gestión '!#REF!="Menor"),CONCATENATE("R6C",'R. Gestión '!#REF!),"")</f>
        <v>#REF!</v>
      </c>
      <c r="V51" s="56" t="e">
        <f>IF(AND('R. Gestión '!#REF!="Muy Baja",'R. Gestión '!#REF!="Moderado"),CONCATENATE("R6C",'R. Gestión '!#REF!),"")</f>
        <v>#REF!</v>
      </c>
      <c r="W51" s="57" t="e">
        <f>IF(AND('R. Gestión '!#REF!="Muy Baja",'R. Gestión '!#REF!="Moderado"),CONCATENATE("R6C",'R. Gestión '!#REF!),"")</f>
        <v>#REF!</v>
      </c>
      <c r="X51" s="57" t="e">
        <f>IF(AND('R. Gestión '!#REF!="Muy Baja",'R. Gestión '!#REF!="Moderado"),CONCATENATE("R6C",'R. Gestión '!#REF!),"")</f>
        <v>#REF!</v>
      </c>
      <c r="Y51" s="57" t="e">
        <f>IF(AND('R. Gestión '!#REF!="Muy Baja",'R. Gestión '!#REF!="Moderado"),CONCATENATE("R6C",'R. Gestión '!#REF!),"")</f>
        <v>#REF!</v>
      </c>
      <c r="Z51" s="57" t="e">
        <f>IF(AND('R. Gestión '!#REF!="Muy Baja",'R. Gestión '!#REF!="Moderado"),CONCATENATE("R6C",'R. Gestión '!#REF!),"")</f>
        <v>#REF!</v>
      </c>
      <c r="AA51" s="58" t="e">
        <f>IF(AND('R. Gestión '!#REF!="Muy Baja",'R. Gestión '!#REF!="Moderado"),CONCATENATE("R6C",'R. Gestión '!#REF!),"")</f>
        <v>#REF!</v>
      </c>
      <c r="AB51" s="41" t="e">
        <f>IF(AND('R. Gestión '!#REF!="Muy Baja",'R. Gestión '!#REF!="Mayor"),CONCATENATE("R6C",'R. Gestión '!#REF!),"")</f>
        <v>#REF!</v>
      </c>
      <c r="AC51" s="42" t="e">
        <f>IF(AND('R. Gestión '!#REF!="Muy Baja",'R. Gestión '!#REF!="Mayor"),CONCATENATE("R6C",'R. Gestión '!#REF!),"")</f>
        <v>#REF!</v>
      </c>
      <c r="AD51" s="42" t="e">
        <f>IF(AND('R. Gestión '!#REF!="Muy Baja",'R. Gestión '!#REF!="Mayor"),CONCATENATE("R6C",'R. Gestión '!#REF!),"")</f>
        <v>#REF!</v>
      </c>
      <c r="AE51" s="42" t="e">
        <f>IF(AND('R. Gestión '!#REF!="Muy Baja",'R. Gestión '!#REF!="Mayor"),CONCATENATE("R6C",'R. Gestión '!#REF!),"")</f>
        <v>#REF!</v>
      </c>
      <c r="AF51" s="42" t="e">
        <f>IF(AND('R. Gestión '!#REF!="Muy Baja",'R. Gestión '!#REF!="Mayor"),CONCATENATE("R6C",'R. Gestión '!#REF!),"")</f>
        <v>#REF!</v>
      </c>
      <c r="AG51" s="43" t="e">
        <f>IF(AND('R. Gestión '!#REF!="Muy Baja",'R. Gestión '!#REF!="Mayor"),CONCATENATE("R6C",'R. Gestión '!#REF!),"")</f>
        <v>#REF!</v>
      </c>
      <c r="AH51" s="44" t="e">
        <f>IF(AND('R. Gestión '!#REF!="Muy Baja",'R. Gestión '!#REF!="Catastrófico"),CONCATENATE("R6C",'R. Gestión '!#REF!),"")</f>
        <v>#REF!</v>
      </c>
      <c r="AI51" s="45" t="e">
        <f>IF(AND('R. Gestión '!#REF!="Muy Baja",'R. Gestión '!#REF!="Catastrófico"),CONCATENATE("R6C",'R. Gestión '!#REF!),"")</f>
        <v>#REF!</v>
      </c>
      <c r="AJ51" s="45" t="e">
        <f>IF(AND('R. Gestión '!#REF!="Muy Baja",'R. Gestión '!#REF!="Catastrófico"),CONCATENATE("R6C",'R. Gestión '!#REF!),"")</f>
        <v>#REF!</v>
      </c>
      <c r="AK51" s="45" t="e">
        <f>IF(AND('R. Gestión '!#REF!="Muy Baja",'R. Gestión '!#REF!="Catastrófico"),CONCATENATE("R6C",'R. Gestión '!#REF!),"")</f>
        <v>#REF!</v>
      </c>
      <c r="AL51" s="45" t="e">
        <f>IF(AND('R. Gestión '!#REF!="Muy Baja",'R. Gestión '!#REF!="Catastrófico"),CONCATENATE("R6C",'R. Gestión '!#REF!),"")</f>
        <v>#REF!</v>
      </c>
      <c r="AM51" s="46" t="e">
        <f>IF(AND('R. Gestión '!#REF!="Muy Baja",'R. Gestión '!#REF!="Catastrófico"),CONCATENATE("R6C",'R. Gestión '!#REF!),"")</f>
        <v>#REF!</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x14ac:dyDescent="0.25">
      <c r="A52" s="72"/>
      <c r="B52" s="663"/>
      <c r="C52" s="663"/>
      <c r="D52" s="664"/>
      <c r="E52" s="704"/>
      <c r="F52" s="705"/>
      <c r="G52" s="705"/>
      <c r="H52" s="705"/>
      <c r="I52" s="706"/>
      <c r="J52" s="65" t="e">
        <f>IF(AND('R. Gestión '!#REF!="Muy Baja",'R. Gestión '!#REF!="Leve"),CONCATENATE("R7C",'R. Gestión '!#REF!),"")</f>
        <v>#REF!</v>
      </c>
      <c r="K52" s="66" t="e">
        <f>IF(AND('R. Gestión '!#REF!="Muy Baja",'R. Gestión '!#REF!="Leve"),CONCATENATE("R7C",'R. Gestión '!#REF!),"")</f>
        <v>#REF!</v>
      </c>
      <c r="L52" s="66" t="e">
        <f>IF(AND('R. Gestión '!#REF!="Muy Baja",'R. Gestión '!#REF!="Leve"),CONCATENATE("R7C",'R. Gestión '!#REF!),"")</f>
        <v>#REF!</v>
      </c>
      <c r="M52" s="66" t="e">
        <f>IF(AND('R. Gestión '!#REF!="Muy Baja",'R. Gestión '!#REF!="Leve"),CONCATENATE("R7C",'R. Gestión '!#REF!),"")</f>
        <v>#REF!</v>
      </c>
      <c r="N52" s="66" t="e">
        <f>IF(AND('R. Gestión '!#REF!="Muy Baja",'R. Gestión '!#REF!="Leve"),CONCATENATE("R7C",'R. Gestión '!#REF!),"")</f>
        <v>#REF!</v>
      </c>
      <c r="O52" s="67" t="e">
        <f>IF(AND('R. Gestión '!#REF!="Muy Baja",'R. Gestión '!#REF!="Leve"),CONCATENATE("R7C",'R. Gestión '!#REF!),"")</f>
        <v>#REF!</v>
      </c>
      <c r="P52" s="65" t="e">
        <f>IF(AND('R. Gestión '!#REF!="Muy Baja",'R. Gestión '!#REF!="Menor"),CONCATENATE("R7C",'R. Gestión '!#REF!),"")</f>
        <v>#REF!</v>
      </c>
      <c r="Q52" s="66" t="e">
        <f>IF(AND('R. Gestión '!#REF!="Muy Baja",'R. Gestión '!#REF!="Menor"),CONCATENATE("R7C",'R. Gestión '!#REF!),"")</f>
        <v>#REF!</v>
      </c>
      <c r="R52" s="66" t="e">
        <f>IF(AND('R. Gestión '!#REF!="Muy Baja",'R. Gestión '!#REF!="Menor"),CONCATENATE("R7C",'R. Gestión '!#REF!),"")</f>
        <v>#REF!</v>
      </c>
      <c r="S52" s="66" t="e">
        <f>IF(AND('R. Gestión '!#REF!="Muy Baja",'R. Gestión '!#REF!="Menor"),CONCATENATE("R7C",'R. Gestión '!#REF!),"")</f>
        <v>#REF!</v>
      </c>
      <c r="T52" s="66" t="e">
        <f>IF(AND('R. Gestión '!#REF!="Muy Baja",'R. Gestión '!#REF!="Menor"),CONCATENATE("R7C",'R. Gestión '!#REF!),"")</f>
        <v>#REF!</v>
      </c>
      <c r="U52" s="67" t="e">
        <f>IF(AND('R. Gestión '!#REF!="Muy Baja",'R. Gestión '!#REF!="Menor"),CONCATENATE("R7C",'R. Gestión '!#REF!),"")</f>
        <v>#REF!</v>
      </c>
      <c r="V52" s="56" t="e">
        <f>IF(AND('R. Gestión '!#REF!="Muy Baja",'R. Gestión '!#REF!="Moderado"),CONCATENATE("R7C",'R. Gestión '!#REF!),"")</f>
        <v>#REF!</v>
      </c>
      <c r="W52" s="57" t="e">
        <f>IF(AND('R. Gestión '!#REF!="Muy Baja",'R. Gestión '!#REF!="Moderado"),CONCATENATE("R7C",'R. Gestión '!#REF!),"")</f>
        <v>#REF!</v>
      </c>
      <c r="X52" s="57" t="e">
        <f>IF(AND('R. Gestión '!#REF!="Muy Baja",'R. Gestión '!#REF!="Moderado"),CONCATENATE("R7C",'R. Gestión '!#REF!),"")</f>
        <v>#REF!</v>
      </c>
      <c r="Y52" s="57" t="e">
        <f>IF(AND('R. Gestión '!#REF!="Muy Baja",'R. Gestión '!#REF!="Moderado"),CONCATENATE("R7C",'R. Gestión '!#REF!),"")</f>
        <v>#REF!</v>
      </c>
      <c r="Z52" s="57" t="e">
        <f>IF(AND('R. Gestión '!#REF!="Muy Baja",'R. Gestión '!#REF!="Moderado"),CONCATENATE("R7C",'R. Gestión '!#REF!),"")</f>
        <v>#REF!</v>
      </c>
      <c r="AA52" s="58" t="e">
        <f>IF(AND('R. Gestión '!#REF!="Muy Baja",'R. Gestión '!#REF!="Moderado"),CONCATENATE("R7C",'R. Gestión '!#REF!),"")</f>
        <v>#REF!</v>
      </c>
      <c r="AB52" s="41" t="e">
        <f>IF(AND('R. Gestión '!#REF!="Muy Baja",'R. Gestión '!#REF!="Mayor"),CONCATENATE("R7C",'R. Gestión '!#REF!),"")</f>
        <v>#REF!</v>
      </c>
      <c r="AC52" s="42" t="e">
        <f>IF(AND('R. Gestión '!#REF!="Muy Baja",'R. Gestión '!#REF!="Mayor"),CONCATENATE("R7C",'R. Gestión '!#REF!),"")</f>
        <v>#REF!</v>
      </c>
      <c r="AD52" s="42" t="e">
        <f>IF(AND('R. Gestión '!#REF!="Muy Baja",'R. Gestión '!#REF!="Mayor"),CONCATENATE("R7C",'R. Gestión '!#REF!),"")</f>
        <v>#REF!</v>
      </c>
      <c r="AE52" s="42" t="e">
        <f>IF(AND('R. Gestión '!#REF!="Muy Baja",'R. Gestión '!#REF!="Mayor"),CONCATENATE("R7C",'R. Gestión '!#REF!),"")</f>
        <v>#REF!</v>
      </c>
      <c r="AF52" s="42" t="e">
        <f>IF(AND('R. Gestión '!#REF!="Muy Baja",'R. Gestión '!#REF!="Mayor"),CONCATENATE("R7C",'R. Gestión '!#REF!),"")</f>
        <v>#REF!</v>
      </c>
      <c r="AG52" s="43" t="e">
        <f>IF(AND('R. Gestión '!#REF!="Muy Baja",'R. Gestión '!#REF!="Mayor"),CONCATENATE("R7C",'R. Gestión '!#REF!),"")</f>
        <v>#REF!</v>
      </c>
      <c r="AH52" s="44" t="e">
        <f>IF(AND('R. Gestión '!#REF!="Muy Baja",'R. Gestión '!#REF!="Catastrófico"),CONCATENATE("R7C",'R. Gestión '!#REF!),"")</f>
        <v>#REF!</v>
      </c>
      <c r="AI52" s="45" t="e">
        <f>IF(AND('R. Gestión '!#REF!="Muy Baja",'R. Gestión '!#REF!="Catastrófico"),CONCATENATE("R7C",'R. Gestión '!#REF!),"")</f>
        <v>#REF!</v>
      </c>
      <c r="AJ52" s="45" t="e">
        <f>IF(AND('R. Gestión '!#REF!="Muy Baja",'R. Gestión '!#REF!="Catastrófico"),CONCATENATE("R7C",'R. Gestión '!#REF!),"")</f>
        <v>#REF!</v>
      </c>
      <c r="AK52" s="45" t="e">
        <f>IF(AND('R. Gestión '!#REF!="Muy Baja",'R. Gestión '!#REF!="Catastrófico"),CONCATENATE("R7C",'R. Gestión '!#REF!),"")</f>
        <v>#REF!</v>
      </c>
      <c r="AL52" s="45" t="e">
        <f>IF(AND('R. Gestión '!#REF!="Muy Baja",'R. Gestión '!#REF!="Catastrófico"),CONCATENATE("R7C",'R. Gestión '!#REF!),"")</f>
        <v>#REF!</v>
      </c>
      <c r="AM52" s="46" t="e">
        <f>IF(AND('R. Gestión '!#REF!="Muy Baja",'R. Gestión '!#REF!="Catastrófico"),CONCATENATE("R7C",'R. Gestión '!#REF!),"")</f>
        <v>#REF!</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663"/>
      <c r="C53" s="663"/>
      <c r="D53" s="664"/>
      <c r="E53" s="704"/>
      <c r="F53" s="705"/>
      <c r="G53" s="705"/>
      <c r="H53" s="705"/>
      <c r="I53" s="706"/>
      <c r="J53" s="65" t="str">
        <f>IF(AND('R. Gestión '!$AD$281="Muy Baja",'R. Gestión '!$AF$281="Leve"),CONCATENATE("R8C",'R. Gestión '!$S$281),"")</f>
        <v/>
      </c>
      <c r="K53" s="66" t="str">
        <f>IF(AND('R. Gestión '!$AD$282="Muy Baja",'R. Gestión '!$AF$282="Leve"),CONCATENATE("R8C",'R. Gestión '!$S$282),"")</f>
        <v/>
      </c>
      <c r="L53" s="66" t="str">
        <f>IF(AND('R. Gestión '!$AD$283="Muy Baja",'R. Gestión '!$AF$283="Leve"),CONCATENATE("R8C",'R. Gestión '!$S$283),"")</f>
        <v/>
      </c>
      <c r="M53" s="66" t="str">
        <f>IF(AND('R. Gestión '!$AD$284="Muy Baja",'R. Gestión '!$AF$284="Leve"),CONCATENATE("R8C",'R. Gestión '!$S$284),"")</f>
        <v/>
      </c>
      <c r="N53" s="66" t="str">
        <f>IF(AND('R. Gestión '!$AD$285="Muy Baja",'R. Gestión '!$AF$285="Leve"),CONCATENATE("R8C",'R. Gestión '!$S$285),"")</f>
        <v/>
      </c>
      <c r="O53" s="67" t="str">
        <f>IF(AND('R. Gestión '!$AD$286="Muy Baja",'R. Gestión '!$AF$286="Leve"),CONCATENATE("R8C",'R. Gestión '!$S$286),"")</f>
        <v/>
      </c>
      <c r="P53" s="65" t="str">
        <f>IF(AND('R. Gestión '!$AD$281="Muy Baja",'R. Gestión '!$AF$281="Menor"),CONCATENATE("R8C",'R. Gestión '!$S$281),"")</f>
        <v/>
      </c>
      <c r="Q53" s="66" t="str">
        <f>IF(AND('R. Gestión '!$AD$282="Muy Baja",'R. Gestión '!$AF$282="Menor"),CONCATENATE("R8C",'R. Gestión '!$S$282),"")</f>
        <v/>
      </c>
      <c r="R53" s="66" t="str">
        <f>IF(AND('R. Gestión '!$AD$283="Muy Baja",'R. Gestión '!$AF$283="Menor"),CONCATENATE("R8C",'R. Gestión '!$S$283),"")</f>
        <v/>
      </c>
      <c r="S53" s="66" t="str">
        <f>IF(AND('R. Gestión '!$AD$284="Muy Baja",'R. Gestión '!$AF$284="Menor"),CONCATENATE("R8C",'R. Gestión '!$S$284),"")</f>
        <v/>
      </c>
      <c r="T53" s="66" t="str">
        <f>IF(AND('R. Gestión '!$AD$285="Muy Baja",'R. Gestión '!$AF$285="Menor"),CONCATENATE("R8C",'R. Gestión '!$S$285),"")</f>
        <v/>
      </c>
      <c r="U53" s="67" t="str">
        <f>IF(AND('R. Gestión '!$AD$286="Muy Baja",'R. Gestión '!$AF$286="Menor"),CONCATENATE("R8C",'R. Gestión '!$S$286),"")</f>
        <v/>
      </c>
      <c r="V53" s="56" t="str">
        <f>IF(AND('R. Gestión '!$AD$281="Muy Baja",'R. Gestión '!$AF$281="Moderado"),CONCATENATE("R8C",'R. Gestión '!$S$281),"")</f>
        <v/>
      </c>
      <c r="W53" s="57" t="str">
        <f>IF(AND('R. Gestión '!$AD$282="Muy Baja",'R. Gestión '!$AF$282="Moderado"),CONCATENATE("R8C",'R. Gestión '!$S$282),"")</f>
        <v/>
      </c>
      <c r="X53" s="57" t="str">
        <f>IF(AND('R. Gestión '!$AD$283="Muy Baja",'R. Gestión '!$AF$283="Moderado"),CONCATENATE("R8C",'R. Gestión '!$S$283),"")</f>
        <v/>
      </c>
      <c r="Y53" s="57" t="str">
        <f>IF(AND('R. Gestión '!$AD$284="Muy Baja",'R. Gestión '!$AF$284="Moderado"),CONCATENATE("R8C",'R. Gestión '!$S$284),"")</f>
        <v/>
      </c>
      <c r="Z53" s="57" t="str">
        <f>IF(AND('R. Gestión '!$AD$285="Muy Baja",'R. Gestión '!$AF$285="Moderado"),CONCATENATE("R8C",'R. Gestión '!$S$285),"")</f>
        <v/>
      </c>
      <c r="AA53" s="58" t="str">
        <f>IF(AND('R. Gestión '!$AD$286="Muy Baja",'R. Gestión '!$AF$286="Moderado"),CONCATENATE("R8C",'R. Gestión '!$S$286),"")</f>
        <v/>
      </c>
      <c r="AB53" s="41" t="str">
        <f>IF(AND('R. Gestión '!$AD$281="Muy Baja",'R. Gestión '!$AF$281="Mayor"),CONCATENATE("R8C",'R. Gestión '!$S$281),"")</f>
        <v/>
      </c>
      <c r="AC53" s="42" t="str">
        <f>IF(AND('R. Gestión '!$AD$282="Muy Baja",'R. Gestión '!$AF$282="Mayor"),CONCATENATE("R8C",'R. Gestión '!$S$282),"")</f>
        <v/>
      </c>
      <c r="AD53" s="42" t="str">
        <f>IF(AND('R. Gestión '!$AD$283="Muy Baja",'R. Gestión '!$AF$283="Mayor"),CONCATENATE("R8C",'R. Gestión '!$S$283),"")</f>
        <v/>
      </c>
      <c r="AE53" s="42" t="str">
        <f>IF(AND('R. Gestión '!$AD$284="Muy Baja",'R. Gestión '!$AF$284="Mayor"),CONCATENATE("R8C",'R. Gestión '!$S$284),"")</f>
        <v/>
      </c>
      <c r="AF53" s="42" t="str">
        <f>IF(AND('R. Gestión '!$AD$285="Muy Baja",'R. Gestión '!$AF$285="Mayor"),CONCATENATE("R8C",'R. Gestión '!$S$285),"")</f>
        <v/>
      </c>
      <c r="AG53" s="43" t="str">
        <f>IF(AND('R. Gestión '!$AD$286="Muy Baja",'R. Gestión '!$AF$286="Mayor"),CONCATENATE("R8C",'R. Gestión '!$S$286),"")</f>
        <v/>
      </c>
      <c r="AH53" s="44" t="str">
        <f>IF(AND('R. Gestión '!$AD$281="Muy Baja",'R. Gestión '!$AF$281="Catastrófico"),CONCATENATE("R8C",'R. Gestión '!$S$281),"")</f>
        <v/>
      </c>
      <c r="AI53" s="45" t="str">
        <f>IF(AND('R. Gestión '!$AD$282="Muy Baja",'R. Gestión '!$AF$282="Catastrófico"),CONCATENATE("R8C",'R. Gestión '!$S$282),"")</f>
        <v/>
      </c>
      <c r="AJ53" s="45" t="str">
        <f>IF(AND('R. Gestión '!$AD$283="Muy Baja",'R. Gestión '!$AF$283="Catastrófico"),CONCATENATE("R8C",'R. Gestión '!$S$283),"")</f>
        <v/>
      </c>
      <c r="AK53" s="45" t="str">
        <f>IF(AND('R. Gestión '!$AD$284="Muy Baja",'R. Gestión '!$AF$284="Catastrófico"),CONCATENATE("R8C",'R. Gestión '!$S$284),"")</f>
        <v/>
      </c>
      <c r="AL53" s="45" t="str">
        <f>IF(AND('R. Gestión '!$AD$285="Muy Baja",'R. Gestión '!$AF$285="Catastrófico"),CONCATENATE("R8C",'R. Gestión '!$S$285),"")</f>
        <v/>
      </c>
      <c r="AM53" s="46" t="str">
        <f>IF(AND('R. Gestión '!$AD$286="Muy Baja",'R. Gestión '!$AF$286="Catastrófico"),CONCATENATE("R8C",'R. Gestión '!$S$286),"")</f>
        <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663"/>
      <c r="C54" s="663"/>
      <c r="D54" s="664"/>
      <c r="E54" s="704"/>
      <c r="F54" s="705"/>
      <c r="G54" s="705"/>
      <c r="H54" s="705"/>
      <c r="I54" s="706"/>
      <c r="J54" s="65" t="e">
        <f>IF(AND('R. Gestión '!#REF!="Muy Baja",'R. Gestión '!#REF!="Leve"),CONCATENATE("R9C",'R. Gestión '!#REF!),"")</f>
        <v>#REF!</v>
      </c>
      <c r="K54" s="66" t="e">
        <f>IF(AND('R. Gestión '!#REF!="Muy Baja",'R. Gestión '!#REF!="Leve"),CONCATENATE("R9C",'R. Gestión '!#REF!),"")</f>
        <v>#REF!</v>
      </c>
      <c r="L54" s="66" t="e">
        <f>IF(AND('R. Gestión '!#REF!="Muy Baja",'R. Gestión '!#REF!="Leve"),CONCATENATE("R9C",'R. Gestión '!#REF!),"")</f>
        <v>#REF!</v>
      </c>
      <c r="M54" s="66" t="e">
        <f>IF(AND('R. Gestión '!#REF!="Muy Baja",'R. Gestión '!#REF!="Leve"),CONCATENATE("R9C",'R. Gestión '!#REF!),"")</f>
        <v>#REF!</v>
      </c>
      <c r="N54" s="66" t="e">
        <f>IF(AND('R. Gestión '!#REF!="Muy Baja",'R. Gestión '!#REF!="Leve"),CONCATENATE("R9C",'R. Gestión '!#REF!),"")</f>
        <v>#REF!</v>
      </c>
      <c r="O54" s="67" t="e">
        <f>IF(AND('R. Gestión '!#REF!="Muy Baja",'R. Gestión '!#REF!="Leve"),CONCATENATE("R9C",'R. Gestión '!#REF!),"")</f>
        <v>#REF!</v>
      </c>
      <c r="P54" s="65" t="e">
        <f>IF(AND('R. Gestión '!#REF!="Muy Baja",'R. Gestión '!#REF!="Menor"),CONCATENATE("R9C",'R. Gestión '!#REF!),"")</f>
        <v>#REF!</v>
      </c>
      <c r="Q54" s="66" t="e">
        <f>IF(AND('R. Gestión '!#REF!="Muy Baja",'R. Gestión '!#REF!="Menor"),CONCATENATE("R9C",'R. Gestión '!#REF!),"")</f>
        <v>#REF!</v>
      </c>
      <c r="R54" s="66" t="e">
        <f>IF(AND('R. Gestión '!#REF!="Muy Baja",'R. Gestión '!#REF!="Menor"),CONCATENATE("R9C",'R. Gestión '!#REF!),"")</f>
        <v>#REF!</v>
      </c>
      <c r="S54" s="66" t="e">
        <f>IF(AND('R. Gestión '!#REF!="Muy Baja",'R. Gestión '!#REF!="Menor"),CONCATENATE("R9C",'R. Gestión '!#REF!),"")</f>
        <v>#REF!</v>
      </c>
      <c r="T54" s="66" t="e">
        <f>IF(AND('R. Gestión '!#REF!="Muy Baja",'R. Gestión '!#REF!="Menor"),CONCATENATE("R9C",'R. Gestión '!#REF!),"")</f>
        <v>#REF!</v>
      </c>
      <c r="U54" s="67" t="e">
        <f>IF(AND('R. Gestión '!#REF!="Muy Baja",'R. Gestión '!#REF!="Menor"),CONCATENATE("R9C",'R. Gestión '!#REF!),"")</f>
        <v>#REF!</v>
      </c>
      <c r="V54" s="56" t="e">
        <f>IF(AND('R. Gestión '!#REF!="Muy Baja",'R. Gestión '!#REF!="Moderado"),CONCATENATE("R9C",'R. Gestión '!#REF!),"")</f>
        <v>#REF!</v>
      </c>
      <c r="W54" s="57" t="e">
        <f>IF(AND('R. Gestión '!#REF!="Muy Baja",'R. Gestión '!#REF!="Moderado"),CONCATENATE("R9C",'R. Gestión '!#REF!),"")</f>
        <v>#REF!</v>
      </c>
      <c r="X54" s="57" t="e">
        <f>IF(AND('R. Gestión '!#REF!="Muy Baja",'R. Gestión '!#REF!="Moderado"),CONCATENATE("R9C",'R. Gestión '!#REF!),"")</f>
        <v>#REF!</v>
      </c>
      <c r="Y54" s="57" t="e">
        <f>IF(AND('R. Gestión '!#REF!="Muy Baja",'R. Gestión '!#REF!="Moderado"),CONCATENATE("R9C",'R. Gestión '!#REF!),"")</f>
        <v>#REF!</v>
      </c>
      <c r="Z54" s="57" t="e">
        <f>IF(AND('R. Gestión '!#REF!="Muy Baja",'R. Gestión '!#REF!="Moderado"),CONCATENATE("R9C",'R. Gestión '!#REF!),"")</f>
        <v>#REF!</v>
      </c>
      <c r="AA54" s="58" t="e">
        <f>IF(AND('R. Gestión '!#REF!="Muy Baja",'R. Gestión '!#REF!="Moderado"),CONCATENATE("R9C",'R. Gestión '!#REF!),"")</f>
        <v>#REF!</v>
      </c>
      <c r="AB54" s="41" t="e">
        <f>IF(AND('R. Gestión '!#REF!="Muy Baja",'R. Gestión '!#REF!="Mayor"),CONCATENATE("R9C",'R. Gestión '!#REF!),"")</f>
        <v>#REF!</v>
      </c>
      <c r="AC54" s="42" t="e">
        <f>IF(AND('R. Gestión '!#REF!="Muy Baja",'R. Gestión '!#REF!="Mayor"),CONCATENATE("R9C",'R. Gestión '!#REF!),"")</f>
        <v>#REF!</v>
      </c>
      <c r="AD54" s="42" t="e">
        <f>IF(AND('R. Gestión '!#REF!="Muy Baja",'R. Gestión '!#REF!="Mayor"),CONCATENATE("R9C",'R. Gestión '!#REF!),"")</f>
        <v>#REF!</v>
      </c>
      <c r="AE54" s="42" t="e">
        <f>IF(AND('R. Gestión '!#REF!="Muy Baja",'R. Gestión '!#REF!="Mayor"),CONCATENATE("R9C",'R. Gestión '!#REF!),"")</f>
        <v>#REF!</v>
      </c>
      <c r="AF54" s="42" t="e">
        <f>IF(AND('R. Gestión '!#REF!="Muy Baja",'R. Gestión '!#REF!="Mayor"),CONCATENATE("R9C",'R. Gestión '!#REF!),"")</f>
        <v>#REF!</v>
      </c>
      <c r="AG54" s="43" t="e">
        <f>IF(AND('R. Gestión '!#REF!="Muy Baja",'R. Gestión '!#REF!="Mayor"),CONCATENATE("R9C",'R. Gestión '!#REF!),"")</f>
        <v>#REF!</v>
      </c>
      <c r="AH54" s="44" t="e">
        <f>IF(AND('R. Gestión '!#REF!="Muy Baja",'R. Gestión '!#REF!="Catastrófico"),CONCATENATE("R9C",'R. Gestión '!#REF!),"")</f>
        <v>#REF!</v>
      </c>
      <c r="AI54" s="45" t="e">
        <f>IF(AND('R. Gestión '!#REF!="Muy Baja",'R. Gestión '!#REF!="Catastrófico"),CONCATENATE("R9C",'R. Gestión '!#REF!),"")</f>
        <v>#REF!</v>
      </c>
      <c r="AJ54" s="45" t="e">
        <f>IF(AND('R. Gestión '!#REF!="Muy Baja",'R. Gestión '!#REF!="Catastrófico"),CONCATENATE("R9C",'R. Gestión '!#REF!),"")</f>
        <v>#REF!</v>
      </c>
      <c r="AK54" s="45" t="e">
        <f>IF(AND('R. Gestión '!#REF!="Muy Baja",'R. Gestión '!#REF!="Catastrófico"),CONCATENATE("R9C",'R. Gestión '!#REF!),"")</f>
        <v>#REF!</v>
      </c>
      <c r="AL54" s="45" t="e">
        <f>IF(AND('R. Gestión '!#REF!="Muy Baja",'R. Gestión '!#REF!="Catastrófico"),CONCATENATE("R9C",'R. Gestión '!#REF!),"")</f>
        <v>#REF!</v>
      </c>
      <c r="AM54" s="46" t="e">
        <f>IF(AND('R. Gestión '!#REF!="Muy Baja",'R. Gestión '!#REF!="Catastrófico"),CONCATENATE("R9C",'R. Gestión '!#REF!),"")</f>
        <v>#REF!</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x14ac:dyDescent="0.3">
      <c r="A55" s="72"/>
      <c r="B55" s="663"/>
      <c r="C55" s="663"/>
      <c r="D55" s="664"/>
      <c r="E55" s="707"/>
      <c r="F55" s="708"/>
      <c r="G55" s="708"/>
      <c r="H55" s="708"/>
      <c r="I55" s="709"/>
      <c r="J55" s="68" t="e">
        <f>IF(AND('R. Gestión '!#REF!="Muy Baja",'R. Gestión '!#REF!="Leve"),CONCATENATE("R10C",'R. Gestión '!#REF!),"")</f>
        <v>#REF!</v>
      </c>
      <c r="K55" s="69" t="e">
        <f>IF(AND('R. Gestión '!#REF!="Muy Baja",'R. Gestión '!#REF!="Leve"),CONCATENATE("R10C",'R. Gestión '!#REF!),"")</f>
        <v>#REF!</v>
      </c>
      <c r="L55" s="69" t="e">
        <f>IF(AND('R. Gestión '!#REF!="Muy Baja",'R. Gestión '!#REF!="Leve"),CONCATENATE("R10C",'R. Gestión '!#REF!),"")</f>
        <v>#REF!</v>
      </c>
      <c r="M55" s="69" t="e">
        <f>IF(AND('R. Gestión '!#REF!="Muy Baja",'R. Gestión '!#REF!="Leve"),CONCATENATE("R10C",'R. Gestión '!#REF!),"")</f>
        <v>#REF!</v>
      </c>
      <c r="N55" s="69" t="e">
        <f>IF(AND('R. Gestión '!#REF!="Muy Baja",'R. Gestión '!#REF!="Leve"),CONCATENATE("R10C",'R. Gestión '!#REF!),"")</f>
        <v>#REF!</v>
      </c>
      <c r="O55" s="70" t="e">
        <f>IF(AND('R. Gestión '!#REF!="Muy Baja",'R. Gestión '!#REF!="Leve"),CONCATENATE("R10C",'R. Gestión '!#REF!),"")</f>
        <v>#REF!</v>
      </c>
      <c r="P55" s="68" t="e">
        <f>IF(AND('R. Gestión '!#REF!="Muy Baja",'R. Gestión '!#REF!="Menor"),CONCATENATE("R10C",'R. Gestión '!#REF!),"")</f>
        <v>#REF!</v>
      </c>
      <c r="Q55" s="69" t="e">
        <f>IF(AND('R. Gestión '!#REF!="Muy Baja",'R. Gestión '!#REF!="Menor"),CONCATENATE("R10C",'R. Gestión '!#REF!),"")</f>
        <v>#REF!</v>
      </c>
      <c r="R55" s="69" t="e">
        <f>IF(AND('R. Gestión '!#REF!="Muy Baja",'R. Gestión '!#REF!="Menor"),CONCATENATE("R10C",'R. Gestión '!#REF!),"")</f>
        <v>#REF!</v>
      </c>
      <c r="S55" s="69" t="e">
        <f>IF(AND('R. Gestión '!#REF!="Muy Baja",'R. Gestión '!#REF!="Menor"),CONCATENATE("R10C",'R. Gestión '!#REF!),"")</f>
        <v>#REF!</v>
      </c>
      <c r="T55" s="69" t="e">
        <f>IF(AND('R. Gestión '!#REF!="Muy Baja",'R. Gestión '!#REF!="Menor"),CONCATENATE("R10C",'R. Gestión '!#REF!),"")</f>
        <v>#REF!</v>
      </c>
      <c r="U55" s="70" t="e">
        <f>IF(AND('R. Gestión '!#REF!="Muy Baja",'R. Gestión '!#REF!="Menor"),CONCATENATE("R10C",'R. Gestión '!#REF!),"")</f>
        <v>#REF!</v>
      </c>
      <c r="V55" s="59" t="e">
        <f>IF(AND('R. Gestión '!#REF!="Muy Baja",'R. Gestión '!#REF!="Moderado"),CONCATENATE("R10C",'R. Gestión '!#REF!),"")</f>
        <v>#REF!</v>
      </c>
      <c r="W55" s="60" t="e">
        <f>IF(AND('R. Gestión '!#REF!="Muy Baja",'R. Gestión '!#REF!="Moderado"),CONCATENATE("R10C",'R. Gestión '!#REF!),"")</f>
        <v>#REF!</v>
      </c>
      <c r="X55" s="60" t="e">
        <f>IF(AND('R. Gestión '!#REF!="Muy Baja",'R. Gestión '!#REF!="Moderado"),CONCATENATE("R10C",'R. Gestión '!#REF!),"")</f>
        <v>#REF!</v>
      </c>
      <c r="Y55" s="60" t="e">
        <f>IF(AND('R. Gestión '!#REF!="Muy Baja",'R. Gestión '!#REF!="Moderado"),CONCATENATE("R10C",'R. Gestión '!#REF!),"")</f>
        <v>#REF!</v>
      </c>
      <c r="Z55" s="60" t="e">
        <f>IF(AND('R. Gestión '!#REF!="Muy Baja",'R. Gestión '!#REF!="Moderado"),CONCATENATE("R10C",'R. Gestión '!#REF!),"")</f>
        <v>#REF!</v>
      </c>
      <c r="AA55" s="61" t="e">
        <f>IF(AND('R. Gestión '!#REF!="Muy Baja",'R. Gestión '!#REF!="Moderado"),CONCATENATE("R10C",'R. Gestión '!#REF!),"")</f>
        <v>#REF!</v>
      </c>
      <c r="AB55" s="47" t="e">
        <f>IF(AND('R. Gestión '!#REF!="Muy Baja",'R. Gestión '!#REF!="Mayor"),CONCATENATE("R10C",'R. Gestión '!#REF!),"")</f>
        <v>#REF!</v>
      </c>
      <c r="AC55" s="48" t="e">
        <f>IF(AND('R. Gestión '!#REF!="Muy Baja",'R. Gestión '!#REF!="Mayor"),CONCATENATE("R10C",'R. Gestión '!#REF!),"")</f>
        <v>#REF!</v>
      </c>
      <c r="AD55" s="48" t="e">
        <f>IF(AND('R. Gestión '!#REF!="Muy Baja",'R. Gestión '!#REF!="Mayor"),CONCATENATE("R10C",'R. Gestión '!#REF!),"")</f>
        <v>#REF!</v>
      </c>
      <c r="AE55" s="48" t="e">
        <f>IF(AND('R. Gestión '!#REF!="Muy Baja",'R. Gestión '!#REF!="Mayor"),CONCATENATE("R10C",'R. Gestión '!#REF!),"")</f>
        <v>#REF!</v>
      </c>
      <c r="AF55" s="48" t="e">
        <f>IF(AND('R. Gestión '!#REF!="Muy Baja",'R. Gestión '!#REF!="Mayor"),CONCATENATE("R10C",'R. Gestión '!#REF!),"")</f>
        <v>#REF!</v>
      </c>
      <c r="AG55" s="49" t="e">
        <f>IF(AND('R. Gestión '!#REF!="Muy Baja",'R. Gestión '!#REF!="Mayor"),CONCATENATE("R10C",'R. Gestión '!#REF!),"")</f>
        <v>#REF!</v>
      </c>
      <c r="AH55" s="50" t="e">
        <f>IF(AND('R. Gestión '!#REF!="Muy Baja",'R. Gestión '!#REF!="Catastrófico"),CONCATENATE("R10C",'R. Gestión '!#REF!),"")</f>
        <v>#REF!</v>
      </c>
      <c r="AI55" s="51" t="e">
        <f>IF(AND('R. Gestión '!#REF!="Muy Baja",'R. Gestión '!#REF!="Catastrófico"),CONCATENATE("R10C",'R. Gestión '!#REF!),"")</f>
        <v>#REF!</v>
      </c>
      <c r="AJ55" s="51" t="e">
        <f>IF(AND('R. Gestión '!#REF!="Muy Baja",'R. Gestión '!#REF!="Catastrófico"),CONCATENATE("R10C",'R. Gestión '!#REF!),"")</f>
        <v>#REF!</v>
      </c>
      <c r="AK55" s="51" t="e">
        <f>IF(AND('R. Gestión '!#REF!="Muy Baja",'R. Gestión '!#REF!="Catastrófico"),CONCATENATE("R10C",'R. Gestión '!#REF!),"")</f>
        <v>#REF!</v>
      </c>
      <c r="AL55" s="51" t="e">
        <f>IF(AND('R. Gestión '!#REF!="Muy Baja",'R. Gestión '!#REF!="Catastrófico"),CONCATENATE("R10C",'R. Gestión '!#REF!),"")</f>
        <v>#REF!</v>
      </c>
      <c r="AM55" s="52" t="e">
        <f>IF(AND('R. Gestión '!#REF!="Muy Baja",'R. Gestión '!#REF!="Catastrófico"),CONCATENATE("R10C",'R. Gestión '!#REF!),"")</f>
        <v>#REF!</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01" t="s">
        <v>96</v>
      </c>
      <c r="K56" s="702"/>
      <c r="L56" s="702"/>
      <c r="M56" s="702"/>
      <c r="N56" s="702"/>
      <c r="O56" s="703"/>
      <c r="P56" s="701" t="s">
        <v>95</v>
      </c>
      <c r="Q56" s="702"/>
      <c r="R56" s="702"/>
      <c r="S56" s="702"/>
      <c r="T56" s="702"/>
      <c r="U56" s="703"/>
      <c r="V56" s="701" t="s">
        <v>94</v>
      </c>
      <c r="W56" s="702"/>
      <c r="X56" s="702"/>
      <c r="Y56" s="702"/>
      <c r="Z56" s="702"/>
      <c r="AA56" s="703"/>
      <c r="AB56" s="701" t="s">
        <v>93</v>
      </c>
      <c r="AC56" s="710"/>
      <c r="AD56" s="702"/>
      <c r="AE56" s="702"/>
      <c r="AF56" s="702"/>
      <c r="AG56" s="703"/>
      <c r="AH56" s="701" t="s">
        <v>92</v>
      </c>
      <c r="AI56" s="702"/>
      <c r="AJ56" s="702"/>
      <c r="AK56" s="702"/>
      <c r="AL56" s="702"/>
      <c r="AM56" s="703"/>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04"/>
      <c r="K57" s="705"/>
      <c r="L57" s="705"/>
      <c r="M57" s="705"/>
      <c r="N57" s="705"/>
      <c r="O57" s="706"/>
      <c r="P57" s="704"/>
      <c r="Q57" s="705"/>
      <c r="R57" s="705"/>
      <c r="S57" s="705"/>
      <c r="T57" s="705"/>
      <c r="U57" s="706"/>
      <c r="V57" s="704"/>
      <c r="W57" s="705"/>
      <c r="X57" s="705"/>
      <c r="Y57" s="705"/>
      <c r="Z57" s="705"/>
      <c r="AA57" s="706"/>
      <c r="AB57" s="704"/>
      <c r="AC57" s="705"/>
      <c r="AD57" s="705"/>
      <c r="AE57" s="705"/>
      <c r="AF57" s="705"/>
      <c r="AG57" s="706"/>
      <c r="AH57" s="704"/>
      <c r="AI57" s="705"/>
      <c r="AJ57" s="705"/>
      <c r="AK57" s="705"/>
      <c r="AL57" s="705"/>
      <c r="AM57" s="706"/>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04"/>
      <c r="K58" s="705"/>
      <c r="L58" s="705"/>
      <c r="M58" s="705"/>
      <c r="N58" s="705"/>
      <c r="O58" s="706"/>
      <c r="P58" s="704"/>
      <c r="Q58" s="705"/>
      <c r="R58" s="705"/>
      <c r="S58" s="705"/>
      <c r="T58" s="705"/>
      <c r="U58" s="706"/>
      <c r="V58" s="704"/>
      <c r="W58" s="705"/>
      <c r="X58" s="705"/>
      <c r="Y58" s="705"/>
      <c r="Z58" s="705"/>
      <c r="AA58" s="706"/>
      <c r="AB58" s="704"/>
      <c r="AC58" s="705"/>
      <c r="AD58" s="705"/>
      <c r="AE58" s="705"/>
      <c r="AF58" s="705"/>
      <c r="AG58" s="706"/>
      <c r="AH58" s="704"/>
      <c r="AI58" s="705"/>
      <c r="AJ58" s="705"/>
      <c r="AK58" s="705"/>
      <c r="AL58" s="705"/>
      <c r="AM58" s="706"/>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04"/>
      <c r="K59" s="705"/>
      <c r="L59" s="705"/>
      <c r="M59" s="705"/>
      <c r="N59" s="705"/>
      <c r="O59" s="706"/>
      <c r="P59" s="704"/>
      <c r="Q59" s="705"/>
      <c r="R59" s="705"/>
      <c r="S59" s="705"/>
      <c r="T59" s="705"/>
      <c r="U59" s="706"/>
      <c r="V59" s="704"/>
      <c r="W59" s="705"/>
      <c r="X59" s="705"/>
      <c r="Y59" s="705"/>
      <c r="Z59" s="705"/>
      <c r="AA59" s="706"/>
      <c r="AB59" s="704"/>
      <c r="AC59" s="705"/>
      <c r="AD59" s="705"/>
      <c r="AE59" s="705"/>
      <c r="AF59" s="705"/>
      <c r="AG59" s="706"/>
      <c r="AH59" s="704"/>
      <c r="AI59" s="705"/>
      <c r="AJ59" s="705"/>
      <c r="AK59" s="705"/>
      <c r="AL59" s="705"/>
      <c r="AM59" s="706"/>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04"/>
      <c r="K60" s="705"/>
      <c r="L60" s="705"/>
      <c r="M60" s="705"/>
      <c r="N60" s="705"/>
      <c r="O60" s="706"/>
      <c r="P60" s="704"/>
      <c r="Q60" s="705"/>
      <c r="R60" s="705"/>
      <c r="S60" s="705"/>
      <c r="T60" s="705"/>
      <c r="U60" s="706"/>
      <c r="V60" s="704"/>
      <c r="W60" s="705"/>
      <c r="X60" s="705"/>
      <c r="Y60" s="705"/>
      <c r="Z60" s="705"/>
      <c r="AA60" s="706"/>
      <c r="AB60" s="704"/>
      <c r="AC60" s="705"/>
      <c r="AD60" s="705"/>
      <c r="AE60" s="705"/>
      <c r="AF60" s="705"/>
      <c r="AG60" s="706"/>
      <c r="AH60" s="704"/>
      <c r="AI60" s="705"/>
      <c r="AJ60" s="705"/>
      <c r="AK60" s="705"/>
      <c r="AL60" s="705"/>
      <c r="AM60" s="706"/>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x14ac:dyDescent="0.3">
      <c r="A61" s="72"/>
      <c r="B61" s="72"/>
      <c r="C61" s="72"/>
      <c r="D61" s="72"/>
      <c r="E61" s="72"/>
      <c r="F61" s="72"/>
      <c r="G61" s="72"/>
      <c r="H61" s="72"/>
      <c r="I61" s="72"/>
      <c r="J61" s="707"/>
      <c r="K61" s="708"/>
      <c r="L61" s="708"/>
      <c r="M61" s="708"/>
      <c r="N61" s="708"/>
      <c r="O61" s="709"/>
      <c r="P61" s="707"/>
      <c r="Q61" s="708"/>
      <c r="R61" s="708"/>
      <c r="S61" s="708"/>
      <c r="T61" s="708"/>
      <c r="U61" s="709"/>
      <c r="V61" s="707"/>
      <c r="W61" s="708"/>
      <c r="X61" s="708"/>
      <c r="Y61" s="708"/>
      <c r="Z61" s="708"/>
      <c r="AA61" s="709"/>
      <c r="AB61" s="707"/>
      <c r="AC61" s="708"/>
      <c r="AD61" s="708"/>
      <c r="AE61" s="708"/>
      <c r="AF61" s="708"/>
      <c r="AG61" s="709"/>
      <c r="AH61" s="707"/>
      <c r="AI61" s="708"/>
      <c r="AJ61" s="708"/>
      <c r="AK61" s="708"/>
      <c r="AL61" s="708"/>
      <c r="AM61" s="709"/>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x14ac:dyDescent="0.25">
      <c r="A63" s="7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2"/>
      <c r="AV63" s="72"/>
      <c r="AW63" s="72"/>
      <c r="AX63" s="72"/>
      <c r="AY63" s="72"/>
      <c r="AZ63" s="72"/>
      <c r="BA63" s="72"/>
      <c r="BB63" s="72"/>
      <c r="BC63" s="72"/>
      <c r="BD63" s="72"/>
      <c r="BE63" s="72"/>
      <c r="BF63" s="72"/>
      <c r="BG63" s="72"/>
      <c r="BH63" s="72"/>
    </row>
    <row r="64" spans="1:80" ht="15" customHeight="1" x14ac:dyDescent="0.25">
      <c r="A64" s="7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2"/>
      <c r="AV64" s="72"/>
      <c r="AW64" s="72"/>
      <c r="AX64" s="72"/>
      <c r="AY64" s="72"/>
      <c r="AZ64" s="72"/>
      <c r="BA64" s="72"/>
      <c r="BB64" s="72"/>
      <c r="BC64" s="72"/>
      <c r="BD64" s="72"/>
      <c r="BE64" s="72"/>
      <c r="BF64" s="72"/>
      <c r="BG64" s="72"/>
      <c r="BH64" s="72"/>
    </row>
    <row r="65" spans="1:6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x14ac:dyDescent="0.25">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x14ac:dyDescent="0.25">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x14ac:dyDescent="0.25">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x14ac:dyDescent="0.25">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x14ac:dyDescent="0.25">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x14ac:dyDescent="0.25">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x14ac:dyDescent="0.25">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x14ac:dyDescent="0.25">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x14ac:dyDescent="0.25">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x14ac:dyDescent="0.25">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x14ac:dyDescent="0.25">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x14ac:dyDescent="0.25">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x14ac:dyDescent="0.25">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x14ac:dyDescent="0.25">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x14ac:dyDescent="0.25">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x14ac:dyDescent="0.25">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x14ac:dyDescent="0.25">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x14ac:dyDescent="0.25">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x14ac:dyDescent="0.25">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x14ac:dyDescent="0.25">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x14ac:dyDescent="0.25">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x14ac:dyDescent="0.25">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x14ac:dyDescent="0.25">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x14ac:dyDescent="0.25">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x14ac:dyDescent="0.25">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x14ac:dyDescent="0.25">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x14ac:dyDescent="0.25">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x14ac:dyDescent="0.25">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x14ac:dyDescent="0.25">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x14ac:dyDescent="0.25">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x14ac:dyDescent="0.25">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x14ac:dyDescent="0.25">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x14ac:dyDescent="0.25">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x14ac:dyDescent="0.25">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x14ac:dyDescent="0.25">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x14ac:dyDescent="0.25">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x14ac:dyDescent="0.25">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x14ac:dyDescent="0.25">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x14ac:dyDescent="0.25">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x14ac:dyDescent="0.25">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x14ac:dyDescent="0.25">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x14ac:dyDescent="0.25">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x14ac:dyDescent="0.25">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x14ac:dyDescent="0.25">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x14ac:dyDescent="0.25">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x14ac:dyDescent="0.25">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x14ac:dyDescent="0.25">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x14ac:dyDescent="0.25">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x14ac:dyDescent="0.25">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x14ac:dyDescent="0.25">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x14ac:dyDescent="0.25">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x14ac:dyDescent="0.25">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x14ac:dyDescent="0.25">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x14ac:dyDescent="0.25">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x14ac:dyDescent="0.25">
      <c r="A245" s="72"/>
    </row>
    <row r="246" spans="1:60" x14ac:dyDescent="0.25">
      <c r="A246" s="72"/>
    </row>
    <row r="247" spans="1:60" x14ac:dyDescent="0.25">
      <c r="A247" s="72"/>
    </row>
    <row r="248" spans="1:60" x14ac:dyDescent="0.25">
      <c r="A248" s="72"/>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5"/>
  <sheetViews>
    <sheetView zoomScale="60" zoomScaleNormal="60" workbookViewId="0">
      <selection activeCell="A7" sqref="A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2"/>
      <c r="B1" s="750" t="s">
        <v>41</v>
      </c>
      <c r="C1" s="750"/>
      <c r="D1" s="750"/>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x14ac:dyDescent="0.25">
      <c r="A3" s="72"/>
      <c r="B3" s="5"/>
      <c r="C3" s="6" t="s">
        <v>38</v>
      </c>
      <c r="D3" s="6" t="s">
        <v>3</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x14ac:dyDescent="0.25">
      <c r="A4" s="72"/>
      <c r="B4" s="7" t="s">
        <v>37</v>
      </c>
      <c r="C4" s="8" t="s">
        <v>86</v>
      </c>
      <c r="D4" s="9">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x14ac:dyDescent="0.25">
      <c r="A5" s="72"/>
      <c r="B5" s="10" t="s">
        <v>39</v>
      </c>
      <c r="C5" s="11" t="s">
        <v>87</v>
      </c>
      <c r="D5" s="12">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x14ac:dyDescent="0.25">
      <c r="A6" s="72"/>
      <c r="B6" s="13" t="s">
        <v>91</v>
      </c>
      <c r="C6" s="11" t="s">
        <v>88</v>
      </c>
      <c r="D6" s="12">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x14ac:dyDescent="0.25">
      <c r="A7" s="72"/>
      <c r="B7" s="14" t="s">
        <v>5</v>
      </c>
      <c r="C7" s="11" t="s">
        <v>89</v>
      </c>
      <c r="D7" s="12">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x14ac:dyDescent="0.25">
      <c r="A8" s="72"/>
      <c r="B8" s="15" t="s">
        <v>40</v>
      </c>
      <c r="C8" s="11" t="s">
        <v>90</v>
      </c>
      <c r="D8" s="12">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x14ac:dyDescent="0.25">
      <c r="A9" s="72"/>
      <c r="B9" s="96"/>
      <c r="C9" s="96"/>
      <c r="D9" s="96"/>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x14ac:dyDescent="0.25">
      <c r="A10" s="72"/>
      <c r="B10" s="97"/>
      <c r="C10" s="96"/>
      <c r="D10" s="96"/>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x14ac:dyDescent="0.25">
      <c r="A11" s="72"/>
      <c r="B11" s="96"/>
      <c r="C11" s="96"/>
      <c r="D11" s="96"/>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x14ac:dyDescent="0.25">
      <c r="A12" s="72"/>
      <c r="B12" s="96"/>
      <c r="C12" s="96"/>
      <c r="D12" s="9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x14ac:dyDescent="0.25">
      <c r="A13" s="72"/>
      <c r="B13" s="96"/>
      <c r="C13" s="96"/>
      <c r="D13" s="9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x14ac:dyDescent="0.25">
      <c r="A14" s="72"/>
      <c r="B14" s="96"/>
      <c r="C14" s="96"/>
      <c r="D14" s="9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x14ac:dyDescent="0.25">
      <c r="A15" s="72"/>
      <c r="B15" s="96"/>
      <c r="C15" s="96"/>
      <c r="D15" s="9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x14ac:dyDescent="0.25">
      <c r="A16" s="72"/>
      <c r="B16" s="96"/>
      <c r="C16" s="96"/>
      <c r="D16" s="9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x14ac:dyDescent="0.25">
      <c r="A17" s="72"/>
      <c r="B17" s="96"/>
      <c r="C17" s="96"/>
      <c r="D17" s="9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x14ac:dyDescent="0.25">
      <c r="A18" s="72"/>
      <c r="B18" s="96"/>
      <c r="C18" s="96"/>
      <c r="D18" s="9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x14ac:dyDescent="0.25">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x14ac:dyDescent="0.25">
      <c r="A35" s="72"/>
    </row>
    <row r="36" spans="1:31" x14ac:dyDescent="0.25">
      <c r="A36" s="72"/>
    </row>
    <row r="37" spans="1:31" x14ac:dyDescent="0.25">
      <c r="A37" s="72"/>
    </row>
    <row r="38" spans="1:31" x14ac:dyDescent="0.25">
      <c r="A38" s="72"/>
    </row>
    <row r="39" spans="1:31" x14ac:dyDescent="0.25">
      <c r="A39" s="72"/>
    </row>
    <row r="40" spans="1:31" x14ac:dyDescent="0.25">
      <c r="A40" s="72"/>
    </row>
    <row r="41" spans="1:31" x14ac:dyDescent="0.25">
      <c r="A41" s="72"/>
    </row>
    <row r="42" spans="1:31" x14ac:dyDescent="0.25">
      <c r="A42" s="72"/>
    </row>
    <row r="43" spans="1:31" x14ac:dyDescent="0.25">
      <c r="A43" s="72"/>
    </row>
    <row r="44" spans="1:31" x14ac:dyDescent="0.25">
      <c r="A44" s="72"/>
    </row>
    <row r="45" spans="1:31" x14ac:dyDescent="0.25">
      <c r="A45" s="72"/>
    </row>
    <row r="46" spans="1:31" x14ac:dyDescent="0.25">
      <c r="A46" s="72"/>
    </row>
    <row r="47" spans="1:31" x14ac:dyDescent="0.25">
      <c r="A47" s="72"/>
    </row>
    <row r="48" spans="1:3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sheetData>
  <mergeCells count="1">
    <mergeCell ref="B1:D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32"/>
  <sheetViews>
    <sheetView zoomScale="40" zoomScaleNormal="40" workbookViewId="0">
      <selection activeCell="B6" sqref="B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2"/>
      <c r="B1" s="751" t="s">
        <v>49</v>
      </c>
      <c r="C1" s="751"/>
      <c r="D1" s="751"/>
      <c r="E1" s="72"/>
      <c r="F1" s="72"/>
      <c r="G1" s="72"/>
      <c r="H1" s="72"/>
      <c r="I1" s="72"/>
      <c r="J1" s="72"/>
      <c r="K1" s="72"/>
      <c r="L1" s="72"/>
      <c r="M1" s="72"/>
      <c r="N1" s="72"/>
      <c r="O1" s="72"/>
      <c r="P1" s="72"/>
      <c r="Q1" s="72"/>
      <c r="R1" s="72"/>
      <c r="S1" s="72"/>
      <c r="T1" s="72"/>
      <c r="U1" s="72"/>
    </row>
    <row r="2" spans="1:21" x14ac:dyDescent="0.25">
      <c r="A2" s="72"/>
      <c r="B2" s="72"/>
      <c r="C2" s="72"/>
      <c r="D2" s="72"/>
      <c r="E2" s="72"/>
      <c r="F2" s="72"/>
      <c r="G2" s="72"/>
      <c r="H2" s="72"/>
      <c r="I2" s="72"/>
      <c r="J2" s="72"/>
      <c r="K2" s="72"/>
      <c r="L2" s="72"/>
      <c r="M2" s="72"/>
      <c r="N2" s="72"/>
      <c r="O2" s="72"/>
      <c r="P2" s="72"/>
      <c r="Q2" s="72"/>
      <c r="R2" s="72"/>
      <c r="S2" s="72"/>
      <c r="T2" s="72"/>
      <c r="U2" s="72"/>
    </row>
    <row r="3" spans="1:21" ht="30" x14ac:dyDescent="0.25">
      <c r="A3" s="72"/>
      <c r="B3" s="93"/>
      <c r="C3" s="25" t="s">
        <v>42</v>
      </c>
      <c r="D3" s="25" t="s">
        <v>43</v>
      </c>
      <c r="E3" s="72"/>
      <c r="F3" s="72"/>
      <c r="G3" s="72"/>
      <c r="H3" s="72"/>
      <c r="I3" s="72"/>
      <c r="J3" s="72"/>
      <c r="K3" s="72"/>
      <c r="L3" s="72"/>
      <c r="M3" s="72"/>
      <c r="N3" s="72"/>
      <c r="O3" s="72"/>
      <c r="P3" s="72"/>
      <c r="Q3" s="72"/>
      <c r="R3" s="72"/>
      <c r="S3" s="72"/>
      <c r="T3" s="72"/>
      <c r="U3" s="72"/>
    </row>
    <row r="4" spans="1:21" ht="33.75" x14ac:dyDescent="0.25">
      <c r="A4" s="92" t="s">
        <v>69</v>
      </c>
      <c r="B4" s="28" t="s">
        <v>85</v>
      </c>
      <c r="C4" s="33" t="s">
        <v>124</v>
      </c>
      <c r="D4" s="26" t="s">
        <v>81</v>
      </c>
      <c r="E4" s="72"/>
      <c r="F4" s="72"/>
      <c r="G4" s="72"/>
      <c r="H4" s="72"/>
      <c r="I4" s="72"/>
      <c r="J4" s="72"/>
      <c r="K4" s="72"/>
      <c r="L4" s="72"/>
      <c r="M4" s="72"/>
      <c r="N4" s="72"/>
      <c r="O4" s="72"/>
      <c r="P4" s="72"/>
      <c r="Q4" s="72"/>
      <c r="R4" s="72"/>
      <c r="S4" s="72"/>
      <c r="T4" s="72"/>
      <c r="U4" s="72"/>
    </row>
    <row r="5" spans="1:21" ht="67.5" x14ac:dyDescent="0.25">
      <c r="A5" s="92" t="s">
        <v>70</v>
      </c>
      <c r="B5" s="29" t="s">
        <v>45</v>
      </c>
      <c r="C5" s="34" t="s">
        <v>77</v>
      </c>
      <c r="D5" s="27" t="s">
        <v>82</v>
      </c>
      <c r="E5" s="72"/>
      <c r="F5" s="72"/>
      <c r="G5" s="72"/>
      <c r="H5" s="72"/>
      <c r="I5" s="72"/>
      <c r="J5" s="72"/>
      <c r="K5" s="72"/>
      <c r="L5" s="72"/>
      <c r="M5" s="72"/>
      <c r="N5" s="72"/>
      <c r="O5" s="72"/>
      <c r="P5" s="72"/>
      <c r="Q5" s="72"/>
      <c r="R5" s="72"/>
      <c r="S5" s="72"/>
      <c r="T5" s="72"/>
      <c r="U5" s="72"/>
    </row>
    <row r="6" spans="1:21" ht="67.5" x14ac:dyDescent="0.25">
      <c r="A6" s="92" t="s">
        <v>67</v>
      </c>
      <c r="B6" s="30" t="s">
        <v>46</v>
      </c>
      <c r="C6" s="34" t="s">
        <v>78</v>
      </c>
      <c r="D6" s="27" t="s">
        <v>84</v>
      </c>
      <c r="E6" s="72"/>
      <c r="F6" s="72"/>
      <c r="G6" s="72"/>
      <c r="H6" s="72"/>
      <c r="I6" s="72"/>
      <c r="J6" s="72"/>
      <c r="K6" s="72"/>
      <c r="L6" s="72"/>
      <c r="M6" s="72"/>
      <c r="N6" s="72"/>
      <c r="O6" s="72"/>
      <c r="P6" s="72"/>
      <c r="Q6" s="72"/>
      <c r="R6" s="72"/>
      <c r="S6" s="72"/>
      <c r="T6" s="72"/>
      <c r="U6" s="72"/>
    </row>
    <row r="7" spans="1:21" ht="101.25" x14ac:dyDescent="0.25">
      <c r="A7" s="92" t="s">
        <v>6</v>
      </c>
      <c r="B7" s="31" t="s">
        <v>47</v>
      </c>
      <c r="C7" s="34" t="s">
        <v>79</v>
      </c>
      <c r="D7" s="27" t="s">
        <v>83</v>
      </c>
      <c r="E7" s="72"/>
      <c r="F7" s="72"/>
      <c r="G7" s="72"/>
      <c r="H7" s="72"/>
      <c r="I7" s="72"/>
      <c r="J7" s="72"/>
      <c r="K7" s="72"/>
      <c r="L7" s="72"/>
      <c r="M7" s="72"/>
      <c r="N7" s="72"/>
      <c r="O7" s="72"/>
      <c r="P7" s="72"/>
      <c r="Q7" s="72"/>
      <c r="R7" s="72"/>
      <c r="S7" s="72"/>
      <c r="T7" s="72"/>
      <c r="U7" s="72"/>
    </row>
    <row r="8" spans="1:21" ht="67.5" x14ac:dyDescent="0.25">
      <c r="A8" s="92" t="s">
        <v>71</v>
      </c>
      <c r="B8" s="32" t="s">
        <v>48</v>
      </c>
      <c r="C8" s="34" t="s">
        <v>80</v>
      </c>
      <c r="D8" s="27" t="s">
        <v>102</v>
      </c>
      <c r="E8" s="72"/>
      <c r="F8" s="72"/>
      <c r="G8" s="72"/>
      <c r="H8" s="72"/>
      <c r="I8" s="72"/>
      <c r="J8" s="72"/>
      <c r="K8" s="72"/>
      <c r="L8" s="72"/>
      <c r="M8" s="72"/>
      <c r="N8" s="72"/>
      <c r="O8" s="72"/>
      <c r="P8" s="72"/>
      <c r="Q8" s="72"/>
      <c r="R8" s="72"/>
      <c r="S8" s="72"/>
      <c r="T8" s="72"/>
      <c r="U8" s="72"/>
    </row>
    <row r="9" spans="1:21" ht="20.25" x14ac:dyDescent="0.25">
      <c r="A9" s="92"/>
      <c r="B9" s="92"/>
      <c r="C9" s="94"/>
      <c r="D9" s="94"/>
      <c r="E9" s="72"/>
      <c r="F9" s="72"/>
      <c r="G9" s="72"/>
      <c r="H9" s="72"/>
      <c r="I9" s="72"/>
      <c r="J9" s="72"/>
      <c r="K9" s="72"/>
      <c r="L9" s="72"/>
      <c r="M9" s="72"/>
      <c r="N9" s="72"/>
      <c r="O9" s="72"/>
      <c r="P9" s="72"/>
      <c r="Q9" s="72"/>
      <c r="R9" s="72"/>
      <c r="S9" s="72"/>
      <c r="T9" s="72"/>
      <c r="U9" s="72"/>
    </row>
    <row r="10" spans="1:21" ht="16.5" x14ac:dyDescent="0.25">
      <c r="A10" s="92"/>
      <c r="B10" s="95"/>
      <c r="C10" s="95"/>
      <c r="D10" s="95"/>
      <c r="E10" s="72"/>
      <c r="F10" s="72"/>
      <c r="G10" s="72"/>
      <c r="H10" s="72"/>
      <c r="I10" s="72"/>
      <c r="J10" s="72"/>
      <c r="K10" s="72"/>
      <c r="L10" s="72"/>
      <c r="M10" s="72"/>
      <c r="N10" s="72"/>
      <c r="O10" s="72"/>
      <c r="P10" s="72"/>
      <c r="Q10" s="72"/>
      <c r="R10" s="72"/>
      <c r="S10" s="72"/>
      <c r="T10" s="72"/>
      <c r="U10" s="72"/>
    </row>
    <row r="11" spans="1:21" x14ac:dyDescent="0.25">
      <c r="A11" s="92"/>
      <c r="B11" s="92" t="s">
        <v>75</v>
      </c>
      <c r="C11" s="92" t="s">
        <v>112</v>
      </c>
      <c r="D11" s="92" t="s">
        <v>119</v>
      </c>
      <c r="E11" s="72"/>
      <c r="F11" s="72"/>
      <c r="G11" s="72"/>
      <c r="H11" s="72"/>
      <c r="I11" s="72"/>
      <c r="J11" s="72"/>
      <c r="K11" s="72"/>
      <c r="L11" s="72"/>
      <c r="M11" s="72"/>
      <c r="N11" s="72"/>
      <c r="O11" s="72"/>
      <c r="P11" s="72"/>
      <c r="Q11" s="72"/>
      <c r="R11" s="72"/>
      <c r="S11" s="72"/>
      <c r="T11" s="72"/>
      <c r="U11" s="72"/>
    </row>
    <row r="12" spans="1:21" x14ac:dyDescent="0.25">
      <c r="A12" s="92"/>
      <c r="B12" s="92" t="s">
        <v>73</v>
      </c>
      <c r="C12" s="92" t="s">
        <v>116</v>
      </c>
      <c r="D12" s="92" t="s">
        <v>120</v>
      </c>
      <c r="E12" s="72"/>
      <c r="F12" s="72"/>
      <c r="G12" s="72"/>
      <c r="H12" s="72"/>
      <c r="I12" s="72"/>
      <c r="J12" s="72"/>
      <c r="K12" s="72"/>
      <c r="L12" s="72"/>
      <c r="M12" s="72"/>
      <c r="N12" s="72"/>
      <c r="O12" s="72"/>
      <c r="P12" s="72"/>
      <c r="Q12" s="72"/>
      <c r="R12" s="72"/>
      <c r="S12" s="72"/>
      <c r="T12" s="72"/>
      <c r="U12" s="72"/>
    </row>
    <row r="13" spans="1:21" x14ac:dyDescent="0.25">
      <c r="A13" s="92"/>
      <c r="B13" s="92"/>
      <c r="C13" s="92" t="s">
        <v>115</v>
      </c>
      <c r="D13" s="92" t="s">
        <v>121</v>
      </c>
      <c r="E13" s="72"/>
      <c r="F13" s="72"/>
      <c r="G13" s="72"/>
      <c r="H13" s="72"/>
      <c r="I13" s="72"/>
      <c r="J13" s="72"/>
      <c r="K13" s="72"/>
      <c r="L13" s="72"/>
      <c r="M13" s="72"/>
      <c r="N13" s="72"/>
      <c r="O13" s="72"/>
      <c r="P13" s="72"/>
      <c r="Q13" s="72"/>
      <c r="R13" s="72"/>
      <c r="S13" s="72"/>
      <c r="T13" s="72"/>
      <c r="U13" s="72"/>
    </row>
    <row r="14" spans="1:21" x14ac:dyDescent="0.25">
      <c r="A14" s="92"/>
      <c r="B14" s="92"/>
      <c r="C14" s="92" t="s">
        <v>117</v>
      </c>
      <c r="D14" s="92" t="s">
        <v>122</v>
      </c>
      <c r="E14" s="72"/>
      <c r="F14" s="72"/>
      <c r="G14" s="72"/>
      <c r="H14" s="72"/>
      <c r="I14" s="72"/>
      <c r="J14" s="72"/>
      <c r="K14" s="72"/>
      <c r="L14" s="72"/>
      <c r="M14" s="72"/>
      <c r="N14" s="72"/>
      <c r="O14" s="72"/>
      <c r="P14" s="72"/>
      <c r="Q14" s="72"/>
      <c r="R14" s="72"/>
      <c r="S14" s="72"/>
      <c r="T14" s="72"/>
      <c r="U14" s="72"/>
    </row>
    <row r="15" spans="1:21" x14ac:dyDescent="0.25">
      <c r="A15" s="92"/>
      <c r="B15" s="92"/>
      <c r="C15" s="92" t="s">
        <v>118</v>
      </c>
      <c r="D15" s="92" t="s">
        <v>123</v>
      </c>
      <c r="E15" s="72"/>
      <c r="F15" s="72"/>
      <c r="G15" s="72"/>
      <c r="H15" s="72"/>
      <c r="I15" s="72"/>
      <c r="J15" s="72"/>
      <c r="K15" s="72"/>
      <c r="L15" s="72"/>
      <c r="M15" s="72"/>
      <c r="N15" s="72"/>
      <c r="O15" s="72"/>
      <c r="P15" s="72"/>
      <c r="Q15" s="72"/>
      <c r="R15" s="72"/>
      <c r="S15" s="72"/>
      <c r="T15" s="72"/>
      <c r="U15" s="72"/>
    </row>
    <row r="16" spans="1:21" x14ac:dyDescent="0.25">
      <c r="A16" s="92"/>
      <c r="B16" s="92"/>
      <c r="C16" s="92"/>
      <c r="D16" s="92"/>
      <c r="E16" s="72"/>
      <c r="F16" s="72"/>
      <c r="G16" s="72"/>
      <c r="H16" s="72"/>
      <c r="I16" s="72"/>
      <c r="J16" s="72"/>
      <c r="K16" s="72"/>
      <c r="L16" s="72"/>
      <c r="M16" s="72"/>
      <c r="N16" s="72"/>
      <c r="O16" s="72"/>
    </row>
    <row r="17" spans="1:15" x14ac:dyDescent="0.25">
      <c r="A17" s="92"/>
      <c r="B17" s="92"/>
      <c r="C17" s="92"/>
      <c r="D17" s="92"/>
      <c r="E17" s="72"/>
      <c r="F17" s="72"/>
      <c r="G17" s="72"/>
      <c r="H17" s="72"/>
      <c r="I17" s="72"/>
      <c r="J17" s="72"/>
      <c r="K17" s="72"/>
      <c r="L17" s="72"/>
      <c r="M17" s="72"/>
      <c r="N17" s="72"/>
      <c r="O17" s="72"/>
    </row>
    <row r="18" spans="1:15" x14ac:dyDescent="0.25">
      <c r="A18" s="92"/>
      <c r="B18" s="96"/>
      <c r="C18" s="96"/>
      <c r="D18" s="96"/>
      <c r="E18" s="72"/>
      <c r="F18" s="72"/>
      <c r="G18" s="72"/>
      <c r="H18" s="72"/>
      <c r="I18" s="72"/>
      <c r="J18" s="72"/>
      <c r="K18" s="72"/>
      <c r="L18" s="72"/>
      <c r="M18" s="72"/>
      <c r="N18" s="72"/>
      <c r="O18" s="72"/>
    </row>
    <row r="19" spans="1:15" x14ac:dyDescent="0.25">
      <c r="A19" s="92"/>
      <c r="B19" s="96"/>
      <c r="C19" s="96"/>
      <c r="D19" s="96"/>
      <c r="E19" s="72"/>
      <c r="F19" s="72"/>
      <c r="G19" s="72"/>
      <c r="H19" s="72"/>
      <c r="I19" s="72"/>
      <c r="J19" s="72"/>
      <c r="K19" s="72"/>
      <c r="L19" s="72"/>
      <c r="M19" s="72"/>
      <c r="N19" s="72"/>
      <c r="O19" s="72"/>
    </row>
    <row r="20" spans="1:15" x14ac:dyDescent="0.25">
      <c r="A20" s="92"/>
      <c r="B20" s="96"/>
      <c r="C20" s="96"/>
      <c r="D20" s="96"/>
      <c r="E20" s="72"/>
      <c r="F20" s="72"/>
      <c r="G20" s="72"/>
      <c r="H20" s="72"/>
      <c r="I20" s="72"/>
      <c r="J20" s="72"/>
      <c r="K20" s="72"/>
      <c r="L20" s="72"/>
      <c r="M20" s="72"/>
      <c r="N20" s="72"/>
      <c r="O20" s="72"/>
    </row>
    <row r="21" spans="1:15" x14ac:dyDescent="0.25">
      <c r="A21" s="92"/>
      <c r="B21" s="96"/>
      <c r="C21" s="96"/>
      <c r="D21" s="96"/>
      <c r="E21" s="72"/>
      <c r="F21" s="72"/>
      <c r="G21" s="72"/>
      <c r="H21" s="72"/>
      <c r="I21" s="72"/>
      <c r="J21" s="72"/>
      <c r="K21" s="72"/>
      <c r="L21" s="72"/>
      <c r="M21" s="72"/>
      <c r="N21" s="72"/>
      <c r="O21" s="72"/>
    </row>
    <row r="22" spans="1:15" ht="20.25" x14ac:dyDescent="0.25">
      <c r="A22" s="92"/>
      <c r="B22" s="92"/>
      <c r="C22" s="94"/>
      <c r="D22" s="94"/>
      <c r="E22" s="72"/>
      <c r="F22" s="72"/>
      <c r="G22" s="72"/>
      <c r="H22" s="72"/>
      <c r="I22" s="72"/>
      <c r="J22" s="72"/>
      <c r="K22" s="72"/>
      <c r="L22" s="72"/>
      <c r="M22" s="72"/>
      <c r="N22" s="72"/>
      <c r="O22" s="72"/>
    </row>
    <row r="23" spans="1:15" ht="20.25" x14ac:dyDescent="0.25">
      <c r="A23" s="92"/>
      <c r="B23" s="92"/>
      <c r="C23" s="94"/>
      <c r="D23" s="94"/>
      <c r="E23" s="72"/>
      <c r="F23" s="72"/>
      <c r="G23" s="72"/>
      <c r="H23" s="72"/>
      <c r="I23" s="72"/>
      <c r="J23" s="72"/>
      <c r="K23" s="72"/>
      <c r="L23" s="72"/>
      <c r="M23" s="72"/>
      <c r="N23" s="72"/>
      <c r="O23" s="72"/>
    </row>
    <row r="24" spans="1:15" ht="20.25" x14ac:dyDescent="0.25">
      <c r="A24" s="92"/>
      <c r="B24" s="92"/>
      <c r="C24" s="94"/>
      <c r="D24" s="94"/>
      <c r="E24" s="72"/>
      <c r="F24" s="72"/>
      <c r="G24" s="72"/>
      <c r="H24" s="72"/>
      <c r="I24" s="72"/>
      <c r="J24" s="72"/>
      <c r="K24" s="72"/>
      <c r="L24" s="72"/>
      <c r="M24" s="72"/>
      <c r="N24" s="72"/>
      <c r="O24" s="72"/>
    </row>
    <row r="25" spans="1:15" ht="20.25" x14ac:dyDescent="0.25">
      <c r="A25" s="92"/>
      <c r="B25" s="92"/>
      <c r="C25" s="94"/>
      <c r="D25" s="94"/>
      <c r="E25" s="72"/>
      <c r="F25" s="72"/>
      <c r="G25" s="72"/>
      <c r="H25" s="72"/>
      <c r="I25" s="72"/>
      <c r="J25" s="72"/>
      <c r="K25" s="72"/>
      <c r="L25" s="72"/>
      <c r="M25" s="72"/>
      <c r="N25" s="72"/>
      <c r="O25" s="72"/>
    </row>
    <row r="26" spans="1:15" ht="20.25" x14ac:dyDescent="0.25">
      <c r="A26" s="92"/>
      <c r="B26" s="92"/>
      <c r="C26" s="94"/>
      <c r="D26" s="94"/>
      <c r="E26" s="72"/>
      <c r="F26" s="72"/>
      <c r="G26" s="72"/>
      <c r="H26" s="72"/>
      <c r="I26" s="72"/>
      <c r="J26" s="72"/>
      <c r="K26" s="72"/>
      <c r="L26" s="72"/>
      <c r="M26" s="72"/>
      <c r="N26" s="72"/>
      <c r="O26" s="72"/>
    </row>
    <row r="27" spans="1:15" ht="20.25" x14ac:dyDescent="0.25">
      <c r="A27" s="92"/>
      <c r="B27" s="92"/>
      <c r="C27" s="94"/>
      <c r="D27" s="94"/>
      <c r="E27" s="72"/>
      <c r="F27" s="72"/>
      <c r="G27" s="72"/>
      <c r="H27" s="72"/>
      <c r="I27" s="72"/>
      <c r="J27" s="72"/>
      <c r="K27" s="72"/>
      <c r="L27" s="72"/>
      <c r="M27" s="72"/>
      <c r="N27" s="72"/>
      <c r="O27" s="72"/>
    </row>
    <row r="28" spans="1:15" ht="20.25" x14ac:dyDescent="0.25">
      <c r="A28" s="92"/>
      <c r="B28" s="92"/>
      <c r="C28" s="94"/>
      <c r="D28" s="94"/>
      <c r="E28" s="72"/>
      <c r="F28" s="72"/>
      <c r="G28" s="72"/>
      <c r="H28" s="72"/>
      <c r="I28" s="72"/>
      <c r="J28" s="72"/>
      <c r="K28" s="72"/>
      <c r="L28" s="72"/>
      <c r="M28" s="72"/>
      <c r="N28" s="72"/>
      <c r="O28" s="72"/>
    </row>
    <row r="29" spans="1:15" ht="20.25" x14ac:dyDescent="0.25">
      <c r="A29" s="92"/>
      <c r="B29" s="92"/>
      <c r="C29" s="94"/>
      <c r="D29" s="94"/>
      <c r="E29" s="72"/>
      <c r="F29" s="72"/>
      <c r="G29" s="72"/>
      <c r="H29" s="72"/>
      <c r="I29" s="72"/>
      <c r="J29" s="72"/>
      <c r="K29" s="72"/>
      <c r="L29" s="72"/>
      <c r="M29" s="72"/>
      <c r="N29" s="72"/>
      <c r="O29" s="72"/>
    </row>
    <row r="30" spans="1:15" ht="20.25" x14ac:dyDescent="0.25">
      <c r="A30" s="92"/>
      <c r="B30" s="92"/>
      <c r="C30" s="94"/>
      <c r="D30" s="94"/>
      <c r="E30" s="72"/>
      <c r="F30" s="72"/>
      <c r="G30" s="72"/>
      <c r="H30" s="72"/>
      <c r="I30" s="72"/>
      <c r="J30" s="72"/>
      <c r="K30" s="72"/>
      <c r="L30" s="72"/>
      <c r="M30" s="72"/>
      <c r="N30" s="72"/>
      <c r="O30" s="72"/>
    </row>
    <row r="31" spans="1:15" ht="20.25" x14ac:dyDescent="0.25">
      <c r="A31" s="92"/>
      <c r="B31" s="92"/>
      <c r="C31" s="94"/>
      <c r="D31" s="94"/>
      <c r="E31" s="72"/>
      <c r="F31" s="72"/>
      <c r="G31" s="72"/>
      <c r="H31" s="72"/>
      <c r="I31" s="72"/>
      <c r="J31" s="72"/>
      <c r="K31" s="72"/>
      <c r="L31" s="72"/>
      <c r="M31" s="72"/>
      <c r="N31" s="72"/>
      <c r="O31" s="72"/>
    </row>
    <row r="32" spans="1:15" ht="20.25" x14ac:dyDescent="0.25">
      <c r="A32" s="92"/>
      <c r="B32" s="92"/>
      <c r="C32" s="94"/>
      <c r="D32" s="94"/>
      <c r="E32" s="72"/>
      <c r="F32" s="72"/>
      <c r="G32" s="72"/>
      <c r="H32" s="72"/>
      <c r="I32" s="72"/>
      <c r="J32" s="72"/>
      <c r="K32" s="72"/>
      <c r="L32" s="72"/>
      <c r="M32" s="72"/>
      <c r="N32" s="72"/>
      <c r="O32" s="72"/>
    </row>
    <row r="33" spans="1:15" ht="20.25" x14ac:dyDescent="0.25">
      <c r="A33" s="92"/>
      <c r="B33" s="92"/>
      <c r="C33" s="94"/>
      <c r="D33" s="94"/>
      <c r="E33" s="72"/>
      <c r="F33" s="72"/>
      <c r="G33" s="72"/>
      <c r="H33" s="72"/>
      <c r="I33" s="72"/>
      <c r="J33" s="72"/>
      <c r="K33" s="72"/>
      <c r="L33" s="72"/>
      <c r="M33" s="72"/>
      <c r="N33" s="72"/>
      <c r="O33" s="72"/>
    </row>
    <row r="34" spans="1:15" ht="20.25" x14ac:dyDescent="0.25">
      <c r="A34" s="92"/>
      <c r="B34" s="92"/>
      <c r="C34" s="94"/>
      <c r="D34" s="94"/>
      <c r="E34" s="72"/>
      <c r="F34" s="72"/>
      <c r="G34" s="72"/>
      <c r="H34" s="72"/>
      <c r="I34" s="72"/>
      <c r="J34" s="72"/>
      <c r="K34" s="72"/>
      <c r="L34" s="72"/>
      <c r="M34" s="72"/>
      <c r="N34" s="72"/>
      <c r="O34" s="72"/>
    </row>
    <row r="35" spans="1:15" ht="20.25" x14ac:dyDescent="0.25">
      <c r="A35" s="92"/>
      <c r="B35" s="92"/>
      <c r="C35" s="94"/>
      <c r="D35" s="94"/>
      <c r="E35" s="72"/>
      <c r="F35" s="72"/>
      <c r="G35" s="72"/>
      <c r="H35" s="72"/>
      <c r="I35" s="72"/>
      <c r="J35" s="72"/>
      <c r="K35" s="72"/>
      <c r="L35" s="72"/>
      <c r="M35" s="72"/>
      <c r="N35" s="72"/>
      <c r="O35" s="72"/>
    </row>
    <row r="36" spans="1:15" ht="20.25" x14ac:dyDescent="0.25">
      <c r="A36" s="92"/>
      <c r="B36" s="92"/>
      <c r="C36" s="94"/>
      <c r="D36" s="94"/>
      <c r="E36" s="72"/>
      <c r="F36" s="72"/>
      <c r="G36" s="72"/>
      <c r="H36" s="72"/>
      <c r="I36" s="72"/>
      <c r="J36" s="72"/>
      <c r="K36" s="72"/>
      <c r="L36" s="72"/>
      <c r="M36" s="72"/>
      <c r="N36" s="72"/>
      <c r="O36" s="72"/>
    </row>
    <row r="37" spans="1:15" ht="20.25" x14ac:dyDescent="0.25">
      <c r="A37" s="92"/>
      <c r="B37" s="92"/>
      <c r="C37" s="94"/>
      <c r="D37" s="94"/>
      <c r="E37" s="72"/>
      <c r="F37" s="72"/>
      <c r="G37" s="72"/>
      <c r="H37" s="72"/>
      <c r="I37" s="72"/>
      <c r="J37" s="72"/>
      <c r="K37" s="72"/>
      <c r="L37" s="72"/>
      <c r="M37" s="72"/>
      <c r="N37" s="72"/>
      <c r="O37" s="72"/>
    </row>
    <row r="38" spans="1:15" ht="20.25" x14ac:dyDescent="0.25">
      <c r="A38" s="92"/>
      <c r="B38" s="92"/>
      <c r="C38" s="94"/>
      <c r="D38" s="94"/>
      <c r="E38" s="72"/>
      <c r="F38" s="72"/>
      <c r="G38" s="72"/>
      <c r="H38" s="72"/>
      <c r="I38" s="72"/>
      <c r="J38" s="72"/>
      <c r="K38" s="72"/>
      <c r="L38" s="72"/>
      <c r="M38" s="72"/>
      <c r="N38" s="72"/>
      <c r="O38" s="72"/>
    </row>
    <row r="39" spans="1:15" ht="20.25" x14ac:dyDescent="0.25">
      <c r="A39" s="92"/>
      <c r="B39" s="92"/>
      <c r="C39" s="94"/>
      <c r="D39" s="94"/>
      <c r="E39" s="72"/>
      <c r="F39" s="72"/>
      <c r="G39" s="72"/>
      <c r="H39" s="72"/>
      <c r="I39" s="72"/>
      <c r="J39" s="72"/>
      <c r="K39" s="72"/>
      <c r="L39" s="72"/>
      <c r="M39" s="72"/>
      <c r="N39" s="72"/>
      <c r="O39" s="72"/>
    </row>
    <row r="40" spans="1:15" ht="20.25" x14ac:dyDescent="0.25">
      <c r="A40" s="92"/>
      <c r="B40" s="92"/>
      <c r="C40" s="94"/>
      <c r="D40" s="94"/>
      <c r="E40" s="72"/>
      <c r="F40" s="72"/>
      <c r="G40" s="72"/>
      <c r="H40" s="72"/>
      <c r="I40" s="72"/>
      <c r="J40" s="72"/>
      <c r="K40" s="72"/>
      <c r="L40" s="72"/>
      <c r="M40" s="72"/>
      <c r="N40" s="72"/>
      <c r="O40" s="72"/>
    </row>
    <row r="41" spans="1:15" ht="20.25" x14ac:dyDescent="0.25">
      <c r="A41" s="92"/>
      <c r="B41" s="92"/>
      <c r="C41" s="94"/>
      <c r="D41" s="94"/>
      <c r="E41" s="72"/>
      <c r="F41" s="72"/>
      <c r="G41" s="72"/>
      <c r="H41" s="72"/>
      <c r="I41" s="72"/>
      <c r="J41" s="72"/>
      <c r="K41" s="72"/>
      <c r="L41" s="72"/>
      <c r="M41" s="72"/>
      <c r="N41" s="72"/>
      <c r="O41" s="72"/>
    </row>
    <row r="42" spans="1:15" ht="20.25" x14ac:dyDescent="0.25">
      <c r="A42" s="92"/>
      <c r="B42" s="92"/>
      <c r="C42" s="94"/>
      <c r="D42" s="94"/>
      <c r="E42" s="72"/>
      <c r="F42" s="72"/>
      <c r="G42" s="72"/>
      <c r="H42" s="72"/>
      <c r="I42" s="72"/>
      <c r="J42" s="72"/>
      <c r="K42" s="72"/>
      <c r="L42" s="72"/>
      <c r="M42" s="72"/>
      <c r="N42" s="72"/>
      <c r="O42" s="72"/>
    </row>
    <row r="43" spans="1:15" ht="20.25" x14ac:dyDescent="0.25">
      <c r="A43" s="92"/>
      <c r="B43" s="92"/>
      <c r="C43" s="94"/>
      <c r="D43" s="94"/>
      <c r="E43" s="72"/>
      <c r="F43" s="72"/>
      <c r="G43" s="72"/>
      <c r="H43" s="72"/>
      <c r="I43" s="72"/>
      <c r="J43" s="72"/>
      <c r="K43" s="72"/>
      <c r="L43" s="72"/>
      <c r="M43" s="72"/>
      <c r="N43" s="72"/>
      <c r="O43" s="72"/>
    </row>
    <row r="44" spans="1:15" ht="20.25" x14ac:dyDescent="0.25">
      <c r="A44" s="92"/>
      <c r="B44" s="92"/>
      <c r="C44" s="94"/>
      <c r="D44" s="94"/>
      <c r="E44" s="72"/>
      <c r="F44" s="72"/>
      <c r="G44" s="72"/>
      <c r="H44" s="72"/>
      <c r="I44" s="72"/>
      <c r="J44" s="72"/>
      <c r="K44" s="72"/>
      <c r="L44" s="72"/>
      <c r="M44" s="72"/>
      <c r="N44" s="72"/>
      <c r="O44" s="72"/>
    </row>
    <row r="45" spans="1:15" ht="20.25" x14ac:dyDescent="0.25">
      <c r="A45" s="92"/>
      <c r="B45" s="92"/>
      <c r="C45" s="94"/>
      <c r="D45" s="94"/>
      <c r="E45" s="72"/>
      <c r="F45" s="72"/>
      <c r="G45" s="72"/>
      <c r="H45" s="72"/>
      <c r="I45" s="72"/>
      <c r="J45" s="72"/>
      <c r="K45" s="72"/>
      <c r="L45" s="72"/>
      <c r="M45" s="72"/>
      <c r="N45" s="72"/>
      <c r="O45" s="72"/>
    </row>
    <row r="46" spans="1:15" ht="20.25" x14ac:dyDescent="0.25">
      <c r="A46" s="92"/>
      <c r="B46" s="92"/>
      <c r="C46" s="94"/>
      <c r="D46" s="94"/>
      <c r="E46" s="72"/>
      <c r="F46" s="72"/>
      <c r="G46" s="72"/>
      <c r="H46" s="72"/>
      <c r="I46" s="72"/>
      <c r="J46" s="72"/>
      <c r="K46" s="72"/>
      <c r="L46" s="72"/>
      <c r="M46" s="72"/>
      <c r="N46" s="72"/>
      <c r="O46" s="72"/>
    </row>
    <row r="47" spans="1:15" ht="20.25" x14ac:dyDescent="0.25">
      <c r="A47" s="92"/>
      <c r="B47" s="92"/>
      <c r="C47" s="94"/>
      <c r="D47" s="94"/>
      <c r="E47" s="72"/>
      <c r="F47" s="72"/>
      <c r="G47" s="72"/>
      <c r="H47" s="72"/>
      <c r="I47" s="72"/>
      <c r="J47" s="72"/>
      <c r="K47" s="72"/>
      <c r="L47" s="72"/>
      <c r="M47" s="72"/>
      <c r="N47" s="72"/>
      <c r="O47" s="72"/>
    </row>
    <row r="48" spans="1:15" ht="20.25" x14ac:dyDescent="0.25">
      <c r="A48" s="92"/>
      <c r="B48" s="92"/>
      <c r="C48" s="94"/>
      <c r="D48" s="94"/>
      <c r="E48" s="72"/>
      <c r="F48" s="72"/>
      <c r="G48" s="72"/>
      <c r="H48" s="72"/>
      <c r="I48" s="72"/>
      <c r="J48" s="72"/>
      <c r="K48" s="72"/>
      <c r="L48" s="72"/>
      <c r="M48" s="72"/>
      <c r="N48" s="72"/>
      <c r="O48" s="72"/>
    </row>
    <row r="49" spans="1:15" ht="20.25" x14ac:dyDescent="0.25">
      <c r="A49" s="92"/>
      <c r="B49" s="92"/>
      <c r="C49" s="94"/>
      <c r="D49" s="94"/>
      <c r="E49" s="72"/>
      <c r="F49" s="72"/>
      <c r="G49" s="72"/>
      <c r="H49" s="72"/>
      <c r="I49" s="72"/>
      <c r="J49" s="72"/>
      <c r="K49" s="72"/>
      <c r="L49" s="72"/>
      <c r="M49" s="72"/>
      <c r="N49" s="72"/>
      <c r="O49" s="72"/>
    </row>
    <row r="50" spans="1:15" ht="20.25" x14ac:dyDescent="0.25">
      <c r="A50" s="92"/>
      <c r="B50" s="92"/>
      <c r="C50" s="94"/>
      <c r="D50" s="94"/>
      <c r="E50" s="72"/>
      <c r="F50" s="72"/>
      <c r="G50" s="72"/>
      <c r="H50" s="72"/>
      <c r="I50" s="72"/>
      <c r="J50" s="72"/>
      <c r="K50" s="72"/>
      <c r="L50" s="72"/>
      <c r="M50" s="72"/>
      <c r="N50" s="72"/>
      <c r="O50" s="72"/>
    </row>
    <row r="51" spans="1:15" ht="20.25" x14ac:dyDescent="0.25">
      <c r="A51" s="92"/>
      <c r="B51" s="92"/>
      <c r="C51" s="94"/>
      <c r="D51" s="94"/>
      <c r="E51" s="72"/>
      <c r="F51" s="72"/>
      <c r="G51" s="72"/>
      <c r="H51" s="72"/>
      <c r="I51" s="72"/>
      <c r="J51" s="72"/>
      <c r="K51" s="72"/>
      <c r="L51" s="72"/>
      <c r="M51" s="72"/>
      <c r="N51" s="72"/>
      <c r="O51" s="72"/>
    </row>
    <row r="52" spans="1:15" ht="20.25" x14ac:dyDescent="0.25">
      <c r="A52" s="92"/>
      <c r="B52" s="17"/>
      <c r="C52" s="23"/>
      <c r="D52" s="23"/>
    </row>
    <row r="53" spans="1:15" ht="20.25" x14ac:dyDescent="0.25">
      <c r="A53" s="92"/>
      <c r="B53" s="17"/>
      <c r="C53" s="23"/>
      <c r="D53" s="23"/>
    </row>
    <row r="54" spans="1:15" ht="20.25" x14ac:dyDescent="0.25">
      <c r="A54" s="92"/>
      <c r="B54" s="17"/>
      <c r="C54" s="23"/>
      <c r="D54" s="23"/>
    </row>
    <row r="55" spans="1:15" ht="20.25" x14ac:dyDescent="0.25">
      <c r="A55" s="92"/>
      <c r="B55" s="17"/>
      <c r="C55" s="23"/>
      <c r="D55" s="23"/>
    </row>
    <row r="56" spans="1:15" ht="20.25" x14ac:dyDescent="0.25">
      <c r="A56" s="92"/>
      <c r="B56" s="17"/>
      <c r="C56" s="23"/>
      <c r="D56" s="23"/>
    </row>
    <row r="57" spans="1:15" ht="20.25" x14ac:dyDescent="0.25">
      <c r="A57" s="92"/>
      <c r="B57" s="17"/>
      <c r="C57" s="23"/>
      <c r="D57" s="23"/>
    </row>
    <row r="58" spans="1:15" ht="20.25" x14ac:dyDescent="0.25">
      <c r="A58" s="92"/>
      <c r="B58" s="17"/>
      <c r="C58" s="23"/>
      <c r="D58" s="23"/>
    </row>
    <row r="59" spans="1:15" ht="20.25" x14ac:dyDescent="0.25">
      <c r="A59" s="92"/>
      <c r="B59" s="17"/>
      <c r="C59" s="23"/>
      <c r="D59" s="23"/>
    </row>
    <row r="60" spans="1:15" ht="20.25" x14ac:dyDescent="0.25">
      <c r="A60" s="92"/>
      <c r="B60" s="17"/>
      <c r="C60" s="23"/>
      <c r="D60" s="23"/>
    </row>
    <row r="61" spans="1:15" ht="20.25" x14ac:dyDescent="0.25">
      <c r="A61" s="92"/>
      <c r="B61" s="17"/>
      <c r="C61" s="23"/>
      <c r="D61" s="23"/>
    </row>
    <row r="62" spans="1:15" ht="20.25" x14ac:dyDescent="0.25">
      <c r="A62" s="92"/>
      <c r="B62" s="17"/>
      <c r="C62" s="23"/>
      <c r="D62" s="23"/>
    </row>
    <row r="63" spans="1:15" ht="20.25" x14ac:dyDescent="0.25">
      <c r="A63" s="92"/>
      <c r="B63" s="17"/>
      <c r="C63" s="23"/>
      <c r="D63" s="23"/>
    </row>
    <row r="64" spans="1:15" ht="20.25" x14ac:dyDescent="0.25">
      <c r="A64" s="92"/>
      <c r="B64" s="17"/>
      <c r="C64" s="23"/>
      <c r="D64" s="23"/>
    </row>
    <row r="65" spans="1:4" ht="20.25" x14ac:dyDescent="0.25">
      <c r="A65" s="92"/>
      <c r="B65" s="17"/>
      <c r="C65" s="23"/>
      <c r="D65" s="23"/>
    </row>
    <row r="66" spans="1:4" ht="20.25" x14ac:dyDescent="0.25">
      <c r="A66" s="92"/>
      <c r="B66" s="17"/>
      <c r="C66" s="23"/>
      <c r="D66" s="23"/>
    </row>
    <row r="67" spans="1:4" ht="20.25" x14ac:dyDescent="0.25">
      <c r="A67" s="92"/>
      <c r="B67" s="17"/>
      <c r="C67" s="23"/>
      <c r="D67" s="23"/>
    </row>
    <row r="68" spans="1:4" ht="20.25" x14ac:dyDescent="0.25">
      <c r="A68" s="92"/>
      <c r="B68" s="17"/>
      <c r="C68" s="23"/>
      <c r="D68" s="23"/>
    </row>
    <row r="69" spans="1:4" ht="20.25" x14ac:dyDescent="0.25">
      <c r="A69" s="92"/>
      <c r="B69" s="17"/>
      <c r="C69" s="23"/>
      <c r="D69" s="23"/>
    </row>
    <row r="70" spans="1:4" ht="20.25" x14ac:dyDescent="0.25">
      <c r="A70" s="92"/>
      <c r="B70" s="17"/>
      <c r="C70" s="23"/>
      <c r="D70" s="23"/>
    </row>
    <row r="71" spans="1:4" ht="20.25" x14ac:dyDescent="0.25">
      <c r="A71" s="92"/>
      <c r="B71" s="17"/>
      <c r="C71" s="23"/>
      <c r="D71" s="23"/>
    </row>
    <row r="72" spans="1:4" ht="20.25" x14ac:dyDescent="0.25">
      <c r="A72" s="92"/>
      <c r="B72" s="17"/>
      <c r="C72" s="23"/>
      <c r="D72" s="23"/>
    </row>
    <row r="73" spans="1:4" ht="20.25" x14ac:dyDescent="0.25">
      <c r="A73" s="92"/>
      <c r="B73" s="17"/>
      <c r="C73" s="23"/>
      <c r="D73" s="23"/>
    </row>
    <row r="74" spans="1:4" ht="20.25" x14ac:dyDescent="0.25">
      <c r="A74" s="92"/>
      <c r="B74" s="17"/>
      <c r="C74" s="23"/>
      <c r="D74" s="23"/>
    </row>
    <row r="75" spans="1:4" ht="20.25" x14ac:dyDescent="0.25">
      <c r="A75" s="92"/>
      <c r="B75" s="17"/>
      <c r="C75" s="23"/>
      <c r="D75" s="23"/>
    </row>
    <row r="76" spans="1:4" ht="20.25" x14ac:dyDescent="0.25">
      <c r="A76" s="92"/>
      <c r="B76" s="17"/>
      <c r="C76" s="23"/>
      <c r="D76" s="23"/>
    </row>
    <row r="77" spans="1:4" ht="20.25" x14ac:dyDescent="0.25">
      <c r="A77" s="92"/>
      <c r="B77" s="17"/>
      <c r="C77" s="23"/>
      <c r="D77" s="23"/>
    </row>
    <row r="78" spans="1:4" ht="20.25" x14ac:dyDescent="0.25">
      <c r="A78" s="92"/>
      <c r="B78" s="17"/>
      <c r="C78" s="23"/>
      <c r="D78" s="23"/>
    </row>
    <row r="79" spans="1:4" ht="20.25" x14ac:dyDescent="0.25">
      <c r="A79" s="92"/>
      <c r="B79" s="17"/>
      <c r="C79" s="23"/>
      <c r="D79" s="23"/>
    </row>
    <row r="80" spans="1:4" ht="20.25" x14ac:dyDescent="0.25">
      <c r="A80" s="92"/>
      <c r="B80" s="17"/>
      <c r="C80" s="23"/>
      <c r="D80" s="23"/>
    </row>
    <row r="81" spans="1:4" ht="20.25" x14ac:dyDescent="0.25">
      <c r="A81" s="92"/>
      <c r="B81" s="17"/>
      <c r="C81" s="23"/>
      <c r="D81" s="23"/>
    </row>
    <row r="82" spans="1:4" ht="20.25" x14ac:dyDescent="0.25">
      <c r="A82" s="92"/>
      <c r="B82" s="17"/>
      <c r="C82" s="23"/>
      <c r="D82" s="23"/>
    </row>
    <row r="83" spans="1:4" ht="20.25" x14ac:dyDescent="0.25">
      <c r="A83" s="92"/>
      <c r="B83" s="17"/>
      <c r="C83" s="23"/>
      <c r="D83" s="23"/>
    </row>
    <row r="84" spans="1:4" ht="20.25" x14ac:dyDescent="0.25">
      <c r="A84" s="92"/>
      <c r="B84" s="17"/>
      <c r="C84" s="23"/>
      <c r="D84" s="23"/>
    </row>
    <row r="85" spans="1:4" ht="20.25" x14ac:dyDescent="0.25">
      <c r="A85" s="92"/>
      <c r="B85" s="17"/>
      <c r="C85" s="23"/>
      <c r="D85" s="23"/>
    </row>
    <row r="86" spans="1:4" ht="20.25" x14ac:dyDescent="0.25">
      <c r="A86" s="92"/>
      <c r="B86" s="17"/>
      <c r="C86" s="23"/>
      <c r="D86" s="23"/>
    </row>
    <row r="87" spans="1:4" ht="20.25" x14ac:dyDescent="0.25">
      <c r="A87" s="92"/>
      <c r="B87" s="17"/>
      <c r="C87" s="23"/>
      <c r="D87" s="23"/>
    </row>
    <row r="88" spans="1:4" ht="20.25" x14ac:dyDescent="0.25">
      <c r="A88" s="92"/>
      <c r="B88" s="17"/>
      <c r="C88" s="23"/>
      <c r="D88" s="23"/>
    </row>
    <row r="89" spans="1:4" ht="20.25" x14ac:dyDescent="0.25">
      <c r="A89" s="92"/>
      <c r="B89" s="17"/>
      <c r="C89" s="23"/>
      <c r="D89" s="23"/>
    </row>
    <row r="90" spans="1:4" ht="20.25" x14ac:dyDescent="0.25">
      <c r="A90" s="92"/>
      <c r="B90" s="17"/>
      <c r="C90" s="23"/>
      <c r="D90" s="23"/>
    </row>
    <row r="91" spans="1:4" ht="20.25" x14ac:dyDescent="0.25">
      <c r="A91" s="92"/>
      <c r="B91" s="17"/>
      <c r="C91" s="23"/>
      <c r="D91" s="23"/>
    </row>
    <row r="92" spans="1:4" ht="20.25" x14ac:dyDescent="0.25">
      <c r="A92" s="92"/>
      <c r="B92" s="17"/>
      <c r="C92" s="23"/>
      <c r="D92" s="23"/>
    </row>
    <row r="93" spans="1:4" ht="20.25" x14ac:dyDescent="0.25">
      <c r="A93" s="92"/>
      <c r="B93" s="17"/>
      <c r="C93" s="23"/>
      <c r="D93" s="23"/>
    </row>
    <row r="94" spans="1:4" ht="20.25" x14ac:dyDescent="0.25">
      <c r="A94" s="92"/>
      <c r="B94" s="17"/>
      <c r="C94" s="23"/>
      <c r="D94" s="23"/>
    </row>
    <row r="95" spans="1:4" ht="20.25" x14ac:dyDescent="0.25">
      <c r="A95" s="92"/>
      <c r="B95" s="17"/>
      <c r="C95" s="23"/>
      <c r="D95" s="23"/>
    </row>
    <row r="96" spans="1:4" ht="20.25" x14ac:dyDescent="0.25">
      <c r="A96" s="92"/>
      <c r="B96" s="17"/>
      <c r="C96" s="23"/>
      <c r="D96" s="23"/>
    </row>
    <row r="97" spans="1:4" ht="20.25" x14ac:dyDescent="0.25">
      <c r="A97" s="92"/>
      <c r="B97" s="17"/>
      <c r="C97" s="23"/>
      <c r="D97" s="23"/>
    </row>
    <row r="98" spans="1:4" ht="20.25" x14ac:dyDescent="0.25">
      <c r="A98" s="92"/>
      <c r="B98" s="17"/>
      <c r="C98" s="23"/>
      <c r="D98" s="23"/>
    </row>
    <row r="99" spans="1:4" ht="20.25" x14ac:dyDescent="0.25">
      <c r="A99" s="92"/>
      <c r="B99" s="17"/>
      <c r="C99" s="23"/>
      <c r="D99" s="23"/>
    </row>
    <row r="100" spans="1:4" ht="20.25" x14ac:dyDescent="0.25">
      <c r="A100" s="92"/>
      <c r="B100" s="17"/>
      <c r="C100" s="23"/>
      <c r="D100" s="23"/>
    </row>
    <row r="101" spans="1:4" ht="20.25" x14ac:dyDescent="0.25">
      <c r="A101" s="92"/>
      <c r="B101" s="17"/>
      <c r="C101" s="23"/>
      <c r="D101" s="23"/>
    </row>
    <row r="102" spans="1:4" ht="20.25" x14ac:dyDescent="0.25">
      <c r="A102" s="92"/>
      <c r="B102" s="17"/>
      <c r="C102" s="23"/>
      <c r="D102" s="23"/>
    </row>
    <row r="103" spans="1:4" ht="20.25" x14ac:dyDescent="0.25">
      <c r="A103" s="92"/>
      <c r="B103" s="17"/>
      <c r="C103" s="23"/>
      <c r="D103" s="23"/>
    </row>
    <row r="104" spans="1:4" ht="20.25" x14ac:dyDescent="0.25">
      <c r="A104" s="92"/>
      <c r="B104" s="17"/>
      <c r="C104" s="23"/>
      <c r="D104" s="23"/>
    </row>
    <row r="105" spans="1:4" ht="20.25" x14ac:dyDescent="0.25">
      <c r="A105" s="92"/>
      <c r="B105" s="17"/>
      <c r="C105" s="23"/>
      <c r="D105" s="23"/>
    </row>
    <row r="106" spans="1:4" ht="20.25" x14ac:dyDescent="0.25">
      <c r="A106" s="92"/>
      <c r="B106" s="17"/>
      <c r="C106" s="23"/>
      <c r="D106" s="23"/>
    </row>
    <row r="107" spans="1:4" ht="20.25" x14ac:dyDescent="0.25">
      <c r="A107" s="92"/>
      <c r="B107" s="17"/>
      <c r="C107" s="23"/>
      <c r="D107" s="23"/>
    </row>
    <row r="108" spans="1:4" ht="20.25" x14ac:dyDescent="0.25">
      <c r="A108" s="92"/>
      <c r="B108" s="17"/>
      <c r="C108" s="23"/>
      <c r="D108" s="23"/>
    </row>
    <row r="109" spans="1:4" ht="20.25" x14ac:dyDescent="0.25">
      <c r="A109" s="92"/>
      <c r="B109" s="17"/>
      <c r="C109" s="23"/>
      <c r="D109" s="23"/>
    </row>
    <row r="110" spans="1:4" ht="20.25" x14ac:dyDescent="0.25">
      <c r="A110" s="92"/>
      <c r="B110" s="17"/>
      <c r="C110" s="23"/>
      <c r="D110" s="23"/>
    </row>
    <row r="111" spans="1:4" ht="20.25" x14ac:dyDescent="0.25">
      <c r="A111" s="92"/>
      <c r="B111" s="17"/>
      <c r="C111" s="23"/>
      <c r="D111" s="23"/>
    </row>
    <row r="112" spans="1:4" ht="20.25" x14ac:dyDescent="0.25">
      <c r="A112" s="92"/>
      <c r="B112" s="17"/>
      <c r="C112" s="23"/>
      <c r="D112" s="23"/>
    </row>
    <row r="113" spans="1:4" ht="20.25" x14ac:dyDescent="0.25">
      <c r="A113" s="92"/>
      <c r="B113" s="17"/>
      <c r="C113" s="23"/>
      <c r="D113" s="23"/>
    </row>
    <row r="114" spans="1:4" ht="20.25" x14ac:dyDescent="0.25">
      <c r="A114" s="92"/>
      <c r="B114" s="17"/>
      <c r="C114" s="23"/>
      <c r="D114" s="23"/>
    </row>
    <row r="115" spans="1:4" ht="20.25" x14ac:dyDescent="0.25">
      <c r="A115" s="92"/>
      <c r="B115" s="17"/>
      <c r="C115" s="23"/>
      <c r="D115" s="23"/>
    </row>
    <row r="116" spans="1:4" ht="20.25" x14ac:dyDescent="0.25">
      <c r="A116" s="92"/>
      <c r="B116" s="17"/>
      <c r="C116" s="23"/>
      <c r="D116" s="23"/>
    </row>
    <row r="117" spans="1:4" ht="20.25" x14ac:dyDescent="0.25">
      <c r="A117" s="92"/>
      <c r="B117" s="17"/>
      <c r="C117" s="23"/>
      <c r="D117" s="23"/>
    </row>
    <row r="118" spans="1:4" ht="20.25" x14ac:dyDescent="0.25">
      <c r="A118" s="92"/>
      <c r="B118" s="17"/>
      <c r="C118" s="23"/>
      <c r="D118" s="23"/>
    </row>
    <row r="119" spans="1:4" ht="20.25" x14ac:dyDescent="0.25">
      <c r="A119" s="92"/>
      <c r="B119" s="17"/>
      <c r="C119" s="23"/>
      <c r="D119" s="23"/>
    </row>
    <row r="120" spans="1:4" ht="20.25" x14ac:dyDescent="0.25">
      <c r="A120" s="92"/>
      <c r="B120" s="17"/>
      <c r="C120" s="23"/>
      <c r="D120" s="23"/>
    </row>
    <row r="121" spans="1:4" ht="20.25" x14ac:dyDescent="0.25">
      <c r="A121" s="92"/>
      <c r="B121" s="17"/>
      <c r="C121" s="23"/>
      <c r="D121" s="23"/>
    </row>
    <row r="122" spans="1:4" ht="20.25" x14ac:dyDescent="0.25">
      <c r="A122" s="92"/>
      <c r="B122" s="17"/>
      <c r="C122" s="23"/>
      <c r="D122" s="23"/>
    </row>
    <row r="123" spans="1:4" ht="20.25" x14ac:dyDescent="0.25">
      <c r="A123" s="92"/>
      <c r="B123" s="17"/>
      <c r="C123" s="23"/>
      <c r="D123" s="23"/>
    </row>
    <row r="124" spans="1:4" ht="20.25" x14ac:dyDescent="0.25">
      <c r="A124" s="92"/>
      <c r="B124" s="17"/>
      <c r="C124" s="23"/>
      <c r="D124" s="23"/>
    </row>
    <row r="125" spans="1:4" ht="20.25" x14ac:dyDescent="0.25">
      <c r="A125" s="92"/>
      <c r="B125" s="17"/>
      <c r="C125" s="23"/>
      <c r="D125" s="23"/>
    </row>
    <row r="126" spans="1:4" ht="20.25" x14ac:dyDescent="0.25">
      <c r="A126" s="92"/>
      <c r="B126" s="17"/>
      <c r="C126" s="23"/>
      <c r="D126" s="23"/>
    </row>
    <row r="127" spans="1:4" ht="20.25" x14ac:dyDescent="0.25">
      <c r="A127" s="92"/>
      <c r="B127" s="17"/>
      <c r="C127" s="23"/>
      <c r="D127" s="23"/>
    </row>
    <row r="128" spans="1:4" ht="20.25" x14ac:dyDescent="0.25">
      <c r="A128" s="92"/>
      <c r="B128" s="17"/>
      <c r="C128" s="23"/>
      <c r="D128" s="23"/>
    </row>
    <row r="129" spans="1:4" ht="20.25" x14ac:dyDescent="0.25">
      <c r="A129" s="92"/>
      <c r="B129" s="17"/>
      <c r="C129" s="23"/>
      <c r="D129" s="23"/>
    </row>
    <row r="130" spans="1:4" ht="20.25" x14ac:dyDescent="0.25">
      <c r="A130" s="92"/>
      <c r="B130" s="17"/>
      <c r="C130" s="23"/>
      <c r="D130" s="23"/>
    </row>
    <row r="131" spans="1:4" ht="20.25" x14ac:dyDescent="0.25">
      <c r="A131" s="92"/>
      <c r="B131" s="17"/>
      <c r="C131" s="23"/>
      <c r="D131" s="23"/>
    </row>
    <row r="132" spans="1:4" ht="20.25" x14ac:dyDescent="0.25">
      <c r="A132" s="92"/>
      <c r="B132" s="17"/>
      <c r="C132" s="23"/>
      <c r="D132" s="23"/>
    </row>
    <row r="133" spans="1:4" ht="20.25" x14ac:dyDescent="0.25">
      <c r="A133" s="92"/>
      <c r="B133" s="17"/>
      <c r="C133" s="23"/>
      <c r="D133" s="23"/>
    </row>
    <row r="134" spans="1:4" ht="20.25" x14ac:dyDescent="0.25">
      <c r="A134" s="92"/>
      <c r="B134" s="17"/>
      <c r="C134" s="23"/>
      <c r="D134" s="23"/>
    </row>
    <row r="135" spans="1:4" ht="20.25" x14ac:dyDescent="0.25">
      <c r="A135" s="92"/>
      <c r="B135" s="17"/>
      <c r="C135" s="23"/>
      <c r="D135" s="23"/>
    </row>
    <row r="136" spans="1:4" ht="20.25" x14ac:dyDescent="0.25">
      <c r="A136" s="92"/>
      <c r="B136" s="17"/>
      <c r="C136" s="23"/>
      <c r="D136" s="23"/>
    </row>
    <row r="137" spans="1:4" ht="20.25" x14ac:dyDescent="0.25">
      <c r="A137" s="92"/>
      <c r="B137" s="17"/>
      <c r="C137" s="23"/>
      <c r="D137" s="23"/>
    </row>
    <row r="138" spans="1:4" ht="20.25" x14ac:dyDescent="0.25">
      <c r="A138" s="92"/>
      <c r="B138" s="17"/>
      <c r="C138" s="23"/>
      <c r="D138" s="23"/>
    </row>
    <row r="139" spans="1:4" ht="20.25" x14ac:dyDescent="0.25">
      <c r="A139" s="92"/>
      <c r="B139" s="17"/>
      <c r="C139" s="23"/>
      <c r="D139" s="23"/>
    </row>
    <row r="140" spans="1:4" ht="20.25" x14ac:dyDescent="0.25">
      <c r="A140" s="92"/>
      <c r="B140" s="17"/>
      <c r="C140" s="23"/>
      <c r="D140" s="23"/>
    </row>
    <row r="141" spans="1:4" ht="20.25" x14ac:dyDescent="0.25">
      <c r="A141" s="92"/>
      <c r="B141" s="17"/>
      <c r="C141" s="23"/>
      <c r="D141" s="23"/>
    </row>
    <row r="142" spans="1:4" ht="20.25" x14ac:dyDescent="0.25">
      <c r="A142" s="92"/>
      <c r="B142" s="17"/>
      <c r="C142" s="23"/>
      <c r="D142" s="23"/>
    </row>
    <row r="143" spans="1:4" ht="20.25" x14ac:dyDescent="0.25">
      <c r="A143" s="92"/>
      <c r="B143" s="17"/>
      <c r="C143" s="23"/>
      <c r="D143" s="23"/>
    </row>
    <row r="144" spans="1:4" ht="20.25" x14ac:dyDescent="0.25">
      <c r="A144" s="92"/>
      <c r="B144" s="17"/>
      <c r="C144" s="23"/>
      <c r="D144" s="23"/>
    </row>
    <row r="145" spans="1:4" ht="20.25" x14ac:dyDescent="0.25">
      <c r="A145" s="92"/>
      <c r="B145" s="17"/>
      <c r="C145" s="23"/>
      <c r="D145" s="23"/>
    </row>
    <row r="146" spans="1:4" ht="20.25" x14ac:dyDescent="0.25">
      <c r="A146" s="92"/>
      <c r="B146" s="17"/>
      <c r="C146" s="23"/>
      <c r="D146" s="23"/>
    </row>
    <row r="147" spans="1:4" ht="20.25" x14ac:dyDescent="0.25">
      <c r="A147" s="92"/>
      <c r="B147" s="17"/>
      <c r="C147" s="23"/>
      <c r="D147" s="23"/>
    </row>
    <row r="148" spans="1:4" ht="20.25" x14ac:dyDescent="0.25">
      <c r="A148" s="92"/>
      <c r="B148" s="17"/>
      <c r="C148" s="23"/>
      <c r="D148" s="23"/>
    </row>
    <row r="149" spans="1:4" ht="20.25" x14ac:dyDescent="0.25">
      <c r="A149" s="92"/>
      <c r="B149" s="17"/>
      <c r="C149" s="23"/>
      <c r="D149" s="23"/>
    </row>
    <row r="150" spans="1:4" ht="20.25" x14ac:dyDescent="0.25">
      <c r="A150" s="92"/>
      <c r="B150" s="17"/>
      <c r="C150" s="23"/>
      <c r="D150" s="23"/>
    </row>
    <row r="151" spans="1:4" ht="20.25" x14ac:dyDescent="0.25">
      <c r="A151" s="92"/>
      <c r="B151" s="17"/>
      <c r="C151" s="23"/>
      <c r="D151" s="23"/>
    </row>
    <row r="152" spans="1:4" ht="20.25" x14ac:dyDescent="0.25">
      <c r="A152" s="92"/>
      <c r="B152" s="17"/>
      <c r="C152" s="23"/>
      <c r="D152" s="23"/>
    </row>
    <row r="153" spans="1:4" ht="20.25" x14ac:dyDescent="0.25">
      <c r="A153" s="92"/>
      <c r="B153" s="17"/>
      <c r="C153" s="23"/>
      <c r="D153" s="23"/>
    </row>
    <row r="154" spans="1:4" ht="20.25" x14ac:dyDescent="0.25">
      <c r="A154" s="92"/>
      <c r="B154" s="17"/>
      <c r="C154" s="23"/>
      <c r="D154" s="23"/>
    </row>
    <row r="155" spans="1:4" ht="20.25" x14ac:dyDescent="0.25">
      <c r="A155" s="92"/>
      <c r="B155" s="17"/>
      <c r="C155" s="23"/>
      <c r="D155" s="23"/>
    </row>
    <row r="156" spans="1:4" ht="20.25" x14ac:dyDescent="0.25">
      <c r="A156" s="92"/>
      <c r="B156" s="17"/>
      <c r="C156" s="23"/>
      <c r="D156" s="23"/>
    </row>
    <row r="157" spans="1:4" ht="20.25" x14ac:dyDescent="0.25">
      <c r="A157" s="92"/>
      <c r="B157" s="17"/>
      <c r="C157" s="23"/>
      <c r="D157" s="23"/>
    </row>
    <row r="158" spans="1:4" ht="20.25" x14ac:dyDescent="0.25">
      <c r="A158" s="92"/>
      <c r="B158" s="17"/>
      <c r="C158" s="23"/>
      <c r="D158" s="23"/>
    </row>
    <row r="159" spans="1:4" ht="20.25" x14ac:dyDescent="0.25">
      <c r="A159" s="92"/>
      <c r="B159" s="17"/>
      <c r="C159" s="23"/>
      <c r="D159" s="23"/>
    </row>
    <row r="160" spans="1:4" ht="20.25" x14ac:dyDescent="0.25">
      <c r="A160" s="92"/>
      <c r="B160" s="17"/>
      <c r="C160" s="23"/>
      <c r="D160" s="23"/>
    </row>
    <row r="161" spans="1:4" ht="20.25" x14ac:dyDescent="0.25">
      <c r="A161" s="92"/>
      <c r="B161" s="17"/>
      <c r="C161" s="23"/>
      <c r="D161" s="23"/>
    </row>
    <row r="162" spans="1:4" ht="20.25" x14ac:dyDescent="0.25">
      <c r="A162" s="92"/>
      <c r="B162" s="17"/>
      <c r="C162" s="23"/>
      <c r="D162" s="23"/>
    </row>
    <row r="163" spans="1:4" ht="20.25" x14ac:dyDescent="0.25">
      <c r="A163" s="92"/>
      <c r="B163" s="17"/>
      <c r="C163" s="23"/>
      <c r="D163" s="23"/>
    </row>
    <row r="164" spans="1:4" ht="20.25" x14ac:dyDescent="0.25">
      <c r="A164" s="92"/>
      <c r="B164" s="17"/>
      <c r="C164" s="23"/>
      <c r="D164" s="23"/>
    </row>
    <row r="165" spans="1:4" ht="20.25" x14ac:dyDescent="0.25">
      <c r="A165" s="92"/>
      <c r="B165" s="17"/>
      <c r="C165" s="23"/>
      <c r="D165" s="23"/>
    </row>
    <row r="166" spans="1:4" ht="20.25" x14ac:dyDescent="0.25">
      <c r="A166" s="92"/>
      <c r="B166" s="17"/>
      <c r="C166" s="23"/>
      <c r="D166" s="23"/>
    </row>
    <row r="167" spans="1:4" ht="20.25" x14ac:dyDescent="0.25">
      <c r="A167" s="92"/>
      <c r="B167" s="17"/>
      <c r="C167" s="23"/>
      <c r="D167" s="23"/>
    </row>
    <row r="168" spans="1:4" ht="20.25" x14ac:dyDescent="0.25">
      <c r="A168" s="92"/>
      <c r="B168" s="17"/>
      <c r="C168" s="23"/>
      <c r="D168" s="23"/>
    </row>
    <row r="169" spans="1:4" ht="20.25" x14ac:dyDescent="0.25">
      <c r="A169" s="92"/>
      <c r="B169" s="17"/>
      <c r="C169" s="23"/>
      <c r="D169" s="23"/>
    </row>
    <row r="170" spans="1:4" ht="20.25" x14ac:dyDescent="0.25">
      <c r="A170" s="92"/>
      <c r="B170" s="17"/>
      <c r="C170" s="23"/>
      <c r="D170" s="23"/>
    </row>
    <row r="171" spans="1:4" ht="20.25" x14ac:dyDescent="0.25">
      <c r="A171" s="92"/>
      <c r="B171" s="17"/>
      <c r="C171" s="23"/>
      <c r="D171" s="23"/>
    </row>
    <row r="172" spans="1:4" ht="20.25" x14ac:dyDescent="0.25">
      <c r="A172" s="92"/>
      <c r="B172" s="17"/>
      <c r="C172" s="23"/>
      <c r="D172" s="23"/>
    </row>
    <row r="173" spans="1:4" ht="20.25" x14ac:dyDescent="0.25">
      <c r="A173" s="92"/>
      <c r="B173" s="17"/>
      <c r="C173" s="23"/>
      <c r="D173" s="23"/>
    </row>
    <row r="174" spans="1:4" ht="20.25" x14ac:dyDescent="0.25">
      <c r="A174" s="92"/>
      <c r="B174" s="17"/>
      <c r="C174" s="23"/>
      <c r="D174" s="23"/>
    </row>
    <row r="175" spans="1:4" ht="20.25" x14ac:dyDescent="0.25">
      <c r="A175" s="92"/>
      <c r="B175" s="17"/>
      <c r="C175" s="23"/>
      <c r="D175" s="23"/>
    </row>
    <row r="176" spans="1:4" ht="20.25" x14ac:dyDescent="0.25">
      <c r="A176" s="92"/>
      <c r="B176" s="17"/>
      <c r="C176" s="23"/>
      <c r="D176" s="23"/>
    </row>
    <row r="177" spans="1:4" ht="20.25" x14ac:dyDescent="0.25">
      <c r="A177" s="92"/>
      <c r="B177" s="17"/>
      <c r="C177" s="23"/>
      <c r="D177" s="23"/>
    </row>
    <row r="178" spans="1:4" ht="20.25" x14ac:dyDescent="0.25">
      <c r="A178" s="92"/>
      <c r="B178" s="17"/>
      <c r="C178" s="23"/>
      <c r="D178" s="23"/>
    </row>
    <row r="179" spans="1:4" ht="20.25" x14ac:dyDescent="0.25">
      <c r="A179" s="92"/>
      <c r="B179" s="17"/>
      <c r="C179" s="23"/>
      <c r="D179" s="23"/>
    </row>
    <row r="180" spans="1:4" ht="20.25" x14ac:dyDescent="0.25">
      <c r="A180" s="92"/>
      <c r="B180" s="17"/>
      <c r="C180" s="23"/>
      <c r="D180" s="23"/>
    </row>
    <row r="181" spans="1:4" ht="20.25" x14ac:dyDescent="0.25">
      <c r="A181" s="92"/>
      <c r="B181" s="17"/>
      <c r="C181" s="23"/>
      <c r="D181" s="23"/>
    </row>
    <row r="182" spans="1:4" ht="20.25" x14ac:dyDescent="0.25">
      <c r="A182" s="92"/>
      <c r="B182" s="17"/>
      <c r="C182" s="23"/>
      <c r="D182" s="23"/>
    </row>
    <row r="183" spans="1:4" ht="20.25" x14ac:dyDescent="0.25">
      <c r="A183" s="92"/>
      <c r="B183" s="17"/>
      <c r="C183" s="23"/>
      <c r="D183" s="23"/>
    </row>
    <row r="184" spans="1:4" ht="20.25" x14ac:dyDescent="0.25">
      <c r="A184" s="92"/>
      <c r="B184" s="17"/>
      <c r="C184" s="23"/>
      <c r="D184" s="23"/>
    </row>
    <row r="185" spans="1:4" ht="20.25" x14ac:dyDescent="0.25">
      <c r="A185" s="92"/>
      <c r="B185" s="17"/>
      <c r="C185" s="23"/>
      <c r="D185" s="23"/>
    </row>
    <row r="186" spans="1:4" ht="20.25" x14ac:dyDescent="0.25">
      <c r="A186" s="92"/>
      <c r="B186" s="17"/>
      <c r="C186" s="23"/>
      <c r="D186" s="23"/>
    </row>
    <row r="187" spans="1:4" ht="20.25" x14ac:dyDescent="0.25">
      <c r="A187" s="92"/>
      <c r="B187" s="17"/>
      <c r="C187" s="23"/>
      <c r="D187" s="23"/>
    </row>
    <row r="188" spans="1:4" ht="20.25" x14ac:dyDescent="0.25">
      <c r="A188" s="92"/>
      <c r="B188" s="17"/>
      <c r="C188" s="23"/>
      <c r="D188" s="23"/>
    </row>
    <row r="189" spans="1:4" ht="20.25" x14ac:dyDescent="0.25">
      <c r="A189" s="92"/>
      <c r="B189" s="17"/>
      <c r="C189" s="23"/>
      <c r="D189" s="23"/>
    </row>
    <row r="190" spans="1:4" ht="20.25" x14ac:dyDescent="0.25">
      <c r="A190" s="92"/>
      <c r="B190" s="17"/>
      <c r="C190" s="23"/>
      <c r="D190" s="23"/>
    </row>
    <row r="191" spans="1:4" ht="20.25" x14ac:dyDescent="0.25">
      <c r="A191" s="92"/>
      <c r="B191" s="17"/>
      <c r="C191" s="23"/>
      <c r="D191" s="23"/>
    </row>
    <row r="192" spans="1:4" ht="20.25" x14ac:dyDescent="0.25">
      <c r="A192" s="92"/>
      <c r="B192" s="17"/>
      <c r="C192" s="23"/>
      <c r="D192" s="23"/>
    </row>
    <row r="193" spans="1:4" ht="20.25" x14ac:dyDescent="0.25">
      <c r="A193" s="92"/>
      <c r="B193" s="17"/>
      <c r="C193" s="23"/>
      <c r="D193" s="23"/>
    </row>
    <row r="194" spans="1:4" ht="20.25" x14ac:dyDescent="0.25">
      <c r="A194" s="92"/>
      <c r="B194" s="17"/>
      <c r="C194" s="23"/>
      <c r="D194" s="23"/>
    </row>
    <row r="195" spans="1:4" ht="20.25" x14ac:dyDescent="0.25">
      <c r="A195" s="92"/>
      <c r="B195" s="17"/>
      <c r="C195" s="23"/>
      <c r="D195" s="23"/>
    </row>
    <row r="196" spans="1:4" ht="20.25" x14ac:dyDescent="0.25">
      <c r="A196" s="92"/>
      <c r="B196" s="17"/>
      <c r="C196" s="23"/>
      <c r="D196" s="23"/>
    </row>
    <row r="197" spans="1:4" ht="20.25" x14ac:dyDescent="0.25">
      <c r="A197" s="92"/>
      <c r="B197" s="17"/>
      <c r="C197" s="23"/>
      <c r="D197" s="23"/>
    </row>
    <row r="198" spans="1:4" ht="20.25" x14ac:dyDescent="0.25">
      <c r="A198" s="92"/>
      <c r="B198" s="17"/>
      <c r="C198" s="23"/>
      <c r="D198" s="23"/>
    </row>
    <row r="199" spans="1:4" ht="20.25" x14ac:dyDescent="0.25">
      <c r="A199" s="92"/>
      <c r="B199" s="17"/>
      <c r="C199" s="23"/>
      <c r="D199" s="23"/>
    </row>
    <row r="200" spans="1:4" ht="20.25" x14ac:dyDescent="0.25">
      <c r="A200" s="92"/>
      <c r="B200" s="17"/>
      <c r="C200" s="23"/>
      <c r="D200" s="23"/>
    </row>
    <row r="201" spans="1:4" ht="20.25" x14ac:dyDescent="0.25">
      <c r="A201" s="92"/>
      <c r="B201" s="17"/>
      <c r="C201" s="23"/>
      <c r="D201" s="23"/>
    </row>
    <row r="202" spans="1:4" ht="20.25" x14ac:dyDescent="0.25">
      <c r="A202" s="92"/>
      <c r="B202" s="17"/>
      <c r="C202" s="23"/>
      <c r="D202" s="23"/>
    </row>
    <row r="203" spans="1:4" ht="20.25" x14ac:dyDescent="0.25">
      <c r="A203" s="92"/>
      <c r="B203" s="17"/>
      <c r="C203" s="23"/>
      <c r="D203" s="23"/>
    </row>
    <row r="204" spans="1:4" ht="20.25" x14ac:dyDescent="0.25">
      <c r="A204" s="92"/>
      <c r="B204" s="17"/>
      <c r="C204" s="23"/>
      <c r="D204" s="23"/>
    </row>
    <row r="205" spans="1:4" ht="20.25" x14ac:dyDescent="0.25">
      <c r="A205" s="92"/>
      <c r="B205" s="17"/>
      <c r="C205" s="23"/>
      <c r="D205" s="23"/>
    </row>
    <row r="206" spans="1:4" ht="20.25" x14ac:dyDescent="0.25">
      <c r="A206" s="92"/>
      <c r="B206" s="17"/>
      <c r="C206" s="23"/>
      <c r="D206" s="23"/>
    </row>
    <row r="207" spans="1:4" ht="20.25" x14ac:dyDescent="0.25">
      <c r="A207" s="92"/>
      <c r="B207" s="17"/>
      <c r="C207" s="23"/>
      <c r="D207" s="23"/>
    </row>
    <row r="208" spans="1:4" x14ac:dyDescent="0.25">
      <c r="A208" s="72"/>
      <c r="B208" s="17"/>
      <c r="C208" s="17"/>
      <c r="D208" s="17"/>
    </row>
    <row r="209" spans="1:8" ht="20.25" x14ac:dyDescent="0.25">
      <c r="A209" s="72"/>
      <c r="B209" s="19" t="s">
        <v>72</v>
      </c>
      <c r="C209" s="19" t="s">
        <v>111</v>
      </c>
      <c r="D209" s="22" t="s">
        <v>72</v>
      </c>
      <c r="E209" s="22" t="s">
        <v>111</v>
      </c>
    </row>
    <row r="210" spans="1:8" ht="21" x14ac:dyDescent="0.35">
      <c r="A210" s="72"/>
      <c r="B210" s="20" t="s">
        <v>74</v>
      </c>
      <c r="C210" s="20" t="s">
        <v>44</v>
      </c>
      <c r="D210" t="s">
        <v>74</v>
      </c>
      <c r="F210" t="str">
        <f>IF(NOT(ISBLANK(D210)),D210,IF(NOT(ISBLANK(E210)),"     "&amp;E210,FALSE))</f>
        <v>Afectación Económica o presupuestal</v>
      </c>
      <c r="G210" t="s">
        <v>74</v>
      </c>
      <c r="H210" t="str">
        <f ca="1">IF(NOT(ISERROR(MATCH(G210,_xlfn.ANCHORARRAY(B221),0))),F223&amp;"Por favor no seleccionar los criterios de impacto",G210)</f>
        <v>Afectación Económica o presupuestal</v>
      </c>
    </row>
    <row r="211" spans="1:8" ht="21" x14ac:dyDescent="0.35">
      <c r="A211" s="72"/>
      <c r="B211" s="20" t="s">
        <v>74</v>
      </c>
      <c r="C211" s="20" t="s">
        <v>77</v>
      </c>
      <c r="E211" t="s">
        <v>44</v>
      </c>
      <c r="F211" t="str">
        <f t="shared" ref="F211:F221" si="0">IF(NOT(ISBLANK(D211)),D211,IF(NOT(ISBLANK(E211)),"     "&amp;E211,FALSE))</f>
        <v xml:space="preserve">     Afectación menor a 10 SMLMV .</v>
      </c>
    </row>
    <row r="212" spans="1:8" ht="21" x14ac:dyDescent="0.35">
      <c r="A212" s="72"/>
      <c r="B212" s="20" t="s">
        <v>74</v>
      </c>
      <c r="C212" s="20" t="s">
        <v>78</v>
      </c>
      <c r="E212" t="s">
        <v>77</v>
      </c>
      <c r="F212" t="str">
        <f t="shared" si="0"/>
        <v xml:space="preserve">     Entre 10 y 50 SMLMV </v>
      </c>
    </row>
    <row r="213" spans="1:8" ht="21" x14ac:dyDescent="0.35">
      <c r="A213" s="72"/>
      <c r="B213" s="20" t="s">
        <v>74</v>
      </c>
      <c r="C213" s="20" t="s">
        <v>79</v>
      </c>
      <c r="E213" t="s">
        <v>78</v>
      </c>
      <c r="F213" t="str">
        <f t="shared" si="0"/>
        <v xml:space="preserve">     Entre 50 y 100 SMLMV </v>
      </c>
    </row>
    <row r="214" spans="1:8" ht="21" x14ac:dyDescent="0.35">
      <c r="A214" s="72"/>
      <c r="B214" s="20" t="s">
        <v>74</v>
      </c>
      <c r="C214" s="20" t="s">
        <v>80</v>
      </c>
      <c r="E214" t="s">
        <v>79</v>
      </c>
      <c r="F214" t="str">
        <f t="shared" si="0"/>
        <v xml:space="preserve">     Entre 100 y 500 SMLMV </v>
      </c>
    </row>
    <row r="215" spans="1:8" ht="21" x14ac:dyDescent="0.35">
      <c r="A215" s="72"/>
      <c r="B215" s="20" t="s">
        <v>43</v>
      </c>
      <c r="C215" s="20" t="s">
        <v>81</v>
      </c>
      <c r="E215" t="s">
        <v>80</v>
      </c>
      <c r="F215" t="str">
        <f t="shared" si="0"/>
        <v xml:space="preserve">     Mayor a 500 SMLMV </v>
      </c>
    </row>
    <row r="216" spans="1:8" ht="21" x14ac:dyDescent="0.35">
      <c r="A216" s="72"/>
      <c r="B216" s="20" t="s">
        <v>43</v>
      </c>
      <c r="C216" s="20" t="s">
        <v>82</v>
      </c>
      <c r="D216" t="s">
        <v>43</v>
      </c>
      <c r="F216" t="str">
        <f t="shared" si="0"/>
        <v>Pérdida Reputacional</v>
      </c>
    </row>
    <row r="217" spans="1:8" ht="21" x14ac:dyDescent="0.35">
      <c r="A217" s="72"/>
      <c r="B217" s="20" t="s">
        <v>43</v>
      </c>
      <c r="C217" s="20" t="s">
        <v>84</v>
      </c>
      <c r="E217" t="s">
        <v>81</v>
      </c>
      <c r="F217" t="str">
        <f t="shared" si="0"/>
        <v xml:space="preserve">     El riesgo afecta la imagen de alguna área de la organización</v>
      </c>
    </row>
    <row r="218" spans="1:8" ht="21" x14ac:dyDescent="0.35">
      <c r="A218" s="72"/>
      <c r="B218" s="20" t="s">
        <v>43</v>
      </c>
      <c r="C218" s="20" t="s">
        <v>83</v>
      </c>
      <c r="E218" t="s">
        <v>82</v>
      </c>
      <c r="F218" t="str">
        <f t="shared" si="0"/>
        <v xml:space="preserve">     El riesgo afecta la imagen de la entidad internamente, de conocimiento general, nivel interno, de junta dircetiva y accionistas y/o de provedores</v>
      </c>
    </row>
    <row r="219" spans="1:8" ht="21" x14ac:dyDescent="0.35">
      <c r="A219" s="72"/>
      <c r="B219" s="20" t="s">
        <v>43</v>
      </c>
      <c r="C219" s="20" t="s">
        <v>102</v>
      </c>
      <c r="E219" t="s">
        <v>84</v>
      </c>
      <c r="F219" t="str">
        <f t="shared" si="0"/>
        <v xml:space="preserve">     El riesgo afecta la imagen de la entidad con algunos usuarios de relevancia frente al logro de los objetivos</v>
      </c>
    </row>
    <row r="220" spans="1:8" x14ac:dyDescent="0.25">
      <c r="A220" s="72"/>
      <c r="B220" s="21"/>
      <c r="C220" s="21"/>
      <c r="E220" t="s">
        <v>83</v>
      </c>
      <c r="F220" t="str">
        <f t="shared" si="0"/>
        <v xml:space="preserve">     El riesgo afecta la imagen de de la entidad con efecto publicitario sostenido a nivel de sector administrativo, nivel departamental o municipal</v>
      </c>
    </row>
    <row r="221" spans="1:8" x14ac:dyDescent="0.25">
      <c r="A221" s="72"/>
      <c r="B221" s="21" t="e" cm="1">
        <f t="array" aca="1" ref="B221:B223" ca="1">_xlfn.UNIQUE(Tabla1[[#All],[Criterios]])</f>
        <v>#NAME?</v>
      </c>
      <c r="C221" s="21"/>
      <c r="E221" t="s">
        <v>102</v>
      </c>
      <c r="F221" t="str">
        <f t="shared" si="0"/>
        <v xml:space="preserve">     El riesgo afecta la imagen de la entidad a nivel nacional, con efecto publicitarios sostenible a nivel país</v>
      </c>
    </row>
    <row r="222" spans="1:8" x14ac:dyDescent="0.25">
      <c r="A222" s="72"/>
      <c r="B222" s="21" t="e">
        <f ca="1"/>
        <v>#NAME?</v>
      </c>
      <c r="C222" s="21"/>
    </row>
    <row r="223" spans="1:8" x14ac:dyDescent="0.25">
      <c r="B223" s="21" t="e">
        <f ca="1"/>
        <v>#NAME?</v>
      </c>
      <c r="C223" s="21"/>
      <c r="F223" s="24" t="s">
        <v>113</v>
      </c>
    </row>
    <row r="224" spans="1:8" x14ac:dyDescent="0.25">
      <c r="B224" s="16"/>
      <c r="C224" s="16"/>
      <c r="F224" s="24" t="s">
        <v>114</v>
      </c>
    </row>
    <row r="225" spans="2:4" x14ac:dyDescent="0.25">
      <c r="B225" s="16"/>
      <c r="C225" s="16"/>
    </row>
    <row r="226" spans="2:4" x14ac:dyDescent="0.25">
      <c r="B226" s="16"/>
      <c r="C226" s="16"/>
    </row>
    <row r="227" spans="2:4" x14ac:dyDescent="0.25">
      <c r="B227" s="16"/>
      <c r="C227" s="16"/>
      <c r="D227" s="16"/>
    </row>
    <row r="228" spans="2:4" x14ac:dyDescent="0.25">
      <c r="B228" s="16"/>
      <c r="C228" s="16"/>
      <c r="D228" s="16"/>
    </row>
    <row r="229" spans="2:4" x14ac:dyDescent="0.25">
      <c r="B229" s="16"/>
      <c r="C229" s="16"/>
      <c r="D229" s="16"/>
    </row>
    <row r="230" spans="2:4" x14ac:dyDescent="0.25">
      <c r="B230" s="16"/>
      <c r="C230" s="16"/>
      <c r="D230" s="16"/>
    </row>
    <row r="231" spans="2:4" x14ac:dyDescent="0.25">
      <c r="B231" s="16"/>
      <c r="C231" s="16"/>
      <c r="D231" s="16"/>
    </row>
    <row r="232" spans="2:4" x14ac:dyDescent="0.25">
      <c r="B232" s="16"/>
      <c r="C232" s="16"/>
      <c r="D232" s="16"/>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6"/>
  <sheetViews>
    <sheetView zoomScale="70" zoomScaleNormal="70" workbookViewId="0">
      <selection activeCell="G9" sqref="G9"/>
    </sheetView>
  </sheetViews>
  <sheetFormatPr baseColWidth="10" defaultColWidth="14.28515625" defaultRowHeight="12.75" x14ac:dyDescent="0.2"/>
  <cols>
    <col min="1" max="2" width="14.28515625" style="77"/>
    <col min="3" max="3" width="17" style="77" customWidth="1"/>
    <col min="4" max="4" width="14.28515625" style="77"/>
    <col min="5" max="5" width="46" style="77" customWidth="1"/>
    <col min="6" max="16384" width="14.28515625" style="77"/>
  </cols>
  <sheetData>
    <row r="1" spans="2:6" ht="24" customHeight="1" thickBot="1" x14ac:dyDescent="0.25">
      <c r="B1" s="752" t="s">
        <v>64</v>
      </c>
      <c r="C1" s="753"/>
      <c r="D1" s="753"/>
      <c r="E1" s="753"/>
      <c r="F1" s="754"/>
    </row>
    <row r="2" spans="2:6" ht="16.5" thickBot="1" x14ac:dyDescent="0.3">
      <c r="B2" s="78"/>
      <c r="C2" s="78"/>
      <c r="D2" s="78"/>
      <c r="E2" s="78"/>
      <c r="F2" s="78"/>
    </row>
    <row r="3" spans="2:6" ht="16.5" thickBot="1" x14ac:dyDescent="0.25">
      <c r="B3" s="756" t="s">
        <v>50</v>
      </c>
      <c r="C3" s="757"/>
      <c r="D3" s="757"/>
      <c r="E3" s="90" t="s">
        <v>51</v>
      </c>
      <c r="F3" s="91" t="s">
        <v>52</v>
      </c>
    </row>
    <row r="4" spans="2:6" ht="31.5" x14ac:dyDescent="0.2">
      <c r="B4" s="758" t="s">
        <v>53</v>
      </c>
      <c r="C4" s="760" t="s">
        <v>12</v>
      </c>
      <c r="D4" s="79" t="s">
        <v>13</v>
      </c>
      <c r="E4" s="80" t="s">
        <v>54</v>
      </c>
      <c r="F4" s="81">
        <v>0.25</v>
      </c>
    </row>
    <row r="5" spans="2:6" ht="47.25" x14ac:dyDescent="0.2">
      <c r="B5" s="759"/>
      <c r="C5" s="761"/>
      <c r="D5" s="82" t="s">
        <v>14</v>
      </c>
      <c r="E5" s="83" t="s">
        <v>55</v>
      </c>
      <c r="F5" s="84">
        <v>0.15</v>
      </c>
    </row>
    <row r="6" spans="2:6" ht="47.25" x14ac:dyDescent="0.2">
      <c r="B6" s="759"/>
      <c r="C6" s="761"/>
      <c r="D6" s="82" t="s">
        <v>15</v>
      </c>
      <c r="E6" s="83" t="s">
        <v>56</v>
      </c>
      <c r="F6" s="84">
        <v>0.1</v>
      </c>
    </row>
    <row r="7" spans="2:6" ht="63" x14ac:dyDescent="0.2">
      <c r="B7" s="759"/>
      <c r="C7" s="761" t="s">
        <v>16</v>
      </c>
      <c r="D7" s="82" t="s">
        <v>9</v>
      </c>
      <c r="E7" s="83" t="s">
        <v>57</v>
      </c>
      <c r="F7" s="84">
        <v>0.25</v>
      </c>
    </row>
    <row r="8" spans="2:6" ht="31.5" x14ac:dyDescent="0.2">
      <c r="B8" s="759"/>
      <c r="C8" s="761"/>
      <c r="D8" s="82" t="s">
        <v>8</v>
      </c>
      <c r="E8" s="83" t="s">
        <v>58</v>
      </c>
      <c r="F8" s="84">
        <v>0.15</v>
      </c>
    </row>
    <row r="9" spans="2:6" ht="47.25" x14ac:dyDescent="0.2">
      <c r="B9" s="759" t="s">
        <v>128</v>
      </c>
      <c r="C9" s="761" t="s">
        <v>17</v>
      </c>
      <c r="D9" s="82" t="s">
        <v>18</v>
      </c>
      <c r="E9" s="83" t="s">
        <v>59</v>
      </c>
      <c r="F9" s="85" t="s">
        <v>60</v>
      </c>
    </row>
    <row r="10" spans="2:6" ht="63" x14ac:dyDescent="0.2">
      <c r="B10" s="759"/>
      <c r="C10" s="761"/>
      <c r="D10" s="82" t="s">
        <v>19</v>
      </c>
      <c r="E10" s="83" t="s">
        <v>61</v>
      </c>
      <c r="F10" s="85" t="s">
        <v>60</v>
      </c>
    </row>
    <row r="11" spans="2:6" ht="47.25" x14ac:dyDescent="0.2">
      <c r="B11" s="759"/>
      <c r="C11" s="761" t="s">
        <v>20</v>
      </c>
      <c r="D11" s="82" t="s">
        <v>21</v>
      </c>
      <c r="E11" s="83" t="s">
        <v>62</v>
      </c>
      <c r="F11" s="85" t="s">
        <v>60</v>
      </c>
    </row>
    <row r="12" spans="2:6" ht="47.25" x14ac:dyDescent="0.2">
      <c r="B12" s="759"/>
      <c r="C12" s="761"/>
      <c r="D12" s="82" t="s">
        <v>22</v>
      </c>
      <c r="E12" s="83" t="s">
        <v>63</v>
      </c>
      <c r="F12" s="85" t="s">
        <v>60</v>
      </c>
    </row>
    <row r="13" spans="2:6" ht="31.5" x14ac:dyDescent="0.2">
      <c r="B13" s="759"/>
      <c r="C13" s="761" t="s">
        <v>23</v>
      </c>
      <c r="D13" s="82" t="s">
        <v>103</v>
      </c>
      <c r="E13" s="83" t="s">
        <v>106</v>
      </c>
      <c r="F13" s="85" t="s">
        <v>60</v>
      </c>
    </row>
    <row r="14" spans="2:6" ht="32.25" thickBot="1" x14ac:dyDescent="0.25">
      <c r="B14" s="762"/>
      <c r="C14" s="763"/>
      <c r="D14" s="86" t="s">
        <v>104</v>
      </c>
      <c r="E14" s="87" t="s">
        <v>105</v>
      </c>
      <c r="F14" s="88" t="s">
        <v>60</v>
      </c>
    </row>
    <row r="15" spans="2:6" ht="49.5" customHeight="1" x14ac:dyDescent="0.2">
      <c r="B15" s="755" t="s">
        <v>125</v>
      </c>
      <c r="C15" s="755"/>
      <c r="D15" s="755"/>
      <c r="E15" s="755"/>
      <c r="F15" s="755"/>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zoomScale="55" zoomScaleNormal="55" workbookViewId="0">
      <selection activeCell="L27" sqref="L27"/>
    </sheetView>
  </sheetViews>
  <sheetFormatPr baseColWidth="10" defaultColWidth="11.42578125" defaultRowHeight="16.5" x14ac:dyDescent="0.3"/>
  <cols>
    <col min="1" max="1" width="11.42578125" style="1"/>
    <col min="2" max="2" width="22.7109375" style="113" customWidth="1"/>
    <col min="3" max="6" width="11.42578125" style="113"/>
    <col min="7" max="7" width="93.5703125" style="113" customWidth="1"/>
    <col min="8" max="8" width="74.28515625" style="113" customWidth="1"/>
    <col min="9" max="15" width="11.42578125" style="113"/>
    <col min="16" max="16384" width="11.42578125" style="1"/>
  </cols>
  <sheetData>
    <row r="2" spans="2:8" x14ac:dyDescent="0.3">
      <c r="B2" s="113" t="s">
        <v>26</v>
      </c>
      <c r="E2" s="113" t="s">
        <v>108</v>
      </c>
    </row>
    <row r="3" spans="2:8" x14ac:dyDescent="0.3">
      <c r="B3" s="113" t="s">
        <v>27</v>
      </c>
      <c r="E3" s="113" t="s">
        <v>107</v>
      </c>
    </row>
    <row r="4" spans="2:8" x14ac:dyDescent="0.3">
      <c r="B4" s="113" t="s">
        <v>28</v>
      </c>
      <c r="E4" s="113" t="s">
        <v>109</v>
      </c>
    </row>
    <row r="9" spans="2:8" x14ac:dyDescent="0.3">
      <c r="B9" s="113" t="s">
        <v>30</v>
      </c>
      <c r="E9" s="113" t="s">
        <v>292</v>
      </c>
    </row>
    <row r="10" spans="2:8" x14ac:dyDescent="0.3">
      <c r="B10" s="113" t="s">
        <v>31</v>
      </c>
      <c r="E10" s="113" t="s">
        <v>293</v>
      </c>
    </row>
    <row r="14" spans="2:8" x14ac:dyDescent="0.3">
      <c r="B14" s="113" t="s">
        <v>257</v>
      </c>
      <c r="G14" s="231" t="s">
        <v>653</v>
      </c>
      <c r="H14" s="231" t="s">
        <v>630</v>
      </c>
    </row>
    <row r="15" spans="2:8" ht="25.5" x14ac:dyDescent="0.3">
      <c r="B15" s="235" t="s">
        <v>654</v>
      </c>
      <c r="G15" s="233" t="s">
        <v>108</v>
      </c>
      <c r="H15" s="228" t="s">
        <v>632</v>
      </c>
    </row>
    <row r="16" spans="2:8" x14ac:dyDescent="0.3">
      <c r="B16" s="235" t="s">
        <v>655</v>
      </c>
      <c r="G16" s="233" t="s">
        <v>626</v>
      </c>
      <c r="H16" s="228" t="s">
        <v>638</v>
      </c>
    </row>
    <row r="17" spans="2:8" x14ac:dyDescent="0.3">
      <c r="B17" s="236" t="s">
        <v>233</v>
      </c>
      <c r="G17" s="233" t="s">
        <v>633</v>
      </c>
      <c r="H17" s="228" t="s">
        <v>639</v>
      </c>
    </row>
    <row r="18" spans="2:8" x14ac:dyDescent="0.3">
      <c r="B18" s="236" t="s">
        <v>656</v>
      </c>
      <c r="G18" s="233" t="s">
        <v>627</v>
      </c>
      <c r="H18" s="228" t="s">
        <v>640</v>
      </c>
    </row>
    <row r="19" spans="2:8" ht="25.5" x14ac:dyDescent="0.3">
      <c r="B19" s="236" t="s">
        <v>657</v>
      </c>
      <c r="G19" s="233" t="s">
        <v>644</v>
      </c>
      <c r="H19" s="228" t="s">
        <v>641</v>
      </c>
    </row>
    <row r="20" spans="2:8" ht="25.5" x14ac:dyDescent="0.3">
      <c r="B20" s="236" t="s">
        <v>658</v>
      </c>
      <c r="G20" s="233" t="s">
        <v>628</v>
      </c>
      <c r="H20" s="229" t="s">
        <v>642</v>
      </c>
    </row>
    <row r="21" spans="2:8" x14ac:dyDescent="0.3">
      <c r="B21" s="236" t="s">
        <v>659</v>
      </c>
      <c r="G21" s="232" t="s">
        <v>661</v>
      </c>
      <c r="H21" s="229" t="s">
        <v>643</v>
      </c>
    </row>
    <row r="22" spans="2:8" x14ac:dyDescent="0.3">
      <c r="B22" s="236" t="s">
        <v>633</v>
      </c>
      <c r="G22" s="232" t="s">
        <v>629</v>
      </c>
      <c r="H22" s="231" t="s">
        <v>631</v>
      </c>
    </row>
    <row r="23" spans="2:8" ht="25.5" x14ac:dyDescent="0.3">
      <c r="B23" s="236" t="s">
        <v>327</v>
      </c>
      <c r="G23" s="232" t="s">
        <v>634</v>
      </c>
      <c r="H23" s="229" t="s">
        <v>645</v>
      </c>
    </row>
    <row r="24" spans="2:8" ht="25.5" x14ac:dyDescent="0.3">
      <c r="B24" s="236" t="s">
        <v>660</v>
      </c>
      <c r="G24" s="232" t="s">
        <v>635</v>
      </c>
      <c r="H24" s="229" t="s">
        <v>646</v>
      </c>
    </row>
    <row r="25" spans="2:8" ht="66.75" customHeight="1" x14ac:dyDescent="0.3">
      <c r="G25" s="232" t="s">
        <v>378</v>
      </c>
      <c r="H25" s="229" t="s">
        <v>647</v>
      </c>
    </row>
    <row r="26" spans="2:8" ht="38.25" x14ac:dyDescent="0.3">
      <c r="G26" s="232" t="s">
        <v>662</v>
      </c>
      <c r="H26" s="229" t="s">
        <v>648</v>
      </c>
    </row>
    <row r="27" spans="2:8" ht="25.5" x14ac:dyDescent="0.3">
      <c r="G27" s="234" t="s">
        <v>636</v>
      </c>
      <c r="H27" s="230" t="s">
        <v>649</v>
      </c>
    </row>
    <row r="28" spans="2:8" ht="25.5" x14ac:dyDescent="0.3">
      <c r="G28" s="234" t="s">
        <v>650</v>
      </c>
      <c r="H28" s="230" t="s">
        <v>651</v>
      </c>
    </row>
    <row r="29" spans="2:8" ht="25.5" x14ac:dyDescent="0.3">
      <c r="G29" s="234" t="s">
        <v>637</v>
      </c>
      <c r="H29" s="230" t="s">
        <v>652</v>
      </c>
    </row>
    <row r="30" spans="2:8" x14ac:dyDescent="0.3">
      <c r="G30" s="230"/>
      <c r="H30" s="113" t="s">
        <v>643</v>
      </c>
    </row>
  </sheetData>
  <sortState ref="B2:B5">
    <sortCondition ref="B2:B5"/>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topLeftCell="A4" zoomScale="70" zoomScaleNormal="70" workbookViewId="0">
      <selection activeCell="B20" sqref="B20"/>
    </sheetView>
  </sheetViews>
  <sheetFormatPr baseColWidth="10" defaultColWidth="11.5703125" defaultRowHeight="15" x14ac:dyDescent="0.25"/>
  <cols>
    <col min="1" max="1" width="13.140625" customWidth="1"/>
    <col min="2" max="2" width="26.7109375" customWidth="1"/>
    <col min="3" max="3" width="22.7109375" customWidth="1"/>
    <col min="5" max="5" width="16.85546875" customWidth="1"/>
    <col min="6" max="6" width="29.28515625" customWidth="1"/>
    <col min="7" max="7" width="33.5703125" customWidth="1"/>
    <col min="8" max="8" width="14.42578125" customWidth="1"/>
    <col min="14" max="14" width="12.7109375" customWidth="1"/>
  </cols>
  <sheetData>
    <row r="1" spans="1:18" s="135" customFormat="1" ht="43.5" customHeight="1" x14ac:dyDescent="0.25">
      <c r="A1" s="764" t="s">
        <v>183</v>
      </c>
      <c r="B1" s="764"/>
      <c r="C1" s="764"/>
      <c r="E1" s="764" t="s">
        <v>328</v>
      </c>
      <c r="F1" s="764"/>
      <c r="G1" s="764"/>
      <c r="J1" s="765" t="s">
        <v>329</v>
      </c>
      <c r="K1" s="765"/>
      <c r="L1" s="765"/>
      <c r="M1" s="765"/>
      <c r="N1" s="765"/>
      <c r="O1" s="765"/>
      <c r="P1" s="765"/>
    </row>
    <row r="2" spans="1:18" x14ac:dyDescent="0.25">
      <c r="A2" s="136"/>
      <c r="B2" s="137" t="s">
        <v>330</v>
      </c>
      <c r="C2" s="137" t="s">
        <v>183</v>
      </c>
      <c r="E2" s="136" t="s">
        <v>192</v>
      </c>
      <c r="F2" s="137" t="s">
        <v>331</v>
      </c>
      <c r="G2" s="137" t="s">
        <v>332</v>
      </c>
      <c r="L2" s="766"/>
      <c r="M2" s="766"/>
      <c r="N2" s="766"/>
      <c r="O2" s="766"/>
      <c r="P2" s="766"/>
    </row>
    <row r="3" spans="1:18" ht="60" x14ac:dyDescent="0.25">
      <c r="A3" s="138" t="s">
        <v>37</v>
      </c>
      <c r="B3" s="139" t="s">
        <v>333</v>
      </c>
      <c r="C3" s="140">
        <v>0.2</v>
      </c>
      <c r="E3" s="138" t="s">
        <v>334</v>
      </c>
      <c r="F3" s="139" t="s">
        <v>335</v>
      </c>
      <c r="G3" s="141" t="s">
        <v>336</v>
      </c>
      <c r="I3" s="767" t="s">
        <v>183</v>
      </c>
      <c r="J3" s="142" t="s">
        <v>337</v>
      </c>
      <c r="K3" s="143"/>
      <c r="L3" s="144" t="s">
        <v>338</v>
      </c>
      <c r="M3" s="144" t="s">
        <v>338</v>
      </c>
      <c r="N3" s="144" t="s">
        <v>338</v>
      </c>
      <c r="O3" s="144" t="s">
        <v>338</v>
      </c>
      <c r="P3" s="145" t="s">
        <v>339</v>
      </c>
      <c r="R3" s="146" t="s">
        <v>65</v>
      </c>
    </row>
    <row r="4" spans="1:18" ht="87.4" customHeight="1" x14ac:dyDescent="0.25">
      <c r="A4" s="147" t="s">
        <v>39</v>
      </c>
      <c r="B4" s="139" t="s">
        <v>340</v>
      </c>
      <c r="C4" s="140">
        <v>0.4</v>
      </c>
      <c r="E4" s="147" t="s">
        <v>70</v>
      </c>
      <c r="F4" s="139" t="s">
        <v>341</v>
      </c>
      <c r="G4" s="141" t="s">
        <v>342</v>
      </c>
      <c r="I4" s="767"/>
      <c r="J4" s="148" t="s">
        <v>343</v>
      </c>
      <c r="K4" s="136"/>
      <c r="L4" s="149" t="s">
        <v>344</v>
      </c>
      <c r="M4" s="149" t="s">
        <v>344</v>
      </c>
      <c r="N4" s="144" t="s">
        <v>338</v>
      </c>
      <c r="O4" s="144" t="s">
        <v>338</v>
      </c>
      <c r="P4" s="145" t="s">
        <v>339</v>
      </c>
      <c r="R4" s="150" t="s">
        <v>66</v>
      </c>
    </row>
    <row r="5" spans="1:18" ht="61.9" customHeight="1" x14ac:dyDescent="0.25">
      <c r="A5" s="151" t="s">
        <v>91</v>
      </c>
      <c r="B5" s="139" t="s">
        <v>345</v>
      </c>
      <c r="C5" s="140">
        <v>0.6</v>
      </c>
      <c r="E5" s="151" t="s">
        <v>67</v>
      </c>
      <c r="F5" s="139" t="s">
        <v>78</v>
      </c>
      <c r="G5" s="141" t="s">
        <v>346</v>
      </c>
      <c r="I5" s="767"/>
      <c r="J5" s="151" t="s">
        <v>347</v>
      </c>
      <c r="K5" s="136"/>
      <c r="L5" s="149" t="s">
        <v>344</v>
      </c>
      <c r="M5" s="149" t="s">
        <v>344</v>
      </c>
      <c r="N5" s="149" t="s">
        <v>344</v>
      </c>
      <c r="O5" s="144" t="s">
        <v>338</v>
      </c>
      <c r="P5" s="145" t="s">
        <v>339</v>
      </c>
      <c r="R5" s="152" t="s">
        <v>67</v>
      </c>
    </row>
    <row r="6" spans="1:18" ht="75" x14ac:dyDescent="0.25">
      <c r="A6" s="148" t="s">
        <v>5</v>
      </c>
      <c r="B6" s="139" t="s">
        <v>348</v>
      </c>
      <c r="C6" s="140">
        <v>0.8</v>
      </c>
      <c r="E6" s="148" t="s">
        <v>6</v>
      </c>
      <c r="F6" s="139" t="s">
        <v>349</v>
      </c>
      <c r="G6" s="141" t="s">
        <v>350</v>
      </c>
      <c r="I6" s="767"/>
      <c r="J6" s="147" t="s">
        <v>351</v>
      </c>
      <c r="K6" s="136"/>
      <c r="L6" s="153" t="s">
        <v>352</v>
      </c>
      <c r="M6" s="149" t="s">
        <v>344</v>
      </c>
      <c r="N6" s="149" t="s">
        <v>344</v>
      </c>
      <c r="O6" s="144" t="s">
        <v>338</v>
      </c>
      <c r="P6" s="145" t="s">
        <v>339</v>
      </c>
      <c r="R6" s="154" t="s">
        <v>68</v>
      </c>
    </row>
    <row r="7" spans="1:18" ht="55.5" customHeight="1" x14ac:dyDescent="0.25">
      <c r="A7" s="155" t="s">
        <v>40</v>
      </c>
      <c r="B7" s="139" t="s">
        <v>353</v>
      </c>
      <c r="C7" s="140">
        <v>1</v>
      </c>
      <c r="E7" s="155" t="s">
        <v>71</v>
      </c>
      <c r="F7" s="139" t="s">
        <v>354</v>
      </c>
      <c r="G7" s="141" t="s">
        <v>355</v>
      </c>
      <c r="I7" s="767"/>
      <c r="J7" s="156" t="s">
        <v>356</v>
      </c>
      <c r="K7" s="136"/>
      <c r="L7" s="153" t="s">
        <v>352</v>
      </c>
      <c r="M7" s="153" t="s">
        <v>352</v>
      </c>
      <c r="N7" s="149" t="s">
        <v>344</v>
      </c>
      <c r="O7" s="144" t="s">
        <v>338</v>
      </c>
      <c r="P7" s="145" t="s">
        <v>339</v>
      </c>
    </row>
    <row r="8" spans="1:18" ht="36" customHeight="1" x14ac:dyDescent="0.25">
      <c r="A8" s="157"/>
      <c r="B8" s="158"/>
      <c r="C8" s="159"/>
      <c r="E8" s="157"/>
      <c r="F8" s="158"/>
      <c r="G8" s="160"/>
      <c r="I8" s="129"/>
      <c r="J8" s="133"/>
      <c r="K8" s="133"/>
      <c r="L8" s="768"/>
      <c r="M8" s="769"/>
      <c r="N8" s="769"/>
      <c r="O8" s="769"/>
      <c r="P8" s="770"/>
    </row>
    <row r="9" spans="1:18" ht="30" x14ac:dyDescent="0.25">
      <c r="F9" s="158" t="s">
        <v>357</v>
      </c>
      <c r="L9" s="138" t="s">
        <v>85</v>
      </c>
      <c r="M9" s="147" t="s">
        <v>358</v>
      </c>
      <c r="N9" s="151" t="s">
        <v>46</v>
      </c>
      <c r="O9" s="148" t="s">
        <v>47</v>
      </c>
      <c r="P9" s="142" t="s">
        <v>48</v>
      </c>
    </row>
    <row r="10" spans="1:18" ht="14.65" customHeight="1" x14ac:dyDescent="0.25">
      <c r="D10" s="161" t="s">
        <v>52</v>
      </c>
      <c r="F10" s="158" t="s">
        <v>359</v>
      </c>
      <c r="L10" s="771" t="s">
        <v>328</v>
      </c>
      <c r="M10" s="771"/>
      <c r="N10" s="771"/>
      <c r="O10" s="771"/>
      <c r="P10" s="771"/>
    </row>
    <row r="11" spans="1:18" ht="14.65" customHeight="1" x14ac:dyDescent="0.25">
      <c r="A11" s="772" t="s">
        <v>360</v>
      </c>
      <c r="B11" s="773" t="s">
        <v>252</v>
      </c>
      <c r="C11" s="162" t="s">
        <v>13</v>
      </c>
      <c r="D11" s="163">
        <v>0.25</v>
      </c>
      <c r="F11" s="158" t="s">
        <v>361</v>
      </c>
      <c r="L11" s="771"/>
      <c r="M11" s="771"/>
      <c r="N11" s="771"/>
      <c r="O11" s="771"/>
      <c r="P11" s="771"/>
    </row>
    <row r="12" spans="1:18" x14ac:dyDescent="0.25">
      <c r="A12" s="772"/>
      <c r="B12" s="774"/>
      <c r="C12" s="162" t="s">
        <v>14</v>
      </c>
      <c r="D12" s="163">
        <v>0.15</v>
      </c>
      <c r="F12" s="158" t="s">
        <v>362</v>
      </c>
    </row>
    <row r="13" spans="1:18" x14ac:dyDescent="0.25">
      <c r="A13" s="772"/>
      <c r="B13" s="774"/>
      <c r="C13" s="162" t="s">
        <v>15</v>
      </c>
      <c r="D13" s="163">
        <v>0.1</v>
      </c>
      <c r="H13" s="164" t="s">
        <v>17</v>
      </c>
      <c r="I13" s="164" t="s">
        <v>20</v>
      </c>
      <c r="J13" s="164" t="s">
        <v>23</v>
      </c>
    </row>
    <row r="14" spans="1:18" x14ac:dyDescent="0.25">
      <c r="A14" s="772"/>
      <c r="B14" s="775" t="s">
        <v>363</v>
      </c>
      <c r="C14" s="162" t="s">
        <v>9</v>
      </c>
      <c r="D14" s="163">
        <v>0.25</v>
      </c>
      <c r="F14" s="165" t="s">
        <v>364</v>
      </c>
      <c r="H14" s="128" t="s">
        <v>18</v>
      </c>
      <c r="I14" s="128" t="s">
        <v>21</v>
      </c>
      <c r="J14" s="128" t="s">
        <v>365</v>
      </c>
    </row>
    <row r="15" spans="1:18" x14ac:dyDescent="0.25">
      <c r="A15" s="772"/>
      <c r="B15" s="775"/>
      <c r="C15" s="162" t="s">
        <v>8</v>
      </c>
      <c r="D15" s="163">
        <v>0.1</v>
      </c>
      <c r="F15" s="166" t="s">
        <v>366</v>
      </c>
      <c r="H15" s="128" t="s">
        <v>367</v>
      </c>
      <c r="I15" s="128" t="s">
        <v>22</v>
      </c>
      <c r="J15" s="128" t="s">
        <v>368</v>
      </c>
    </row>
    <row r="16" spans="1:18" x14ac:dyDescent="0.25">
      <c r="F16" s="166" t="s">
        <v>369</v>
      </c>
    </row>
    <row r="17" spans="1:6" x14ac:dyDescent="0.25">
      <c r="A17" s="772" t="s">
        <v>256</v>
      </c>
      <c r="B17" s="162" t="s">
        <v>370</v>
      </c>
      <c r="F17" s="166" t="s">
        <v>371</v>
      </c>
    </row>
    <row r="18" spans="1:6" x14ac:dyDescent="0.25">
      <c r="A18" s="772"/>
      <c r="B18" s="162" t="s">
        <v>27</v>
      </c>
      <c r="F18" s="166" t="s">
        <v>373</v>
      </c>
    </row>
    <row r="19" spans="1:6" x14ac:dyDescent="0.25">
      <c r="A19" s="772"/>
      <c r="B19" s="162" t="s">
        <v>372</v>
      </c>
      <c r="F19" s="166" t="s">
        <v>374</v>
      </c>
    </row>
    <row r="20" spans="1:6" x14ac:dyDescent="0.25">
      <c r="A20" s="772"/>
      <c r="B20" s="162" t="s">
        <v>28</v>
      </c>
      <c r="F20" s="166" t="s">
        <v>375</v>
      </c>
    </row>
    <row r="21" spans="1:6" x14ac:dyDescent="0.25">
      <c r="F21" s="166" t="s">
        <v>376</v>
      </c>
    </row>
    <row r="22" spans="1:6" x14ac:dyDescent="0.25">
      <c r="F22" s="166" t="s">
        <v>377</v>
      </c>
    </row>
    <row r="25" spans="1:6" ht="21" x14ac:dyDescent="0.25">
      <c r="C25" s="764" t="s">
        <v>183</v>
      </c>
      <c r="D25" s="764"/>
      <c r="E25" s="764"/>
    </row>
    <row r="26" spans="1:6" x14ac:dyDescent="0.25">
      <c r="C26" s="137" t="s">
        <v>330</v>
      </c>
      <c r="D26" t="s">
        <v>4</v>
      </c>
    </row>
    <row r="27" spans="1:6" ht="75" x14ac:dyDescent="0.25">
      <c r="C27" s="139" t="s">
        <v>333</v>
      </c>
      <c r="D27" s="140">
        <v>0.2</v>
      </c>
      <c r="E27" s="138" t="s">
        <v>37</v>
      </c>
    </row>
    <row r="28" spans="1:6" ht="60" x14ac:dyDescent="0.25">
      <c r="C28" s="139" t="s">
        <v>340</v>
      </c>
      <c r="D28" s="140">
        <v>0.4</v>
      </c>
      <c r="E28" s="147" t="s">
        <v>39</v>
      </c>
    </row>
    <row r="29" spans="1:6" ht="60" x14ac:dyDescent="0.25">
      <c r="C29" s="139" t="s">
        <v>345</v>
      </c>
      <c r="D29" s="140">
        <v>0.6</v>
      </c>
      <c r="E29" s="151" t="s">
        <v>91</v>
      </c>
    </row>
    <row r="30" spans="1:6" ht="90" x14ac:dyDescent="0.25">
      <c r="C30" s="139" t="s">
        <v>348</v>
      </c>
      <c r="D30" s="140">
        <v>0.8</v>
      </c>
      <c r="E30" s="148" t="s">
        <v>5</v>
      </c>
    </row>
    <row r="31" spans="1:6" ht="60" x14ac:dyDescent="0.25">
      <c r="C31" s="139" t="s">
        <v>353</v>
      </c>
      <c r="D31" s="140">
        <v>1</v>
      </c>
      <c r="E31" s="155" t="s">
        <v>40</v>
      </c>
    </row>
    <row r="34" spans="2:7" x14ac:dyDescent="0.25">
      <c r="B34" t="s">
        <v>378</v>
      </c>
    </row>
    <row r="35" spans="2:7" ht="25.5" x14ac:dyDescent="0.25">
      <c r="B35" s="130" t="s">
        <v>273</v>
      </c>
      <c r="F35" t="s">
        <v>379</v>
      </c>
    </row>
    <row r="36" spans="2:7" ht="25.5" x14ac:dyDescent="0.25">
      <c r="B36" s="130" t="s">
        <v>274</v>
      </c>
      <c r="F36" t="s">
        <v>380</v>
      </c>
      <c r="G36" t="s">
        <v>381</v>
      </c>
    </row>
    <row r="37" spans="2:7" x14ac:dyDescent="0.25">
      <c r="B37" s="130" t="s">
        <v>275</v>
      </c>
      <c r="E37" s="168"/>
      <c r="F37" t="s">
        <v>382</v>
      </c>
      <c r="G37" t="s">
        <v>383</v>
      </c>
    </row>
    <row r="38" spans="2:7" ht="25.5" x14ac:dyDescent="0.25">
      <c r="B38" s="130" t="s">
        <v>276</v>
      </c>
      <c r="D38" s="167"/>
      <c r="E38" s="168"/>
      <c r="F38" t="s">
        <v>384</v>
      </c>
      <c r="G38" t="s">
        <v>385</v>
      </c>
    </row>
    <row r="39" spans="2:7" ht="25.5" x14ac:dyDescent="0.25">
      <c r="B39" s="130" t="s">
        <v>277</v>
      </c>
      <c r="F39" t="s">
        <v>386</v>
      </c>
      <c r="G39" t="s">
        <v>387</v>
      </c>
    </row>
    <row r="40" spans="2:7" ht="25.5" x14ac:dyDescent="0.25">
      <c r="B40" s="130" t="s">
        <v>278</v>
      </c>
      <c r="F40" t="s">
        <v>388</v>
      </c>
      <c r="G40" t="s">
        <v>389</v>
      </c>
    </row>
    <row r="41" spans="2:7" x14ac:dyDescent="0.25">
      <c r="B41" s="130" t="s">
        <v>279</v>
      </c>
      <c r="F41" t="s">
        <v>390</v>
      </c>
      <c r="G41" t="s">
        <v>389</v>
      </c>
    </row>
    <row r="42" spans="2:7" x14ac:dyDescent="0.25">
      <c r="B42" s="130" t="s">
        <v>280</v>
      </c>
      <c r="F42" t="s">
        <v>391</v>
      </c>
      <c r="G42" t="s">
        <v>392</v>
      </c>
    </row>
    <row r="43" spans="2:7" x14ac:dyDescent="0.25">
      <c r="B43" s="130" t="s">
        <v>281</v>
      </c>
      <c r="F43" t="s">
        <v>393</v>
      </c>
      <c r="G43" t="s">
        <v>394</v>
      </c>
    </row>
    <row r="44" spans="2:7" x14ac:dyDescent="0.25">
      <c r="B44" s="130" t="s">
        <v>282</v>
      </c>
      <c r="F44" t="s">
        <v>395</v>
      </c>
      <c r="G44" t="s">
        <v>396</v>
      </c>
    </row>
    <row r="45" spans="2:7" x14ac:dyDescent="0.25">
      <c r="B45" s="130" t="s">
        <v>283</v>
      </c>
      <c r="F45" t="s">
        <v>397</v>
      </c>
      <c r="G45" t="s">
        <v>398</v>
      </c>
    </row>
    <row r="46" spans="2:7" x14ac:dyDescent="0.25">
      <c r="B46" s="130" t="s">
        <v>284</v>
      </c>
    </row>
    <row r="47" spans="2:7" ht="25.5" x14ac:dyDescent="0.25">
      <c r="B47" s="130" t="s">
        <v>285</v>
      </c>
    </row>
    <row r="48" spans="2:7" x14ac:dyDescent="0.25">
      <c r="B48" s="130" t="s">
        <v>286</v>
      </c>
    </row>
    <row r="49" spans="2:7" ht="25.5" x14ac:dyDescent="0.25">
      <c r="B49" s="130" t="s">
        <v>287</v>
      </c>
    </row>
    <row r="50" spans="2:7" x14ac:dyDescent="0.25">
      <c r="B50" s="130" t="s">
        <v>288</v>
      </c>
    </row>
    <row r="51" spans="2:7" x14ac:dyDescent="0.25">
      <c r="B51" s="130" t="s">
        <v>289</v>
      </c>
    </row>
    <row r="52" spans="2:7" ht="15.75" thickBot="1" x14ac:dyDescent="0.3">
      <c r="B52" s="130" t="s">
        <v>290</v>
      </c>
    </row>
    <row r="53" spans="2:7" ht="26.25" thickBot="1" x14ac:dyDescent="0.3">
      <c r="G53" s="169" t="s">
        <v>399</v>
      </c>
    </row>
    <row r="54" spans="2:7" ht="39" thickBot="1" x14ac:dyDescent="0.3">
      <c r="B54" s="170" t="s">
        <v>400</v>
      </c>
      <c r="C54" s="169" t="s">
        <v>399</v>
      </c>
      <c r="G54" s="170" t="s">
        <v>401</v>
      </c>
    </row>
    <row r="55" spans="2:7" ht="15.75" thickBot="1" x14ac:dyDescent="0.3">
      <c r="B55" s="171" t="s">
        <v>402</v>
      </c>
      <c r="C55" s="170" t="s">
        <v>403</v>
      </c>
      <c r="G55" s="172" t="s">
        <v>404</v>
      </c>
    </row>
    <row r="56" spans="2:7" ht="30" x14ac:dyDescent="0.25">
      <c r="B56" s="173" t="s">
        <v>405</v>
      </c>
      <c r="C56" s="171" t="s">
        <v>402</v>
      </c>
      <c r="G56" s="172" t="s">
        <v>406</v>
      </c>
    </row>
    <row r="57" spans="2:7" x14ac:dyDescent="0.25">
      <c r="B57" s="173" t="s">
        <v>407</v>
      </c>
      <c r="C57" s="173" t="s">
        <v>405</v>
      </c>
      <c r="G57" s="172" t="s">
        <v>408</v>
      </c>
    </row>
    <row r="58" spans="2:7" ht="30" x14ac:dyDescent="0.25">
      <c r="B58" s="174" t="s">
        <v>409</v>
      </c>
      <c r="C58" s="173" t="s">
        <v>407</v>
      </c>
      <c r="G58" s="172" t="s">
        <v>410</v>
      </c>
    </row>
    <row r="59" spans="2:7" ht="45" x14ac:dyDescent="0.25">
      <c r="B59" s="175" t="s">
        <v>411</v>
      </c>
      <c r="C59" s="174" t="s">
        <v>409</v>
      </c>
      <c r="G59" s="172" t="s">
        <v>412</v>
      </c>
    </row>
    <row r="60" spans="2:7" x14ac:dyDescent="0.25">
      <c r="B60" s="173" t="s">
        <v>413</v>
      </c>
      <c r="C60" s="175" t="s">
        <v>411</v>
      </c>
      <c r="G60" s="172" t="s">
        <v>414</v>
      </c>
    </row>
    <row r="61" spans="2:7" x14ac:dyDescent="0.25">
      <c r="B61" s="175" t="s">
        <v>415</v>
      </c>
      <c r="C61" s="173" t="s">
        <v>413</v>
      </c>
      <c r="G61" s="172" t="s">
        <v>416</v>
      </c>
    </row>
    <row r="62" spans="2:7" x14ac:dyDescent="0.25">
      <c r="B62" s="175" t="s">
        <v>417</v>
      </c>
      <c r="C62" s="175" t="s">
        <v>415</v>
      </c>
      <c r="G62" s="172" t="s">
        <v>418</v>
      </c>
    </row>
    <row r="63" spans="2:7" x14ac:dyDescent="0.25">
      <c r="B63" s="175" t="s">
        <v>419</v>
      </c>
      <c r="C63" s="173" t="s">
        <v>420</v>
      </c>
      <c r="G63" s="172" t="s">
        <v>421</v>
      </c>
    </row>
    <row r="64" spans="2:7" x14ac:dyDescent="0.25">
      <c r="B64" s="173" t="s">
        <v>420</v>
      </c>
      <c r="C64" s="173" t="s">
        <v>422</v>
      </c>
      <c r="G64" s="172" t="s">
        <v>423</v>
      </c>
    </row>
    <row r="65" spans="2:7" x14ac:dyDescent="0.25">
      <c r="B65" s="173" t="s">
        <v>424</v>
      </c>
      <c r="C65" s="173" t="s">
        <v>425</v>
      </c>
      <c r="G65" s="172" t="s">
        <v>426</v>
      </c>
    </row>
    <row r="66" spans="2:7" x14ac:dyDescent="0.25">
      <c r="B66" s="173" t="s">
        <v>422</v>
      </c>
      <c r="C66" s="173" t="s">
        <v>427</v>
      </c>
      <c r="G66" s="172" t="s">
        <v>428</v>
      </c>
    </row>
    <row r="67" spans="2:7" ht="45" x14ac:dyDescent="0.25">
      <c r="B67" s="173" t="s">
        <v>429</v>
      </c>
      <c r="C67" s="174" t="s">
        <v>430</v>
      </c>
      <c r="G67" s="172" t="s">
        <v>431</v>
      </c>
    </row>
    <row r="68" spans="2:7" x14ac:dyDescent="0.25">
      <c r="B68" s="173" t="s">
        <v>425</v>
      </c>
      <c r="C68" s="173" t="s">
        <v>432</v>
      </c>
      <c r="G68" s="172" t="s">
        <v>433</v>
      </c>
    </row>
    <row r="69" spans="2:7" x14ac:dyDescent="0.25">
      <c r="B69" s="173" t="s">
        <v>434</v>
      </c>
      <c r="C69" s="173" t="s">
        <v>435</v>
      </c>
      <c r="G69" s="172" t="s">
        <v>436</v>
      </c>
    </row>
    <row r="70" spans="2:7" x14ac:dyDescent="0.25">
      <c r="B70" s="173" t="s">
        <v>427</v>
      </c>
      <c r="C70" s="173" t="s">
        <v>437</v>
      </c>
      <c r="G70" s="172" t="s">
        <v>438</v>
      </c>
    </row>
    <row r="71" spans="2:7" ht="45" x14ac:dyDescent="0.25">
      <c r="B71" s="174" t="s">
        <v>430</v>
      </c>
      <c r="C71" s="173" t="s">
        <v>439</v>
      </c>
      <c r="G71" s="172" t="s">
        <v>440</v>
      </c>
    </row>
    <row r="72" spans="2:7" x14ac:dyDescent="0.25">
      <c r="B72" s="173" t="s">
        <v>441</v>
      </c>
      <c r="C72" s="173" t="s">
        <v>442</v>
      </c>
      <c r="G72" s="172" t="s">
        <v>443</v>
      </c>
    </row>
    <row r="73" spans="2:7" ht="30" x14ac:dyDescent="0.25">
      <c r="B73" s="174" t="s">
        <v>444</v>
      </c>
      <c r="C73" s="173" t="s">
        <v>445</v>
      </c>
      <c r="G73" s="172"/>
    </row>
    <row r="74" spans="2:7" x14ac:dyDescent="0.25">
      <c r="B74" s="173" t="s">
        <v>432</v>
      </c>
      <c r="C74" s="173" t="s">
        <v>446</v>
      </c>
      <c r="G74" s="172"/>
    </row>
    <row r="75" spans="2:7" ht="15.75" thickBot="1" x14ac:dyDescent="0.3">
      <c r="B75" s="173" t="s">
        <v>435</v>
      </c>
      <c r="C75" s="173" t="s">
        <v>447</v>
      </c>
      <c r="G75" s="172"/>
    </row>
    <row r="76" spans="2:7" ht="15.75" thickBot="1" x14ac:dyDescent="0.3">
      <c r="B76" s="173" t="s">
        <v>437</v>
      </c>
      <c r="C76" s="173" t="s">
        <v>448</v>
      </c>
      <c r="G76" s="169" t="s">
        <v>449</v>
      </c>
    </row>
    <row r="77" spans="2:7" ht="26.25" thickBot="1" x14ac:dyDescent="0.3">
      <c r="B77" s="173" t="s">
        <v>439</v>
      </c>
      <c r="C77" s="169" t="s">
        <v>449</v>
      </c>
      <c r="G77" s="170" t="s">
        <v>401</v>
      </c>
    </row>
    <row r="78" spans="2:7" ht="15.75" thickBot="1" x14ac:dyDescent="0.3">
      <c r="B78" s="173" t="s">
        <v>442</v>
      </c>
      <c r="C78" s="170" t="s">
        <v>403</v>
      </c>
      <c r="G78" s="172" t="s">
        <v>450</v>
      </c>
    </row>
    <row r="79" spans="2:7" ht="30" x14ac:dyDescent="0.25">
      <c r="B79" s="173" t="s">
        <v>445</v>
      </c>
      <c r="C79" s="171" t="s">
        <v>402</v>
      </c>
      <c r="G79" s="172" t="s">
        <v>451</v>
      </c>
    </row>
    <row r="80" spans="2:7" ht="45" x14ac:dyDescent="0.25">
      <c r="B80" s="173" t="s">
        <v>452</v>
      </c>
      <c r="C80" s="174" t="s">
        <v>409</v>
      </c>
      <c r="G80" s="172" t="s">
        <v>453</v>
      </c>
    </row>
    <row r="81" spans="2:7" x14ac:dyDescent="0.25">
      <c r="B81" s="173" t="s">
        <v>446</v>
      </c>
      <c r="C81" s="175" t="s">
        <v>411</v>
      </c>
      <c r="G81" s="172" t="s">
        <v>454</v>
      </c>
    </row>
    <row r="82" spans="2:7" x14ac:dyDescent="0.25">
      <c r="B82" s="173" t="s">
        <v>455</v>
      </c>
      <c r="C82" s="175" t="s">
        <v>415</v>
      </c>
      <c r="G82" s="172" t="s">
        <v>456</v>
      </c>
    </row>
    <row r="83" spans="2:7" x14ac:dyDescent="0.25">
      <c r="B83" s="173" t="s">
        <v>447</v>
      </c>
      <c r="C83" s="175" t="s">
        <v>417</v>
      </c>
      <c r="G83" s="172" t="s">
        <v>457</v>
      </c>
    </row>
    <row r="84" spans="2:7" x14ac:dyDescent="0.25">
      <c r="B84" s="173" t="s">
        <v>458</v>
      </c>
      <c r="C84" s="175" t="s">
        <v>419</v>
      </c>
      <c r="G84" s="172" t="s">
        <v>459</v>
      </c>
    </row>
    <row r="85" spans="2:7" x14ac:dyDescent="0.25">
      <c r="B85" s="173" t="s">
        <v>460</v>
      </c>
      <c r="C85" s="173" t="s">
        <v>424</v>
      </c>
      <c r="G85" s="172" t="s">
        <v>461</v>
      </c>
    </row>
    <row r="86" spans="2:7" x14ac:dyDescent="0.25">
      <c r="B86" s="173" t="s">
        <v>448</v>
      </c>
      <c r="C86" s="173" t="s">
        <v>422</v>
      </c>
      <c r="G86" s="172" t="s">
        <v>462</v>
      </c>
    </row>
    <row r="87" spans="2:7" x14ac:dyDescent="0.25">
      <c r="B87" s="173" t="s">
        <v>463</v>
      </c>
      <c r="C87" s="173" t="s">
        <v>429</v>
      </c>
      <c r="G87" s="172" t="s">
        <v>464</v>
      </c>
    </row>
    <row r="88" spans="2:7" x14ac:dyDescent="0.25">
      <c r="B88" s="173" t="s">
        <v>465</v>
      </c>
      <c r="C88" s="173" t="s">
        <v>425</v>
      </c>
      <c r="G88" s="172" t="s">
        <v>466</v>
      </c>
    </row>
    <row r="89" spans="2:7" ht="45" x14ac:dyDescent="0.25">
      <c r="B89" s="175" t="s">
        <v>467</v>
      </c>
      <c r="C89" s="174" t="s">
        <v>430</v>
      </c>
      <c r="G89" s="172" t="s">
        <v>468</v>
      </c>
    </row>
    <row r="90" spans="2:7" x14ac:dyDescent="0.25">
      <c r="C90" s="173" t="s">
        <v>441</v>
      </c>
      <c r="G90" s="172" t="s">
        <v>469</v>
      </c>
    </row>
    <row r="91" spans="2:7" ht="30" x14ac:dyDescent="0.25">
      <c r="C91" s="174" t="s">
        <v>444</v>
      </c>
      <c r="G91" s="172" t="s">
        <v>470</v>
      </c>
    </row>
    <row r="92" spans="2:7" x14ac:dyDescent="0.25">
      <c r="C92" s="173" t="s">
        <v>435</v>
      </c>
      <c r="G92" s="172" t="s">
        <v>471</v>
      </c>
    </row>
    <row r="93" spans="2:7" x14ac:dyDescent="0.25">
      <c r="C93" s="173" t="s">
        <v>437</v>
      </c>
      <c r="G93" s="172"/>
    </row>
    <row r="94" spans="2:7" x14ac:dyDescent="0.25">
      <c r="C94" s="173" t="s">
        <v>439</v>
      </c>
      <c r="G94" s="172"/>
    </row>
    <row r="95" spans="2:7" x14ac:dyDescent="0.25">
      <c r="C95" s="173" t="s">
        <v>445</v>
      </c>
      <c r="G95" s="172"/>
    </row>
    <row r="96" spans="2:7" x14ac:dyDescent="0.25">
      <c r="C96" s="173" t="s">
        <v>446</v>
      </c>
      <c r="G96" s="172"/>
    </row>
    <row r="97" spans="3:7" x14ac:dyDescent="0.25">
      <c r="C97" s="173" t="s">
        <v>455</v>
      </c>
      <c r="G97" s="172"/>
    </row>
    <row r="98" spans="3:7" ht="15.75" thickBot="1" x14ac:dyDescent="0.3">
      <c r="C98" s="173" t="s">
        <v>463</v>
      </c>
      <c r="G98" s="172"/>
    </row>
    <row r="99" spans="3:7" ht="15.75" thickBot="1" x14ac:dyDescent="0.3">
      <c r="C99" s="173" t="s">
        <v>465</v>
      </c>
      <c r="G99" s="169" t="s">
        <v>472</v>
      </c>
    </row>
    <row r="100" spans="3:7" ht="15.75" thickBot="1" x14ac:dyDescent="0.3">
      <c r="C100" s="169" t="s">
        <v>472</v>
      </c>
      <c r="G100" s="170" t="s">
        <v>401</v>
      </c>
    </row>
    <row r="101" spans="3:7" ht="15.75" thickBot="1" x14ac:dyDescent="0.3">
      <c r="C101" s="170" t="s">
        <v>403</v>
      </c>
      <c r="G101" s="172" t="s">
        <v>473</v>
      </c>
    </row>
    <row r="102" spans="3:7" ht="30" x14ac:dyDescent="0.25">
      <c r="C102" s="171" t="s">
        <v>402</v>
      </c>
      <c r="G102" s="172" t="s">
        <v>474</v>
      </c>
    </row>
    <row r="103" spans="3:7" x14ac:dyDescent="0.25">
      <c r="C103" s="173" t="s">
        <v>405</v>
      </c>
      <c r="G103" s="172" t="s">
        <v>475</v>
      </c>
    </row>
    <row r="104" spans="3:7" x14ac:dyDescent="0.25">
      <c r="C104" s="173" t="s">
        <v>407</v>
      </c>
      <c r="G104" s="172" t="s">
        <v>476</v>
      </c>
    </row>
    <row r="105" spans="3:7" ht="45" x14ac:dyDescent="0.25">
      <c r="C105" s="174" t="s">
        <v>409</v>
      </c>
      <c r="G105" s="172" t="s">
        <v>477</v>
      </c>
    </row>
    <row r="106" spans="3:7" x14ac:dyDescent="0.25">
      <c r="C106" s="175" t="s">
        <v>415</v>
      </c>
      <c r="G106" s="172" t="s">
        <v>478</v>
      </c>
    </row>
    <row r="107" spans="3:7" x14ac:dyDescent="0.25">
      <c r="C107" s="173" t="s">
        <v>420</v>
      </c>
      <c r="G107" s="172" t="s">
        <v>479</v>
      </c>
    </row>
    <row r="108" spans="3:7" x14ac:dyDescent="0.25">
      <c r="C108" s="173" t="s">
        <v>422</v>
      </c>
      <c r="G108" s="172" t="s">
        <v>480</v>
      </c>
    </row>
    <row r="109" spans="3:7" x14ac:dyDescent="0.25">
      <c r="C109" s="173" t="s">
        <v>425</v>
      </c>
      <c r="G109" s="172" t="s">
        <v>481</v>
      </c>
    </row>
    <row r="110" spans="3:7" x14ac:dyDescent="0.25">
      <c r="C110" s="173" t="s">
        <v>427</v>
      </c>
      <c r="G110" s="172" t="s">
        <v>482</v>
      </c>
    </row>
    <row r="111" spans="3:7" ht="45" x14ac:dyDescent="0.25">
      <c r="C111" s="174" t="s">
        <v>430</v>
      </c>
      <c r="G111" s="172" t="s">
        <v>483</v>
      </c>
    </row>
    <row r="112" spans="3:7" x14ac:dyDescent="0.25">
      <c r="C112" s="173" t="s">
        <v>441</v>
      </c>
      <c r="G112" s="172" t="s">
        <v>484</v>
      </c>
    </row>
    <row r="113" spans="3:7" ht="30" x14ac:dyDescent="0.25">
      <c r="C113" s="174" t="s">
        <v>444</v>
      </c>
      <c r="G113" s="172" t="s">
        <v>485</v>
      </c>
    </row>
    <row r="114" spans="3:7" x14ac:dyDescent="0.25">
      <c r="C114" s="173" t="s">
        <v>432</v>
      </c>
      <c r="G114" s="172" t="s">
        <v>486</v>
      </c>
    </row>
    <row r="115" spans="3:7" x14ac:dyDescent="0.25">
      <c r="C115" s="173" t="s">
        <v>435</v>
      </c>
      <c r="G115" s="172" t="s">
        <v>487</v>
      </c>
    </row>
    <row r="116" spans="3:7" x14ac:dyDescent="0.25">
      <c r="C116" s="173" t="s">
        <v>437</v>
      </c>
      <c r="G116" s="172"/>
    </row>
    <row r="117" spans="3:7" x14ac:dyDescent="0.25">
      <c r="C117" s="173" t="s">
        <v>442</v>
      </c>
      <c r="G117" s="172"/>
    </row>
    <row r="118" spans="3:7" x14ac:dyDescent="0.25">
      <c r="C118" s="173" t="s">
        <v>445</v>
      </c>
      <c r="G118" s="172"/>
    </row>
    <row r="119" spans="3:7" x14ac:dyDescent="0.25">
      <c r="C119" s="173" t="s">
        <v>446</v>
      </c>
      <c r="G119" s="172"/>
    </row>
    <row r="120" spans="3:7" x14ac:dyDescent="0.25">
      <c r="C120" s="173" t="s">
        <v>455</v>
      </c>
      <c r="G120" s="172"/>
    </row>
    <row r="121" spans="3:7" ht="15.75" thickBot="1" x14ac:dyDescent="0.3">
      <c r="C121" s="173" t="s">
        <v>447</v>
      </c>
      <c r="G121" s="172"/>
    </row>
    <row r="122" spans="3:7" ht="15.75" thickBot="1" x14ac:dyDescent="0.3">
      <c r="C122" s="173" t="s">
        <v>448</v>
      </c>
      <c r="G122" s="169" t="s">
        <v>488</v>
      </c>
    </row>
    <row r="123" spans="3:7" ht="26.25" thickBot="1" x14ac:dyDescent="0.3">
      <c r="C123" s="169" t="s">
        <v>488</v>
      </c>
      <c r="G123" s="170" t="s">
        <v>401</v>
      </c>
    </row>
    <row r="124" spans="3:7" ht="15.75" thickBot="1" x14ac:dyDescent="0.3">
      <c r="C124" s="170" t="s">
        <v>403</v>
      </c>
      <c r="G124" s="172" t="s">
        <v>489</v>
      </c>
    </row>
    <row r="125" spans="3:7" ht="30" x14ac:dyDescent="0.25">
      <c r="C125" s="171" t="s">
        <v>402</v>
      </c>
      <c r="G125" s="172" t="s">
        <v>490</v>
      </c>
    </row>
    <row r="126" spans="3:7" ht="45" x14ac:dyDescent="0.25">
      <c r="C126" s="174" t="s">
        <v>409</v>
      </c>
      <c r="G126" s="172" t="s">
        <v>491</v>
      </c>
    </row>
    <row r="127" spans="3:7" x14ac:dyDescent="0.25">
      <c r="C127" s="175" t="s">
        <v>411</v>
      </c>
      <c r="G127" s="172" t="s">
        <v>492</v>
      </c>
    </row>
    <row r="128" spans="3:7" x14ac:dyDescent="0.25">
      <c r="C128" s="173" t="s">
        <v>413</v>
      </c>
      <c r="G128" s="172" t="s">
        <v>493</v>
      </c>
    </row>
    <row r="129" spans="3:7" x14ac:dyDescent="0.25">
      <c r="C129" s="175" t="s">
        <v>415</v>
      </c>
      <c r="G129" s="172" t="s">
        <v>494</v>
      </c>
    </row>
    <row r="130" spans="3:7" x14ac:dyDescent="0.25">
      <c r="C130" s="175" t="s">
        <v>417</v>
      </c>
      <c r="G130" s="172" t="s">
        <v>495</v>
      </c>
    </row>
    <row r="131" spans="3:7" x14ac:dyDescent="0.25">
      <c r="C131" s="173" t="s">
        <v>424</v>
      </c>
      <c r="G131" s="172" t="s">
        <v>496</v>
      </c>
    </row>
    <row r="132" spans="3:7" x14ac:dyDescent="0.25">
      <c r="C132" s="173" t="s">
        <v>422</v>
      </c>
      <c r="G132" s="172" t="s">
        <v>462</v>
      </c>
    </row>
    <row r="133" spans="3:7" x14ac:dyDescent="0.25">
      <c r="C133" s="173" t="s">
        <v>429</v>
      </c>
      <c r="G133" s="172" t="s">
        <v>497</v>
      </c>
    </row>
    <row r="134" spans="3:7" x14ac:dyDescent="0.25">
      <c r="C134" s="173" t="s">
        <v>425</v>
      </c>
      <c r="G134" s="172" t="s">
        <v>486</v>
      </c>
    </row>
    <row r="135" spans="3:7" ht="45" x14ac:dyDescent="0.25">
      <c r="C135" s="174" t="s">
        <v>430</v>
      </c>
      <c r="G135" s="172"/>
    </row>
    <row r="136" spans="3:7" ht="30" x14ac:dyDescent="0.25">
      <c r="C136" s="174" t="s">
        <v>444</v>
      </c>
      <c r="G136" s="172"/>
    </row>
    <row r="137" spans="3:7" x14ac:dyDescent="0.25">
      <c r="C137" s="173" t="s">
        <v>432</v>
      </c>
      <c r="G137" s="172"/>
    </row>
    <row r="138" spans="3:7" x14ac:dyDescent="0.25">
      <c r="C138" s="173" t="s">
        <v>435</v>
      </c>
      <c r="G138" s="172"/>
    </row>
    <row r="139" spans="3:7" x14ac:dyDescent="0.25">
      <c r="C139" s="173" t="s">
        <v>437</v>
      </c>
      <c r="G139" s="172"/>
    </row>
    <row r="140" spans="3:7" x14ac:dyDescent="0.25">
      <c r="C140" s="173" t="s">
        <v>439</v>
      </c>
      <c r="G140" s="172"/>
    </row>
    <row r="141" spans="3:7" x14ac:dyDescent="0.25">
      <c r="C141" s="173" t="s">
        <v>442</v>
      </c>
      <c r="G141" s="172"/>
    </row>
    <row r="142" spans="3:7" x14ac:dyDescent="0.25">
      <c r="C142" s="173" t="s">
        <v>445</v>
      </c>
      <c r="G142" s="172"/>
    </row>
    <row r="143" spans="3:7" x14ac:dyDescent="0.25">
      <c r="C143" s="175" t="s">
        <v>467</v>
      </c>
      <c r="G143" s="172"/>
    </row>
    <row r="144" spans="3:7" ht="15.75" thickBot="1" x14ac:dyDescent="0.3">
      <c r="C144" s="176"/>
      <c r="G144" s="172"/>
    </row>
    <row r="145" spans="3:7" ht="15.75" thickBot="1" x14ac:dyDescent="0.3">
      <c r="C145" s="177"/>
      <c r="G145" s="169" t="s">
        <v>498</v>
      </c>
    </row>
    <row r="146" spans="3:7" ht="15.75" thickBot="1" x14ac:dyDescent="0.3">
      <c r="C146" s="169" t="s">
        <v>498</v>
      </c>
      <c r="G146" s="170" t="s">
        <v>401</v>
      </c>
    </row>
    <row r="147" spans="3:7" ht="15.75" thickBot="1" x14ac:dyDescent="0.3">
      <c r="C147" s="170" t="s">
        <v>403</v>
      </c>
      <c r="G147" s="172" t="s">
        <v>489</v>
      </c>
    </row>
    <row r="148" spans="3:7" ht="30" x14ac:dyDescent="0.25">
      <c r="C148" s="171" t="s">
        <v>402</v>
      </c>
      <c r="G148" s="172" t="s">
        <v>490</v>
      </c>
    </row>
    <row r="149" spans="3:7" ht="45" x14ac:dyDescent="0.25">
      <c r="C149" s="174" t="s">
        <v>409</v>
      </c>
      <c r="G149" s="172" t="s">
        <v>491</v>
      </c>
    </row>
    <row r="150" spans="3:7" x14ac:dyDescent="0.25">
      <c r="C150" s="175" t="s">
        <v>411</v>
      </c>
      <c r="G150" s="172" t="s">
        <v>499</v>
      </c>
    </row>
    <row r="151" spans="3:7" x14ac:dyDescent="0.25">
      <c r="C151" s="175" t="s">
        <v>415</v>
      </c>
      <c r="G151" s="172" t="s">
        <v>462</v>
      </c>
    </row>
    <row r="152" spans="3:7" x14ac:dyDescent="0.25">
      <c r="C152" s="175" t="s">
        <v>417</v>
      </c>
      <c r="G152" s="172" t="s">
        <v>500</v>
      </c>
    </row>
    <row r="153" spans="3:7" x14ac:dyDescent="0.25">
      <c r="C153" s="175" t="s">
        <v>419</v>
      </c>
      <c r="G153" s="172" t="s">
        <v>486</v>
      </c>
    </row>
    <row r="154" spans="3:7" x14ac:dyDescent="0.25">
      <c r="C154" s="173" t="s">
        <v>424</v>
      </c>
      <c r="G154" s="172" t="s">
        <v>501</v>
      </c>
    </row>
    <row r="155" spans="3:7" x14ac:dyDescent="0.25">
      <c r="C155" s="173" t="s">
        <v>422</v>
      </c>
      <c r="G155" s="172"/>
    </row>
    <row r="156" spans="3:7" x14ac:dyDescent="0.25">
      <c r="C156" s="173" t="s">
        <v>429</v>
      </c>
      <c r="G156" s="172"/>
    </row>
    <row r="157" spans="3:7" x14ac:dyDescent="0.25">
      <c r="C157" s="173" t="s">
        <v>425</v>
      </c>
      <c r="G157" s="172"/>
    </row>
    <row r="158" spans="3:7" ht="45" x14ac:dyDescent="0.25">
      <c r="C158" s="174" t="s">
        <v>430</v>
      </c>
      <c r="G158" s="172"/>
    </row>
    <row r="159" spans="3:7" x14ac:dyDescent="0.25">
      <c r="C159" s="173" t="s">
        <v>441</v>
      </c>
      <c r="G159" s="172"/>
    </row>
    <row r="160" spans="3:7" ht="30" x14ac:dyDescent="0.25">
      <c r="C160" s="174" t="s">
        <v>444</v>
      </c>
      <c r="G160" s="172"/>
    </row>
    <row r="161" spans="3:7" x14ac:dyDescent="0.25">
      <c r="C161" s="173" t="s">
        <v>432</v>
      </c>
      <c r="G161" s="172"/>
    </row>
    <row r="162" spans="3:7" x14ac:dyDescent="0.25">
      <c r="C162" s="173" t="s">
        <v>437</v>
      </c>
      <c r="G162" s="172"/>
    </row>
    <row r="163" spans="3:7" x14ac:dyDescent="0.25">
      <c r="C163" s="173" t="s">
        <v>439</v>
      </c>
      <c r="G163" s="172"/>
    </row>
    <row r="164" spans="3:7" x14ac:dyDescent="0.25">
      <c r="C164" s="173" t="s">
        <v>445</v>
      </c>
      <c r="G164" s="172"/>
    </row>
    <row r="165" spans="3:7" x14ac:dyDescent="0.25">
      <c r="C165" s="173" t="s">
        <v>446</v>
      </c>
      <c r="G165" s="172"/>
    </row>
    <row r="166" spans="3:7" x14ac:dyDescent="0.25">
      <c r="C166" s="173" t="s">
        <v>463</v>
      </c>
      <c r="G166" s="172"/>
    </row>
    <row r="167" spans="3:7" ht="15.75" thickBot="1" x14ac:dyDescent="0.3">
      <c r="C167" s="175" t="s">
        <v>467</v>
      </c>
      <c r="G167" s="172"/>
    </row>
    <row r="168" spans="3:7" ht="15.75" thickBot="1" x14ac:dyDescent="0.3">
      <c r="C168" s="177"/>
      <c r="G168" s="169" t="s">
        <v>502</v>
      </c>
    </row>
    <row r="169" spans="3:7" ht="26.25" thickBot="1" x14ac:dyDescent="0.3">
      <c r="C169" s="169" t="s">
        <v>502</v>
      </c>
      <c r="G169" s="170" t="s">
        <v>401</v>
      </c>
    </row>
    <row r="170" spans="3:7" ht="15.75" thickBot="1" x14ac:dyDescent="0.3">
      <c r="C170" s="170" t="s">
        <v>403</v>
      </c>
      <c r="G170" s="172" t="s">
        <v>503</v>
      </c>
    </row>
    <row r="171" spans="3:7" ht="30" x14ac:dyDescent="0.25">
      <c r="C171" s="171" t="s">
        <v>402</v>
      </c>
      <c r="G171" s="172" t="s">
        <v>504</v>
      </c>
    </row>
    <row r="172" spans="3:7" x14ac:dyDescent="0.25">
      <c r="C172" s="173" t="s">
        <v>405</v>
      </c>
      <c r="G172" s="172" t="s">
        <v>505</v>
      </c>
    </row>
    <row r="173" spans="3:7" x14ac:dyDescent="0.25">
      <c r="C173" s="173" t="s">
        <v>407</v>
      </c>
      <c r="G173" s="172" t="s">
        <v>506</v>
      </c>
    </row>
    <row r="174" spans="3:7" x14ac:dyDescent="0.25">
      <c r="C174" s="175" t="s">
        <v>415</v>
      </c>
      <c r="G174" s="172" t="s">
        <v>507</v>
      </c>
    </row>
    <row r="175" spans="3:7" x14ac:dyDescent="0.25">
      <c r="C175" s="175" t="s">
        <v>417</v>
      </c>
      <c r="G175" s="172" t="s">
        <v>508</v>
      </c>
    </row>
    <row r="176" spans="3:7" x14ac:dyDescent="0.25">
      <c r="C176" s="175" t="s">
        <v>419</v>
      </c>
      <c r="G176" s="172" t="s">
        <v>509</v>
      </c>
    </row>
    <row r="177" spans="3:7" x14ac:dyDescent="0.25">
      <c r="C177" s="173" t="s">
        <v>424</v>
      </c>
      <c r="G177" s="172" t="s">
        <v>510</v>
      </c>
    </row>
    <row r="178" spans="3:7" x14ac:dyDescent="0.25">
      <c r="C178" s="173" t="s">
        <v>422</v>
      </c>
      <c r="G178" s="172" t="s">
        <v>511</v>
      </c>
    </row>
    <row r="179" spans="3:7" x14ac:dyDescent="0.25">
      <c r="C179" s="173" t="s">
        <v>429</v>
      </c>
      <c r="G179" s="172" t="s">
        <v>486</v>
      </c>
    </row>
    <row r="180" spans="3:7" x14ac:dyDescent="0.25">
      <c r="C180" s="173" t="s">
        <v>434</v>
      </c>
      <c r="G180" s="172" t="s">
        <v>512</v>
      </c>
    </row>
    <row r="181" spans="3:7" x14ac:dyDescent="0.25">
      <c r="C181" s="173" t="s">
        <v>445</v>
      </c>
      <c r="G181" s="172" t="s">
        <v>513</v>
      </c>
    </row>
    <row r="182" spans="3:7" x14ac:dyDescent="0.25">
      <c r="C182" s="173" t="s">
        <v>452</v>
      </c>
      <c r="G182" s="172" t="s">
        <v>514</v>
      </c>
    </row>
    <row r="183" spans="3:7" x14ac:dyDescent="0.25">
      <c r="C183" s="173" t="s">
        <v>447</v>
      </c>
      <c r="G183" s="172" t="s">
        <v>515</v>
      </c>
    </row>
    <row r="184" spans="3:7" x14ac:dyDescent="0.25">
      <c r="C184" s="173" t="s">
        <v>458</v>
      </c>
      <c r="G184" s="172"/>
    </row>
    <row r="185" spans="3:7" x14ac:dyDescent="0.25">
      <c r="C185" s="173" t="s">
        <v>460</v>
      </c>
      <c r="G185" s="172"/>
    </row>
    <row r="186" spans="3:7" x14ac:dyDescent="0.25">
      <c r="C186" s="173" t="s">
        <v>448</v>
      </c>
      <c r="G186" s="172"/>
    </row>
    <row r="187" spans="3:7" x14ac:dyDescent="0.25">
      <c r="C187" s="173" t="s">
        <v>463</v>
      </c>
      <c r="G187" s="172"/>
    </row>
    <row r="188" spans="3:7" x14ac:dyDescent="0.25">
      <c r="C188" s="173" t="s">
        <v>465</v>
      </c>
      <c r="G188" s="172"/>
    </row>
    <row r="189" spans="3:7" x14ac:dyDescent="0.25">
      <c r="C189" s="175" t="s">
        <v>467</v>
      </c>
      <c r="G189" s="172"/>
    </row>
    <row r="190" spans="3:7" ht="15.75" thickBot="1" x14ac:dyDescent="0.3">
      <c r="C190" s="176"/>
      <c r="G190" s="172"/>
    </row>
    <row r="191" spans="3:7" ht="15.75" thickBot="1" x14ac:dyDescent="0.3">
      <c r="C191" s="177"/>
      <c r="G191" s="169" t="s">
        <v>516</v>
      </c>
    </row>
    <row r="192" spans="3:7" ht="26.25" thickBot="1" x14ac:dyDescent="0.3">
      <c r="C192" s="169" t="s">
        <v>516</v>
      </c>
      <c r="G192" s="170" t="s">
        <v>401</v>
      </c>
    </row>
    <row r="193" spans="3:7" ht="15.75" thickBot="1" x14ac:dyDescent="0.3">
      <c r="C193" s="170" t="s">
        <v>403</v>
      </c>
      <c r="G193" s="172" t="s">
        <v>517</v>
      </c>
    </row>
    <row r="194" spans="3:7" ht="30" x14ac:dyDescent="0.25">
      <c r="C194" s="171" t="s">
        <v>402</v>
      </c>
      <c r="G194" s="172" t="s">
        <v>518</v>
      </c>
    </row>
    <row r="195" spans="3:7" x14ac:dyDescent="0.25">
      <c r="C195" s="173" t="s">
        <v>405</v>
      </c>
      <c r="G195" s="172" t="s">
        <v>519</v>
      </c>
    </row>
    <row r="196" spans="3:7" x14ac:dyDescent="0.25">
      <c r="C196" s="173" t="s">
        <v>407</v>
      </c>
      <c r="G196" s="172" t="s">
        <v>520</v>
      </c>
    </row>
    <row r="197" spans="3:7" ht="45" x14ac:dyDescent="0.25">
      <c r="C197" s="174" t="s">
        <v>409</v>
      </c>
      <c r="G197" s="172" t="s">
        <v>521</v>
      </c>
    </row>
    <row r="198" spans="3:7" x14ac:dyDescent="0.25">
      <c r="C198" s="175" t="s">
        <v>411</v>
      </c>
      <c r="G198" s="172" t="s">
        <v>522</v>
      </c>
    </row>
    <row r="199" spans="3:7" x14ac:dyDescent="0.25">
      <c r="C199" s="173" t="s">
        <v>413</v>
      </c>
      <c r="G199" s="172" t="s">
        <v>523</v>
      </c>
    </row>
    <row r="200" spans="3:7" x14ac:dyDescent="0.25">
      <c r="C200" s="175" t="s">
        <v>415</v>
      </c>
      <c r="G200" s="172" t="s">
        <v>524</v>
      </c>
    </row>
    <row r="201" spans="3:7" x14ac:dyDescent="0.25">
      <c r="C201" s="175" t="s">
        <v>417</v>
      </c>
      <c r="G201" s="172" t="s">
        <v>511</v>
      </c>
    </row>
    <row r="202" spans="3:7" x14ac:dyDescent="0.25">
      <c r="C202" s="175" t="s">
        <v>419</v>
      </c>
      <c r="G202" s="172" t="s">
        <v>525</v>
      </c>
    </row>
    <row r="203" spans="3:7" x14ac:dyDescent="0.25">
      <c r="C203" s="173" t="s">
        <v>420</v>
      </c>
      <c r="G203" s="172" t="s">
        <v>526</v>
      </c>
    </row>
    <row r="204" spans="3:7" x14ac:dyDescent="0.25">
      <c r="C204" s="173" t="s">
        <v>424</v>
      </c>
      <c r="G204" s="172" t="s">
        <v>527</v>
      </c>
    </row>
    <row r="205" spans="3:7" x14ac:dyDescent="0.25">
      <c r="C205" s="173" t="s">
        <v>422</v>
      </c>
      <c r="G205" s="172" t="s">
        <v>528</v>
      </c>
    </row>
    <row r="206" spans="3:7" x14ac:dyDescent="0.25">
      <c r="C206" s="173" t="s">
        <v>429</v>
      </c>
      <c r="G206" s="172" t="s">
        <v>491</v>
      </c>
    </row>
    <row r="207" spans="3:7" x14ac:dyDescent="0.25">
      <c r="C207" s="173" t="s">
        <v>425</v>
      </c>
      <c r="G207" s="172" t="s">
        <v>529</v>
      </c>
    </row>
    <row r="208" spans="3:7" x14ac:dyDescent="0.25">
      <c r="C208" s="173" t="s">
        <v>427</v>
      </c>
      <c r="G208" s="172" t="s">
        <v>530</v>
      </c>
    </row>
    <row r="209" spans="3:7" ht="30" x14ac:dyDescent="0.25">
      <c r="C209" s="174" t="s">
        <v>444</v>
      </c>
      <c r="G209" s="172" t="s">
        <v>509</v>
      </c>
    </row>
    <row r="210" spans="3:7" x14ac:dyDescent="0.25">
      <c r="C210" s="173" t="s">
        <v>435</v>
      </c>
      <c r="G210" s="172" t="s">
        <v>486</v>
      </c>
    </row>
    <row r="211" spans="3:7" x14ac:dyDescent="0.25">
      <c r="C211" s="173" t="s">
        <v>442</v>
      </c>
      <c r="G211" s="172"/>
    </row>
    <row r="212" spans="3:7" x14ac:dyDescent="0.25">
      <c r="C212" s="173" t="s">
        <v>446</v>
      </c>
      <c r="G212" s="172"/>
    </row>
    <row r="213" spans="3:7" ht="15.75" thickBot="1" x14ac:dyDescent="0.3">
      <c r="C213" s="175" t="s">
        <v>467</v>
      </c>
      <c r="G213" s="172"/>
    </row>
    <row r="214" spans="3:7" ht="15.75" thickBot="1" x14ac:dyDescent="0.3">
      <c r="C214" s="177"/>
      <c r="G214" s="169" t="s">
        <v>531</v>
      </c>
    </row>
    <row r="215" spans="3:7" ht="26.25" thickBot="1" x14ac:dyDescent="0.3">
      <c r="C215" s="169" t="s">
        <v>531</v>
      </c>
      <c r="G215" s="170" t="s">
        <v>401</v>
      </c>
    </row>
    <row r="216" spans="3:7" ht="15.75" thickBot="1" x14ac:dyDescent="0.3">
      <c r="C216" s="170" t="s">
        <v>403</v>
      </c>
      <c r="G216" s="172" t="s">
        <v>517</v>
      </c>
    </row>
    <row r="217" spans="3:7" ht="30" x14ac:dyDescent="0.25">
      <c r="C217" s="171" t="s">
        <v>402</v>
      </c>
      <c r="G217" s="172" t="s">
        <v>518</v>
      </c>
    </row>
    <row r="218" spans="3:7" ht="45" x14ac:dyDescent="0.25">
      <c r="C218" s="174" t="s">
        <v>409</v>
      </c>
      <c r="G218" s="172" t="s">
        <v>519</v>
      </c>
    </row>
    <row r="219" spans="3:7" x14ac:dyDescent="0.25">
      <c r="C219" s="175" t="s">
        <v>411</v>
      </c>
      <c r="G219" s="172" t="s">
        <v>520</v>
      </c>
    </row>
    <row r="220" spans="3:7" x14ac:dyDescent="0.25">
      <c r="C220" s="175" t="s">
        <v>415</v>
      </c>
      <c r="G220" s="172" t="s">
        <v>521</v>
      </c>
    </row>
    <row r="221" spans="3:7" x14ac:dyDescent="0.25">
      <c r="C221" s="175" t="s">
        <v>417</v>
      </c>
      <c r="G221" s="172" t="s">
        <v>522</v>
      </c>
    </row>
    <row r="222" spans="3:7" x14ac:dyDescent="0.25">
      <c r="C222" s="175" t="s">
        <v>419</v>
      </c>
      <c r="G222" s="172" t="s">
        <v>523</v>
      </c>
    </row>
    <row r="223" spans="3:7" x14ac:dyDescent="0.25">
      <c r="C223" s="173" t="s">
        <v>422</v>
      </c>
      <c r="G223" s="172" t="s">
        <v>524</v>
      </c>
    </row>
    <row r="224" spans="3:7" x14ac:dyDescent="0.25">
      <c r="C224" s="173" t="s">
        <v>429</v>
      </c>
      <c r="G224" s="172" t="s">
        <v>511</v>
      </c>
    </row>
    <row r="225" spans="3:7" x14ac:dyDescent="0.25">
      <c r="C225" s="173" t="s">
        <v>425</v>
      </c>
      <c r="G225" s="172" t="s">
        <v>525</v>
      </c>
    </row>
    <row r="226" spans="3:7" x14ac:dyDescent="0.25">
      <c r="C226" s="173" t="s">
        <v>427</v>
      </c>
      <c r="G226" s="172" t="s">
        <v>526</v>
      </c>
    </row>
    <row r="227" spans="3:7" ht="45" x14ac:dyDescent="0.25">
      <c r="C227" s="174" t="s">
        <v>430</v>
      </c>
      <c r="G227" s="172" t="s">
        <v>527</v>
      </c>
    </row>
    <row r="228" spans="3:7" x14ac:dyDescent="0.25">
      <c r="C228" s="173" t="s">
        <v>441</v>
      </c>
      <c r="G228" s="172" t="s">
        <v>528</v>
      </c>
    </row>
    <row r="229" spans="3:7" ht="30" x14ac:dyDescent="0.25">
      <c r="C229" s="174" t="s">
        <v>444</v>
      </c>
      <c r="G229" s="172" t="s">
        <v>491</v>
      </c>
    </row>
    <row r="230" spans="3:7" x14ac:dyDescent="0.25">
      <c r="C230" s="173" t="s">
        <v>435</v>
      </c>
      <c r="G230" s="172" t="s">
        <v>529</v>
      </c>
    </row>
    <row r="231" spans="3:7" x14ac:dyDescent="0.25">
      <c r="C231" s="173" t="s">
        <v>437</v>
      </c>
      <c r="G231" s="172" t="s">
        <v>530</v>
      </c>
    </row>
    <row r="232" spans="3:7" x14ac:dyDescent="0.25">
      <c r="C232" s="173" t="s">
        <v>439</v>
      </c>
      <c r="G232" s="172" t="s">
        <v>509</v>
      </c>
    </row>
    <row r="233" spans="3:7" x14ac:dyDescent="0.25">
      <c r="C233" s="173" t="s">
        <v>445</v>
      </c>
      <c r="G233" s="172" t="s">
        <v>486</v>
      </c>
    </row>
    <row r="234" spans="3:7" x14ac:dyDescent="0.25">
      <c r="C234" s="173" t="s">
        <v>446</v>
      </c>
      <c r="G234" s="172"/>
    </row>
    <row r="235" spans="3:7" x14ac:dyDescent="0.25">
      <c r="C235" s="173" t="s">
        <v>455</v>
      </c>
      <c r="G235" s="172"/>
    </row>
    <row r="236" spans="3:7" ht="15.75" thickBot="1" x14ac:dyDescent="0.3">
      <c r="C236" s="173" t="s">
        <v>447</v>
      </c>
      <c r="G236" s="172"/>
    </row>
    <row r="237" spans="3:7" ht="15.75" thickBot="1" x14ac:dyDescent="0.3">
      <c r="C237" s="178"/>
      <c r="G237" s="169" t="s">
        <v>532</v>
      </c>
    </row>
    <row r="238" spans="3:7" ht="15.75" thickBot="1" x14ac:dyDescent="0.3">
      <c r="C238" s="169" t="s">
        <v>532</v>
      </c>
      <c r="G238" s="170" t="s">
        <v>401</v>
      </c>
    </row>
    <row r="239" spans="3:7" ht="15.75" thickBot="1" x14ac:dyDescent="0.3">
      <c r="C239" s="170" t="s">
        <v>403</v>
      </c>
      <c r="G239" s="172" t="s">
        <v>450</v>
      </c>
    </row>
    <row r="240" spans="3:7" ht="30" x14ac:dyDescent="0.25">
      <c r="C240" s="171" t="s">
        <v>402</v>
      </c>
      <c r="G240" s="172" t="s">
        <v>451</v>
      </c>
    </row>
    <row r="241" spans="3:7" x14ac:dyDescent="0.25">
      <c r="C241" s="173" t="s">
        <v>405</v>
      </c>
      <c r="G241" s="172" t="s">
        <v>453</v>
      </c>
    </row>
    <row r="242" spans="3:7" x14ac:dyDescent="0.25">
      <c r="C242" s="173" t="s">
        <v>407</v>
      </c>
      <c r="G242" s="172" t="s">
        <v>454</v>
      </c>
    </row>
    <row r="243" spans="3:7" ht="45" x14ac:dyDescent="0.25">
      <c r="C243" s="174" t="s">
        <v>409</v>
      </c>
      <c r="G243" s="172" t="s">
        <v>456</v>
      </c>
    </row>
    <row r="244" spans="3:7" x14ac:dyDescent="0.25">
      <c r="C244" s="175" t="s">
        <v>411</v>
      </c>
      <c r="G244" s="172" t="s">
        <v>457</v>
      </c>
    </row>
    <row r="245" spans="3:7" x14ac:dyDescent="0.25">
      <c r="C245" s="173" t="s">
        <v>413</v>
      </c>
      <c r="G245" s="172" t="s">
        <v>459</v>
      </c>
    </row>
    <row r="246" spans="3:7" x14ac:dyDescent="0.25">
      <c r="C246" s="175" t="s">
        <v>415</v>
      </c>
      <c r="G246" s="172" t="s">
        <v>461</v>
      </c>
    </row>
    <row r="247" spans="3:7" x14ac:dyDescent="0.25">
      <c r="C247" s="173" t="s">
        <v>420</v>
      </c>
      <c r="G247" s="172" t="s">
        <v>462</v>
      </c>
    </row>
    <row r="248" spans="3:7" x14ac:dyDescent="0.25">
      <c r="C248" s="173" t="s">
        <v>424</v>
      </c>
      <c r="G248" s="172" t="s">
        <v>464</v>
      </c>
    </row>
    <row r="249" spans="3:7" x14ac:dyDescent="0.25">
      <c r="C249" s="173" t="s">
        <v>422</v>
      </c>
      <c r="G249" s="172" t="s">
        <v>466</v>
      </c>
    </row>
    <row r="250" spans="3:7" x14ac:dyDescent="0.25">
      <c r="C250" s="173" t="s">
        <v>425</v>
      </c>
      <c r="G250" s="172" t="s">
        <v>468</v>
      </c>
    </row>
    <row r="251" spans="3:7" x14ac:dyDescent="0.25">
      <c r="C251" s="173" t="s">
        <v>427</v>
      </c>
      <c r="G251" s="172" t="s">
        <v>469</v>
      </c>
    </row>
    <row r="252" spans="3:7" ht="45" x14ac:dyDescent="0.25">
      <c r="C252" s="174" t="s">
        <v>430</v>
      </c>
      <c r="G252" s="172" t="s">
        <v>470</v>
      </c>
    </row>
    <row r="253" spans="3:7" x14ac:dyDescent="0.25">
      <c r="C253" s="173" t="s">
        <v>432</v>
      </c>
      <c r="G253" s="172"/>
    </row>
    <row r="254" spans="3:7" x14ac:dyDescent="0.25">
      <c r="C254" s="173" t="s">
        <v>435</v>
      </c>
      <c r="G254" s="172"/>
    </row>
    <row r="255" spans="3:7" x14ac:dyDescent="0.25">
      <c r="C255" s="173" t="s">
        <v>437</v>
      </c>
    </row>
    <row r="256" spans="3:7" x14ac:dyDescent="0.25">
      <c r="C256" s="173" t="s">
        <v>439</v>
      </c>
    </row>
    <row r="257" spans="3:3" x14ac:dyDescent="0.25">
      <c r="C257" s="173" t="s">
        <v>445</v>
      </c>
    </row>
    <row r="258" spans="3:3" x14ac:dyDescent="0.25">
      <c r="C258" s="173" t="s">
        <v>446</v>
      </c>
    </row>
    <row r="259" spans="3:3" x14ac:dyDescent="0.25">
      <c r="C259" s="173" t="s">
        <v>447</v>
      </c>
    </row>
    <row r="260" spans="3:3" x14ac:dyDescent="0.25">
      <c r="C260" s="175" t="s">
        <v>467</v>
      </c>
    </row>
  </sheetData>
  <mergeCells count="12">
    <mergeCell ref="C25:E25"/>
    <mergeCell ref="A1:C1"/>
    <mergeCell ref="E1:G1"/>
    <mergeCell ref="J1:P1"/>
    <mergeCell ref="L2:P2"/>
    <mergeCell ref="I3:I7"/>
    <mergeCell ref="L8:P8"/>
    <mergeCell ref="L10:P11"/>
    <mergeCell ref="A11:A15"/>
    <mergeCell ref="B11:B13"/>
    <mergeCell ref="B14:B15"/>
    <mergeCell ref="A17:A2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49"/>
  <sheetViews>
    <sheetView topLeftCell="A3" zoomScale="85" zoomScaleNormal="85" workbookViewId="0">
      <selection activeCell="B18" sqref="B18"/>
    </sheetView>
  </sheetViews>
  <sheetFormatPr baseColWidth="10" defaultColWidth="11.42578125" defaultRowHeight="15" x14ac:dyDescent="0.25"/>
  <cols>
    <col min="2" max="2" width="40.85546875" style="114" customWidth="1"/>
    <col min="3" max="3" width="17.7109375" style="114" customWidth="1"/>
    <col min="4" max="4" width="13.28515625" bestFit="1" customWidth="1"/>
    <col min="5" max="5" width="13" customWidth="1"/>
    <col min="6" max="6" width="37.7109375" customWidth="1"/>
    <col min="7" max="7" width="21.7109375" customWidth="1"/>
    <col min="8" max="8" width="18" customWidth="1"/>
    <col min="11" max="11" width="33.28515625" customWidth="1"/>
  </cols>
  <sheetData>
    <row r="4" spans="2:12" ht="25.5" x14ac:dyDescent="0.25">
      <c r="B4" s="225" t="s">
        <v>180</v>
      </c>
      <c r="C4" s="126" t="s">
        <v>257</v>
      </c>
      <c r="D4" s="125" t="s">
        <v>183</v>
      </c>
      <c r="E4" s="124" t="s">
        <v>256</v>
      </c>
      <c r="F4" s="124" t="s">
        <v>255</v>
      </c>
      <c r="G4" s="127" t="s">
        <v>254</v>
      </c>
      <c r="H4" s="776" t="s">
        <v>253</v>
      </c>
      <c r="I4" s="776"/>
      <c r="J4" s="127" t="s">
        <v>252</v>
      </c>
      <c r="K4" s="223" t="s">
        <v>617</v>
      </c>
      <c r="L4" s="252" t="s">
        <v>829</v>
      </c>
    </row>
    <row r="5" spans="2:12" ht="25.5" x14ac:dyDescent="0.25">
      <c r="B5" s="226" t="s">
        <v>589</v>
      </c>
      <c r="C5" s="117" t="s">
        <v>233</v>
      </c>
      <c r="D5" s="121" t="s">
        <v>251</v>
      </c>
      <c r="E5" s="121" t="s">
        <v>26</v>
      </c>
      <c r="F5" s="123" t="s">
        <v>250</v>
      </c>
      <c r="G5" s="119" t="s">
        <v>249</v>
      </c>
      <c r="H5" s="119" t="s">
        <v>248</v>
      </c>
      <c r="I5" s="122">
        <v>100</v>
      </c>
      <c r="J5" s="119" t="s">
        <v>13</v>
      </c>
      <c r="K5" s="119" t="s">
        <v>618</v>
      </c>
      <c r="L5" s="136" t="s">
        <v>830</v>
      </c>
    </row>
    <row r="6" spans="2:12" ht="25.5" x14ac:dyDescent="0.25">
      <c r="B6" s="226" t="s">
        <v>590</v>
      </c>
      <c r="C6" s="117"/>
      <c r="D6" s="121" t="s">
        <v>247</v>
      </c>
      <c r="F6" s="123" t="s">
        <v>246</v>
      </c>
      <c r="G6" s="119" t="s">
        <v>245</v>
      </c>
      <c r="H6" s="119" t="s">
        <v>244</v>
      </c>
      <c r="I6" s="122">
        <v>50</v>
      </c>
      <c r="J6" s="119" t="s">
        <v>14</v>
      </c>
      <c r="K6" s="119" t="s">
        <v>619</v>
      </c>
      <c r="L6" s="136" t="s">
        <v>831</v>
      </c>
    </row>
    <row r="7" spans="2:12" ht="25.5" x14ac:dyDescent="0.25">
      <c r="B7" s="226" t="s">
        <v>591</v>
      </c>
      <c r="C7" s="117"/>
      <c r="D7" s="121" t="s">
        <v>243</v>
      </c>
      <c r="E7" s="123"/>
      <c r="F7" s="123" t="s">
        <v>242</v>
      </c>
      <c r="G7" s="119" t="s">
        <v>241</v>
      </c>
      <c r="H7" s="119" t="s">
        <v>240</v>
      </c>
      <c r="I7" s="122">
        <v>0</v>
      </c>
      <c r="J7" s="119"/>
      <c r="K7" s="119" t="s">
        <v>620</v>
      </c>
    </row>
    <row r="8" spans="2:12" ht="25.5" x14ac:dyDescent="0.25">
      <c r="B8" s="226" t="s">
        <v>592</v>
      </c>
      <c r="C8" s="117"/>
      <c r="D8" s="121" t="s">
        <v>239</v>
      </c>
      <c r="E8" s="121"/>
      <c r="F8" s="113"/>
      <c r="G8" s="113"/>
      <c r="H8" s="119" t="s">
        <v>238</v>
      </c>
      <c r="I8" s="113"/>
      <c r="J8" s="113"/>
      <c r="K8" s="227" t="s">
        <v>621</v>
      </c>
    </row>
    <row r="9" spans="2:12" ht="25.5" x14ac:dyDescent="0.25">
      <c r="B9" s="226" t="s">
        <v>593</v>
      </c>
      <c r="C9" s="117"/>
      <c r="D9" s="121" t="s">
        <v>237</v>
      </c>
      <c r="E9" s="113"/>
      <c r="F9" s="113"/>
      <c r="G9" s="113"/>
      <c r="H9" s="119" t="s">
        <v>236</v>
      </c>
      <c r="I9" s="113"/>
      <c r="J9" s="113"/>
      <c r="K9" s="119" t="s">
        <v>622</v>
      </c>
    </row>
    <row r="10" spans="2:12" ht="25.5" x14ac:dyDescent="0.25">
      <c r="B10" s="226" t="s">
        <v>594</v>
      </c>
      <c r="C10" s="117"/>
      <c r="D10" s="113"/>
      <c r="E10" s="113"/>
      <c r="F10" s="113"/>
      <c r="G10" s="113"/>
      <c r="H10" s="119" t="s">
        <v>235</v>
      </c>
      <c r="I10" s="113"/>
      <c r="J10" s="113"/>
      <c r="K10" s="119" t="s">
        <v>623</v>
      </c>
    </row>
    <row r="11" spans="2:12" ht="25.5" x14ac:dyDescent="0.25">
      <c r="B11" s="226" t="s">
        <v>595</v>
      </c>
      <c r="C11" s="117"/>
      <c r="D11" s="113"/>
      <c r="E11" s="113"/>
      <c r="F11" s="113"/>
      <c r="G11" s="113"/>
      <c r="H11" s="119" t="s">
        <v>234</v>
      </c>
      <c r="I11" s="113"/>
      <c r="J11" s="113"/>
      <c r="K11" s="119" t="s">
        <v>624</v>
      </c>
    </row>
    <row r="12" spans="2:12" ht="25.5" x14ac:dyDescent="0.25">
      <c r="B12" s="226" t="s">
        <v>596</v>
      </c>
      <c r="C12" s="117"/>
      <c r="D12" s="113"/>
      <c r="E12" s="113"/>
      <c r="F12" s="120" t="s">
        <v>232</v>
      </c>
      <c r="G12" s="113"/>
      <c r="H12" s="119" t="s">
        <v>231</v>
      </c>
      <c r="I12" s="113"/>
      <c r="J12" s="113"/>
      <c r="K12" s="113"/>
    </row>
    <row r="13" spans="2:12" ht="33" customHeight="1" x14ac:dyDescent="0.25">
      <c r="B13" s="226" t="s">
        <v>597</v>
      </c>
      <c r="C13" s="117"/>
      <c r="D13" s="113"/>
      <c r="E13" s="113"/>
      <c r="F13" s="118" t="s">
        <v>230</v>
      </c>
      <c r="G13" s="113"/>
      <c r="H13" s="119" t="s">
        <v>229</v>
      </c>
      <c r="I13" s="113"/>
      <c r="J13" s="113"/>
      <c r="K13" s="113"/>
    </row>
    <row r="14" spans="2:12" ht="32.25" customHeight="1" x14ac:dyDescent="0.25">
      <c r="B14" s="226" t="s">
        <v>598</v>
      </c>
      <c r="C14" s="117"/>
      <c r="D14" s="113"/>
      <c r="E14" s="113"/>
      <c r="F14" s="118" t="s">
        <v>228</v>
      </c>
      <c r="G14" s="113"/>
      <c r="H14" s="113"/>
      <c r="I14" s="113"/>
      <c r="J14" s="113"/>
      <c r="K14" s="113"/>
    </row>
    <row r="15" spans="2:12" ht="32.25" customHeight="1" x14ac:dyDescent="0.25">
      <c r="B15" s="226" t="s">
        <v>599</v>
      </c>
      <c r="C15" s="117"/>
      <c r="D15" s="113"/>
      <c r="E15" s="113"/>
      <c r="F15" s="118" t="s">
        <v>227</v>
      </c>
      <c r="G15" s="113"/>
      <c r="H15" s="113"/>
      <c r="I15" s="113"/>
      <c r="J15" s="113"/>
      <c r="K15" s="113"/>
    </row>
    <row r="16" spans="2:12" x14ac:dyDescent="0.25">
      <c r="B16" s="226" t="s">
        <v>600</v>
      </c>
      <c r="C16" s="117"/>
      <c r="D16" s="113"/>
      <c r="E16" s="113"/>
      <c r="F16" s="113"/>
      <c r="G16" s="113"/>
      <c r="H16" s="113"/>
      <c r="I16" s="113"/>
      <c r="J16" s="113"/>
      <c r="K16" s="113"/>
    </row>
    <row r="17" spans="2:11" x14ac:dyDescent="0.25">
      <c r="B17" s="226" t="s">
        <v>601</v>
      </c>
      <c r="C17" s="117"/>
      <c r="D17" s="113"/>
      <c r="E17" s="113"/>
      <c r="F17" s="113"/>
      <c r="G17" s="113"/>
      <c r="H17" s="113"/>
      <c r="I17" s="113"/>
      <c r="J17" s="113"/>
      <c r="K17" s="113"/>
    </row>
    <row r="18" spans="2:11" x14ac:dyDescent="0.25">
      <c r="B18" s="226" t="s">
        <v>602</v>
      </c>
      <c r="C18" s="117"/>
      <c r="D18" s="113"/>
      <c r="E18" s="113"/>
      <c r="F18" s="113"/>
      <c r="G18" s="113"/>
      <c r="H18" s="113"/>
      <c r="I18" s="113"/>
      <c r="J18" s="113"/>
      <c r="K18" s="113"/>
    </row>
    <row r="19" spans="2:11" x14ac:dyDescent="0.25">
      <c r="B19" s="226" t="s">
        <v>603</v>
      </c>
      <c r="C19" s="117"/>
      <c r="D19" s="113"/>
      <c r="E19" s="113"/>
      <c r="F19" s="113"/>
      <c r="G19" s="113"/>
      <c r="H19" s="113"/>
      <c r="I19" s="113"/>
      <c r="J19" s="113"/>
      <c r="K19" s="113"/>
    </row>
    <row r="20" spans="2:11" x14ac:dyDescent="0.25">
      <c r="B20" s="226" t="s">
        <v>604</v>
      </c>
      <c r="C20" s="117"/>
      <c r="D20" s="113"/>
      <c r="E20" s="113"/>
      <c r="F20" s="113"/>
      <c r="G20" s="113"/>
      <c r="H20" s="113"/>
      <c r="I20" s="113"/>
      <c r="J20" s="113"/>
      <c r="K20" s="113"/>
    </row>
    <row r="21" spans="2:11" x14ac:dyDescent="0.25">
      <c r="B21" s="226" t="s">
        <v>605</v>
      </c>
      <c r="C21" s="117"/>
      <c r="D21" s="113"/>
      <c r="E21" s="113"/>
      <c r="F21" s="113"/>
      <c r="G21" s="113"/>
      <c r="H21" s="113"/>
      <c r="I21" s="113"/>
      <c r="J21" s="113"/>
      <c r="K21" s="113"/>
    </row>
    <row r="22" spans="2:11" x14ac:dyDescent="0.25">
      <c r="B22" s="226" t="s">
        <v>606</v>
      </c>
      <c r="C22" s="117"/>
      <c r="D22" s="113"/>
      <c r="E22" s="113"/>
      <c r="F22" s="113"/>
      <c r="G22" s="113"/>
      <c r="H22" s="113"/>
      <c r="I22" s="113"/>
      <c r="J22" s="113"/>
      <c r="K22" s="113"/>
    </row>
    <row r="23" spans="2:11" x14ac:dyDescent="0.25">
      <c r="B23" s="226" t="s">
        <v>607</v>
      </c>
      <c r="C23" s="117"/>
      <c r="D23" s="113"/>
      <c r="E23" s="113"/>
      <c r="F23" s="113"/>
      <c r="G23" s="113"/>
      <c r="H23" s="113"/>
      <c r="I23" s="113"/>
      <c r="J23" s="113"/>
      <c r="K23" s="113"/>
    </row>
    <row r="24" spans="2:11" x14ac:dyDescent="0.25">
      <c r="B24" s="226" t="s">
        <v>608</v>
      </c>
      <c r="C24" s="117"/>
      <c r="D24" s="113"/>
      <c r="E24" s="113"/>
      <c r="F24" s="113"/>
      <c r="G24" s="113"/>
      <c r="H24" s="113"/>
      <c r="I24" s="113"/>
      <c r="J24" s="113"/>
      <c r="K24" s="113"/>
    </row>
    <row r="25" spans="2:11" x14ac:dyDescent="0.25">
      <c r="B25" s="226" t="s">
        <v>609</v>
      </c>
      <c r="C25" s="117"/>
      <c r="D25" s="113"/>
      <c r="E25" s="113"/>
      <c r="F25" s="113"/>
      <c r="G25" s="113"/>
      <c r="H25" s="113"/>
      <c r="I25" s="113"/>
      <c r="J25" s="113"/>
      <c r="K25" s="113"/>
    </row>
    <row r="26" spans="2:11" x14ac:dyDescent="0.25">
      <c r="B26" s="226" t="s">
        <v>881</v>
      </c>
      <c r="C26" s="117"/>
      <c r="D26" s="113"/>
      <c r="E26" s="113"/>
      <c r="F26" s="113"/>
      <c r="G26" s="113"/>
      <c r="H26" s="113"/>
      <c r="I26" s="113"/>
      <c r="J26" s="113"/>
      <c r="K26" s="113"/>
    </row>
    <row r="27" spans="2:11" ht="24" x14ac:dyDescent="0.25">
      <c r="B27" s="226" t="s">
        <v>610</v>
      </c>
      <c r="C27" s="117"/>
      <c r="D27" s="113"/>
      <c r="E27" s="113"/>
      <c r="F27" s="113"/>
      <c r="G27" s="113"/>
      <c r="H27" s="113"/>
      <c r="I27" s="113"/>
      <c r="J27" s="113"/>
      <c r="K27" s="113"/>
    </row>
    <row r="28" spans="2:11" x14ac:dyDescent="0.25">
      <c r="B28" s="226" t="s">
        <v>288</v>
      </c>
      <c r="C28" s="117"/>
      <c r="D28" s="113"/>
      <c r="E28" s="113"/>
      <c r="F28" s="113"/>
      <c r="G28" s="113"/>
      <c r="H28" s="113"/>
      <c r="I28" s="113"/>
      <c r="J28" s="113"/>
      <c r="K28" s="113"/>
    </row>
    <row r="29" spans="2:11" x14ac:dyDescent="0.25">
      <c r="B29" s="226" t="s">
        <v>611</v>
      </c>
    </row>
    <row r="30" spans="2:11" x14ac:dyDescent="0.25">
      <c r="B30" s="226" t="s">
        <v>281</v>
      </c>
    </row>
    <row r="31" spans="2:11" x14ac:dyDescent="0.25">
      <c r="B31" s="226" t="s">
        <v>280</v>
      </c>
    </row>
    <row r="32" spans="2:11" x14ac:dyDescent="0.25">
      <c r="B32" s="226" t="s">
        <v>612</v>
      </c>
    </row>
    <row r="33" spans="1:12" x14ac:dyDescent="0.25">
      <c r="B33" s="226" t="s">
        <v>286</v>
      </c>
    </row>
    <row r="34" spans="1:12" x14ac:dyDescent="0.25">
      <c r="B34" s="226" t="s">
        <v>613</v>
      </c>
    </row>
    <row r="35" spans="1:12" x14ac:dyDescent="0.25">
      <c r="B35" s="226" t="s">
        <v>708</v>
      </c>
    </row>
    <row r="38" spans="1:12" x14ac:dyDescent="0.25">
      <c r="A38" s="113"/>
      <c r="B38" s="113"/>
      <c r="C38" s="113"/>
      <c r="D38" s="113"/>
      <c r="E38" s="113"/>
      <c r="F38" s="113"/>
      <c r="G38" s="115"/>
      <c r="H38" s="115">
        <v>1</v>
      </c>
      <c r="I38" s="115">
        <v>2</v>
      </c>
      <c r="J38" s="115">
        <v>3</v>
      </c>
      <c r="K38" s="115">
        <v>4</v>
      </c>
      <c r="L38" s="115">
        <v>5</v>
      </c>
    </row>
    <row r="39" spans="1:12" x14ac:dyDescent="0.25">
      <c r="A39" s="113">
        <v>1</v>
      </c>
      <c r="B39" s="113" t="s">
        <v>226</v>
      </c>
      <c r="C39" s="113"/>
      <c r="D39" s="113"/>
      <c r="E39" s="113"/>
      <c r="F39" s="113"/>
      <c r="G39" s="115">
        <v>1</v>
      </c>
      <c r="H39" s="115" t="s">
        <v>221</v>
      </c>
      <c r="I39" s="115" t="s">
        <v>221</v>
      </c>
      <c r="J39" s="115" t="s">
        <v>220</v>
      </c>
      <c r="K39" s="115" t="s">
        <v>219</v>
      </c>
      <c r="L39" s="116" t="s">
        <v>218</v>
      </c>
    </row>
    <row r="40" spans="1:12" x14ac:dyDescent="0.25">
      <c r="A40" s="113">
        <v>2</v>
      </c>
      <c r="B40" s="113" t="s">
        <v>225</v>
      </c>
      <c r="C40" s="113"/>
      <c r="D40" s="113"/>
      <c r="E40" s="113"/>
      <c r="F40" s="113"/>
      <c r="G40" s="115">
        <v>2</v>
      </c>
      <c r="H40" s="115" t="s">
        <v>221</v>
      </c>
      <c r="I40" s="115" t="s">
        <v>221</v>
      </c>
      <c r="J40" s="115" t="s">
        <v>220</v>
      </c>
      <c r="K40" s="115" t="s">
        <v>219</v>
      </c>
      <c r="L40" s="115" t="s">
        <v>218</v>
      </c>
    </row>
    <row r="41" spans="1:12" x14ac:dyDescent="0.25">
      <c r="A41" s="113">
        <v>3</v>
      </c>
      <c r="B41" s="113" t="s">
        <v>224</v>
      </c>
      <c r="C41" s="113"/>
      <c r="D41" s="113"/>
      <c r="E41" s="113"/>
      <c r="F41" s="113"/>
      <c r="G41" s="115">
        <v>3</v>
      </c>
      <c r="H41" s="115" t="s">
        <v>221</v>
      </c>
      <c r="I41" s="115" t="s">
        <v>220</v>
      </c>
      <c r="J41" s="115" t="s">
        <v>219</v>
      </c>
      <c r="K41" s="115" t="s">
        <v>218</v>
      </c>
      <c r="L41" s="115" t="s">
        <v>218</v>
      </c>
    </row>
    <row r="42" spans="1:12" x14ac:dyDescent="0.25">
      <c r="A42" s="113">
        <v>4</v>
      </c>
      <c r="B42" s="113" t="s">
        <v>223</v>
      </c>
      <c r="C42" s="113"/>
      <c r="D42" s="113"/>
      <c r="E42" s="113"/>
      <c r="F42" s="113"/>
      <c r="G42" s="115">
        <v>4</v>
      </c>
      <c r="H42" s="115" t="s">
        <v>220</v>
      </c>
      <c r="I42" s="115" t="s">
        <v>219</v>
      </c>
      <c r="J42" s="115" t="s">
        <v>219</v>
      </c>
      <c r="K42" s="115" t="s">
        <v>218</v>
      </c>
      <c r="L42" s="115" t="s">
        <v>218</v>
      </c>
    </row>
    <row r="43" spans="1:12" x14ac:dyDescent="0.25">
      <c r="A43" s="113">
        <v>5</v>
      </c>
      <c r="B43" s="113" t="s">
        <v>222</v>
      </c>
      <c r="C43" s="113"/>
      <c r="D43" s="113"/>
      <c r="E43" s="113"/>
      <c r="F43" s="113"/>
      <c r="G43" s="115">
        <v>5</v>
      </c>
      <c r="H43" s="115" t="s">
        <v>219</v>
      </c>
      <c r="I43" s="115" t="s">
        <v>219</v>
      </c>
      <c r="J43" s="115" t="s">
        <v>218</v>
      </c>
      <c r="K43" s="115" t="s">
        <v>218</v>
      </c>
      <c r="L43" s="115" t="s">
        <v>218</v>
      </c>
    </row>
    <row r="48" spans="1:12" x14ac:dyDescent="0.25">
      <c r="B48" s="114" t="s">
        <v>292</v>
      </c>
    </row>
    <row r="49" spans="2:2" x14ac:dyDescent="0.25">
      <c r="B49" s="114" t="s">
        <v>293</v>
      </c>
    </row>
  </sheetData>
  <mergeCells count="1">
    <mergeCell ref="H4:I4"/>
  </mergeCells>
  <hyperlinks>
    <hyperlink ref="B7" r:id="rId1" display="https://www.igac.gov.co/sites/igac.gov.co/files/listadomaestro/ct-pry_gestion_de_proyectos.pdf"/>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Z392"/>
  <sheetViews>
    <sheetView showGridLines="0" tabSelected="1" zoomScale="55" zoomScaleNormal="55" workbookViewId="0">
      <pane xSplit="3" ySplit="6" topLeftCell="D7" activePane="bottomRight" state="frozen"/>
      <selection pane="topRight" activeCell="C1" sqref="C1"/>
      <selection pane="bottomLeft" activeCell="A7" sqref="A7"/>
      <selection pane="bottomRight" activeCell="AJ68" sqref="AJ68"/>
    </sheetView>
  </sheetViews>
  <sheetFormatPr baseColWidth="10" defaultColWidth="11.42578125" defaultRowHeight="15" x14ac:dyDescent="0.2"/>
  <cols>
    <col min="1" max="1" width="6.42578125" style="315" customWidth="1"/>
    <col min="2" max="2" width="17.42578125" style="315" hidden="1" customWidth="1"/>
    <col min="3" max="4" width="41.42578125" style="316" customWidth="1"/>
    <col min="5" max="5" width="19.85546875" style="317" customWidth="1"/>
    <col min="6" max="6" width="72.28515625" style="317" hidden="1" customWidth="1"/>
    <col min="7" max="7" width="33.42578125" style="317" hidden="1" customWidth="1"/>
    <col min="8" max="8" width="78.140625" style="318" customWidth="1"/>
    <col min="9" max="9" width="27.85546875" style="319" customWidth="1"/>
    <col min="10" max="10" width="27" style="319" customWidth="1"/>
    <col min="11" max="11" width="17.85546875" style="184" customWidth="1"/>
    <col min="12" max="12" width="16.5703125" style="184" customWidth="1"/>
    <col min="13" max="13" width="9.28515625" style="184" customWidth="1"/>
    <col min="14" max="14" width="44" style="184" customWidth="1"/>
    <col min="15" max="15" width="15" style="184" customWidth="1"/>
    <col min="16" max="16" width="17.5703125" style="184" customWidth="1"/>
    <col min="17" max="17" width="9.7109375" style="184" customWidth="1"/>
    <col min="18" max="18" width="16" style="184" customWidth="1"/>
    <col min="19" max="19" width="5.85546875" style="184" customWidth="1"/>
    <col min="20" max="20" width="114.140625" style="320" customWidth="1"/>
    <col min="21" max="21" width="15.42578125" style="319" customWidth="1"/>
    <col min="22" max="22" width="15.140625" style="184" customWidth="1"/>
    <col min="23" max="23" width="6.85546875" style="184" customWidth="1"/>
    <col min="24" max="24" width="5" style="184" customWidth="1"/>
    <col min="25" max="25" width="5.5703125" style="184" customWidth="1"/>
    <col min="26" max="26" width="7.140625" style="184" customWidth="1"/>
    <col min="27" max="27" width="6.7109375" style="184" customWidth="1"/>
    <col min="28" max="28" width="7.5703125" style="184" customWidth="1"/>
    <col min="29" max="29" width="7.140625" style="184" customWidth="1"/>
    <col min="30" max="30" width="8.7109375" style="184" customWidth="1"/>
    <col min="31" max="31" width="10.42578125" style="184" customWidth="1"/>
    <col min="32" max="32" width="9.28515625" style="184" customWidth="1"/>
    <col min="33" max="33" width="9.140625" style="184" customWidth="1"/>
    <col min="34" max="34" width="8.42578125" style="184" customWidth="1"/>
    <col min="35" max="35" width="7.28515625" style="184" customWidth="1"/>
    <col min="36" max="36" width="10" style="184" customWidth="1"/>
    <col min="37" max="39" width="7.28515625" style="184" customWidth="1"/>
    <col min="40" max="40" width="7.28515625" style="184" hidden="1" customWidth="1"/>
    <col min="41" max="41" width="43.7109375" style="184" hidden="1" customWidth="1"/>
    <col min="42" max="42" width="28.85546875" style="184" hidden="1" customWidth="1"/>
    <col min="43" max="43" width="21" style="184" hidden="1" customWidth="1"/>
    <col min="44" max="44" width="22.140625" style="184" hidden="1" customWidth="1"/>
    <col min="45" max="45" width="25.85546875" style="184" hidden="1" customWidth="1"/>
    <col min="46" max="46" width="8.42578125" style="290" customWidth="1"/>
    <col min="47" max="47" width="23" style="290" customWidth="1"/>
    <col min="48" max="48" width="18.85546875" style="290" customWidth="1"/>
    <col min="49" max="49" width="18.5703125" style="290" customWidth="1"/>
    <col min="50" max="50" width="21" style="290" customWidth="1"/>
    <col min="51" max="78" width="11.42578125" style="290"/>
    <col min="79" max="16384" width="11.42578125" style="184"/>
  </cols>
  <sheetData>
    <row r="1" spans="1:78" ht="75.75" customHeight="1" thickBot="1" x14ac:dyDescent="0.25">
      <c r="A1" s="485" t="s">
        <v>1018</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7"/>
    </row>
    <row r="2" spans="1:78" ht="36" customHeight="1" thickBot="1" x14ac:dyDescent="0.25">
      <c r="A2" s="496" t="s">
        <v>186</v>
      </c>
      <c r="B2" s="497"/>
      <c r="C2" s="497"/>
      <c r="D2" s="497"/>
      <c r="E2" s="497"/>
      <c r="F2" s="497"/>
      <c r="G2" s="497"/>
      <c r="H2" s="497"/>
      <c r="I2" s="497"/>
      <c r="J2" s="497"/>
      <c r="K2" s="498"/>
      <c r="L2" s="469" t="s">
        <v>266</v>
      </c>
      <c r="M2" s="470"/>
      <c r="N2" s="470"/>
      <c r="O2" s="470"/>
      <c r="P2" s="470"/>
      <c r="Q2" s="470"/>
      <c r="R2" s="471"/>
      <c r="S2" s="469" t="s">
        <v>265</v>
      </c>
      <c r="T2" s="470"/>
      <c r="U2" s="470"/>
      <c r="V2" s="470"/>
      <c r="W2" s="470"/>
      <c r="X2" s="470"/>
      <c r="Y2" s="470"/>
      <c r="Z2" s="470"/>
      <c r="AA2" s="470"/>
      <c r="AB2" s="471"/>
      <c r="AC2" s="469" t="s">
        <v>264</v>
      </c>
      <c r="AD2" s="470"/>
      <c r="AE2" s="470"/>
      <c r="AF2" s="470"/>
      <c r="AG2" s="470"/>
      <c r="AH2" s="470"/>
      <c r="AI2" s="471"/>
      <c r="AJ2" s="469" t="s">
        <v>668</v>
      </c>
      <c r="AK2" s="470"/>
      <c r="AL2" s="470"/>
      <c r="AM2" s="470"/>
      <c r="AN2" s="471"/>
      <c r="AO2" s="508" t="s">
        <v>185</v>
      </c>
      <c r="AP2" s="509"/>
      <c r="AQ2" s="509"/>
      <c r="AR2" s="509"/>
      <c r="AS2" s="510"/>
    </row>
    <row r="3" spans="1:78" ht="21" customHeight="1" thickBot="1" x14ac:dyDescent="0.25">
      <c r="A3" s="448" t="s">
        <v>614</v>
      </c>
      <c r="B3" s="448" t="s">
        <v>829</v>
      </c>
      <c r="C3" s="448" t="s">
        <v>615</v>
      </c>
      <c r="D3" s="448" t="s">
        <v>616</v>
      </c>
      <c r="E3" s="448" t="s">
        <v>663</v>
      </c>
      <c r="F3" s="522" t="s">
        <v>625</v>
      </c>
      <c r="G3" s="523"/>
      <c r="H3" s="448" t="s">
        <v>184</v>
      </c>
      <c r="I3" s="448" t="s">
        <v>257</v>
      </c>
      <c r="J3" s="448" t="s">
        <v>666</v>
      </c>
      <c r="K3" s="448" t="s">
        <v>263</v>
      </c>
      <c r="L3" s="472" t="s">
        <v>262</v>
      </c>
      <c r="M3" s="472" t="s">
        <v>4</v>
      </c>
      <c r="N3" s="472" t="s">
        <v>261</v>
      </c>
      <c r="O3" s="482" t="s">
        <v>76</v>
      </c>
      <c r="P3" s="472" t="s">
        <v>260</v>
      </c>
      <c r="Q3" s="472" t="s">
        <v>4</v>
      </c>
      <c r="R3" s="472" t="s">
        <v>259</v>
      </c>
      <c r="S3" s="475" t="s">
        <v>10</v>
      </c>
      <c r="T3" s="499" t="s">
        <v>258</v>
      </c>
      <c r="U3" s="499" t="s">
        <v>667</v>
      </c>
      <c r="V3" s="499" t="s">
        <v>11</v>
      </c>
      <c r="W3" s="478" t="s">
        <v>7</v>
      </c>
      <c r="X3" s="479"/>
      <c r="Y3" s="480"/>
      <c r="Z3" s="479"/>
      <c r="AA3" s="479"/>
      <c r="AB3" s="481"/>
      <c r="AC3" s="488" t="s">
        <v>110</v>
      </c>
      <c r="AD3" s="491" t="s">
        <v>33</v>
      </c>
      <c r="AE3" s="491" t="s">
        <v>4</v>
      </c>
      <c r="AF3" s="491" t="s">
        <v>34</v>
      </c>
      <c r="AG3" s="491" t="s">
        <v>4</v>
      </c>
      <c r="AH3" s="491" t="s">
        <v>676</v>
      </c>
      <c r="AI3" s="502" t="s">
        <v>25</v>
      </c>
      <c r="AJ3" s="463" t="s">
        <v>669</v>
      </c>
      <c r="AK3" s="463" t="s">
        <v>983</v>
      </c>
      <c r="AL3" s="463" t="s">
        <v>984</v>
      </c>
      <c r="AM3" s="463" t="s">
        <v>985</v>
      </c>
      <c r="AN3" s="463"/>
      <c r="AO3" s="505" t="s">
        <v>182</v>
      </c>
      <c r="AP3" s="516" t="s">
        <v>670</v>
      </c>
      <c r="AQ3" s="505" t="s">
        <v>181</v>
      </c>
      <c r="AR3" s="505" t="s">
        <v>671</v>
      </c>
      <c r="AS3" s="519" t="s">
        <v>672</v>
      </c>
    </row>
    <row r="4" spans="1:78" ht="33.75" customHeight="1" thickBot="1" x14ac:dyDescent="0.25">
      <c r="A4" s="449"/>
      <c r="B4" s="449"/>
      <c r="C4" s="449"/>
      <c r="D4" s="449"/>
      <c r="E4" s="449"/>
      <c r="F4" s="524"/>
      <c r="G4" s="525"/>
      <c r="H4" s="449"/>
      <c r="I4" s="449"/>
      <c r="J4" s="449"/>
      <c r="K4" s="449"/>
      <c r="L4" s="473"/>
      <c r="M4" s="473"/>
      <c r="N4" s="473"/>
      <c r="O4" s="483"/>
      <c r="P4" s="473"/>
      <c r="Q4" s="473"/>
      <c r="R4" s="473"/>
      <c r="S4" s="476"/>
      <c r="T4" s="500"/>
      <c r="U4" s="500"/>
      <c r="V4" s="500"/>
      <c r="W4" s="466" t="s">
        <v>12</v>
      </c>
      <c r="X4" s="466" t="s">
        <v>16</v>
      </c>
      <c r="Y4" s="466" t="s">
        <v>24</v>
      </c>
      <c r="Z4" s="466" t="s">
        <v>17</v>
      </c>
      <c r="AA4" s="466" t="s">
        <v>20</v>
      </c>
      <c r="AB4" s="494" t="s">
        <v>23</v>
      </c>
      <c r="AC4" s="489"/>
      <c r="AD4" s="492"/>
      <c r="AE4" s="492"/>
      <c r="AF4" s="492"/>
      <c r="AG4" s="492"/>
      <c r="AH4" s="492"/>
      <c r="AI4" s="503"/>
      <c r="AJ4" s="464"/>
      <c r="AK4" s="464"/>
      <c r="AL4" s="464"/>
      <c r="AM4" s="464"/>
      <c r="AN4" s="464"/>
      <c r="AO4" s="506"/>
      <c r="AP4" s="517"/>
      <c r="AQ4" s="506"/>
      <c r="AR4" s="506"/>
      <c r="AS4" s="520"/>
    </row>
    <row r="5" spans="1:78" ht="26.25" customHeight="1" x14ac:dyDescent="0.2">
      <c r="A5" s="449"/>
      <c r="B5" s="449"/>
      <c r="C5" s="449"/>
      <c r="D5" s="449"/>
      <c r="E5" s="449"/>
      <c r="F5" s="448" t="s">
        <v>664</v>
      </c>
      <c r="G5" s="526" t="s">
        <v>665</v>
      </c>
      <c r="H5" s="449"/>
      <c r="I5" s="449"/>
      <c r="J5" s="449"/>
      <c r="K5" s="449"/>
      <c r="L5" s="473"/>
      <c r="M5" s="473"/>
      <c r="N5" s="473"/>
      <c r="O5" s="483"/>
      <c r="P5" s="473"/>
      <c r="Q5" s="473"/>
      <c r="R5" s="473"/>
      <c r="S5" s="476"/>
      <c r="T5" s="500"/>
      <c r="U5" s="500"/>
      <c r="V5" s="500"/>
      <c r="W5" s="467"/>
      <c r="X5" s="467"/>
      <c r="Y5" s="467"/>
      <c r="Z5" s="467"/>
      <c r="AA5" s="467"/>
      <c r="AB5" s="494"/>
      <c r="AC5" s="489"/>
      <c r="AD5" s="492"/>
      <c r="AE5" s="492"/>
      <c r="AF5" s="492"/>
      <c r="AG5" s="492"/>
      <c r="AH5" s="492"/>
      <c r="AI5" s="503"/>
      <c r="AJ5" s="464"/>
      <c r="AK5" s="464"/>
      <c r="AL5" s="464"/>
      <c r="AM5" s="464"/>
      <c r="AN5" s="464"/>
      <c r="AO5" s="506"/>
      <c r="AP5" s="517"/>
      <c r="AQ5" s="506"/>
      <c r="AR5" s="506"/>
      <c r="AS5" s="520"/>
    </row>
    <row r="6" spans="1:78" s="292" customFormat="1" ht="21.75" customHeight="1" thickBot="1" x14ac:dyDescent="0.3">
      <c r="A6" s="450"/>
      <c r="B6" s="450"/>
      <c r="C6" s="450"/>
      <c r="D6" s="450"/>
      <c r="E6" s="450"/>
      <c r="F6" s="450"/>
      <c r="G6" s="527"/>
      <c r="H6" s="450"/>
      <c r="I6" s="450"/>
      <c r="J6" s="450"/>
      <c r="K6" s="450"/>
      <c r="L6" s="474"/>
      <c r="M6" s="474"/>
      <c r="N6" s="474"/>
      <c r="O6" s="484"/>
      <c r="P6" s="474"/>
      <c r="Q6" s="474"/>
      <c r="R6" s="474"/>
      <c r="S6" s="477"/>
      <c r="T6" s="501"/>
      <c r="U6" s="501"/>
      <c r="V6" s="501"/>
      <c r="W6" s="468"/>
      <c r="X6" s="468"/>
      <c r="Y6" s="468"/>
      <c r="Z6" s="468"/>
      <c r="AA6" s="468"/>
      <c r="AB6" s="495"/>
      <c r="AC6" s="490"/>
      <c r="AD6" s="493"/>
      <c r="AE6" s="493"/>
      <c r="AF6" s="493"/>
      <c r="AG6" s="493"/>
      <c r="AH6" s="493"/>
      <c r="AI6" s="504"/>
      <c r="AJ6" s="465"/>
      <c r="AK6" s="465"/>
      <c r="AL6" s="465"/>
      <c r="AM6" s="465"/>
      <c r="AN6" s="465"/>
      <c r="AO6" s="507"/>
      <c r="AP6" s="518"/>
      <c r="AQ6" s="507"/>
      <c r="AR6" s="507"/>
      <c r="AS6" s="52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row>
    <row r="7" spans="1:78" s="294" customFormat="1" ht="107.25" customHeight="1" x14ac:dyDescent="0.2">
      <c r="A7" s="530" t="s">
        <v>1009</v>
      </c>
      <c r="B7" s="529" t="s">
        <v>830</v>
      </c>
      <c r="C7" s="531" t="s">
        <v>589</v>
      </c>
      <c r="D7" s="532" t="s">
        <v>619</v>
      </c>
      <c r="E7" s="533" t="s">
        <v>107</v>
      </c>
      <c r="F7" s="533" t="s">
        <v>1020</v>
      </c>
      <c r="G7" s="528" t="s">
        <v>675</v>
      </c>
      <c r="H7" s="528" t="s">
        <v>894</v>
      </c>
      <c r="I7" s="528" t="s">
        <v>654</v>
      </c>
      <c r="J7" s="528" t="s">
        <v>893</v>
      </c>
      <c r="K7" s="515">
        <v>73</v>
      </c>
      <c r="L7" s="513" t="str">
        <f t="shared" ref="L7" si="0">IF(K7&lt;=0,"",IF(K7&lt;=2,"Muy Baja",IF(K7&lt;=24,"Baja",IF(K7&lt;=500,"Media",IF(K7&lt;=5000,"Alta","Muy Alta")))))</f>
        <v>Media</v>
      </c>
      <c r="M7" s="512">
        <f>IF(L7="","",IF(L7="Muy Baja",0.2,IF(L7="Baja",0.4,IF(L7="Media",0.6,IF(L7="Alta",0.8,IF(L7="Muy Alta",1,))))))</f>
        <v>0.6</v>
      </c>
      <c r="N7" s="511" t="s">
        <v>123</v>
      </c>
      <c r="O7" s="512" t="str">
        <f ca="1">IF(NOT(ISERROR(MATCH(N7,'Tabla Impacto'!$B$221:$B$223,0))),'Tabla Impacto'!$F$223&amp;"Por favor no seleccionar los criterios de impacto(Afectación Económica o presupuestal y Pérdida Reputacional)",N7)</f>
        <v xml:space="preserve">     El riesgo afecta la imagen de la entidad a nivel nacional, con efecto publicitarios sostenible a nivel país</v>
      </c>
      <c r="P7" s="513" t="str">
        <f ca="1">IF(OR(O7='Tabla Impacto'!$C$11,O7='Tabla Impacto'!$D$11),"Leve",IF(OR(O7='Tabla Impacto'!$C$12,O7='Tabla Impacto'!$D$12),"Menor",IF(OR(O7='Tabla Impacto'!$C$13,O7='Tabla Impacto'!$D$13),"Moderado",IF(OR(O7='Tabla Impacto'!$C$14,O7='Tabla Impacto'!$D$14),"Mayor",IF(OR(O7='Tabla Impacto'!$C$15,O7='Tabla Impacto'!$D$15),"Catastrófico","")))))</f>
        <v>Catastrófico</v>
      </c>
      <c r="Q7" s="512">
        <f ca="1">IF(P7="","",IF(P7="Leve",0.2,IF(P7="Menor",0.4,IF(P7="Moderado",0.6,IF(P7="Mayor",0.8,IF(P7="Catastrófico",1,))))))</f>
        <v>1</v>
      </c>
      <c r="R7" s="514" t="str">
        <f ca="1">IF(OR(AND(L7="Muy Baja",P7="Leve"),AND(L7="Muy Baja",P7="Menor"),AND(L7="Baja",P7="Leve")),"Bajo",IF(OR(AND(L7="Muy baja",P7="Moderado"),AND(L7="Baja",P7="Menor"),AND(L7="Baja",P7="Moderado"),AND(L7="Media",P7="Leve"),AND(L7="Media",P7="Menor"),AND(L7="Media",P7="Moderado"),AND(L7="Alta",P7="Leve"),AND(L7="Alta",P7="Menor")),"Moderado",IF(OR(AND(L7="Muy Baja",P7="Mayor"),AND(L7="Baja",P7="Mayor"),AND(L7="Media",P7="Mayor"),AND(L7="Alta",P7="Moderado"),AND(L7="Alta",P7="Mayor"),AND(L7="Muy Alta",P7="Leve"),AND(L7="Muy Alta",P7="Menor"),AND(L7="Muy Alta",P7="Moderado"),AND(L7="Muy Alta",P7="Mayor")),"Alto",IF(OR(AND(L7="Muy Baja",P7="Catastrófico"),AND(L7="Baja",P7="Catastrófico"),AND(L7="Media",P7="Catastrófico"),AND(L7="Alta",P7="Catastrófico"),AND(L7="Muy Alta",P7="Catastrófico")),"Extremo",""))))</f>
        <v>Extremo</v>
      </c>
      <c r="S7" s="338">
        <v>1</v>
      </c>
      <c r="T7" s="339" t="s">
        <v>895</v>
      </c>
      <c r="U7" s="340" t="s">
        <v>293</v>
      </c>
      <c r="V7" s="341" t="str">
        <f>IF(OR(W7="Preventivo",W7="Detectivo"),"Probabilidad",IF(W7="Correctivo","Impacto",""))</f>
        <v>Probabilidad</v>
      </c>
      <c r="W7" s="342" t="s">
        <v>13</v>
      </c>
      <c r="X7" s="342" t="s">
        <v>8</v>
      </c>
      <c r="Y7" s="343" t="str">
        <f t="shared" ref="Y7:Y8" si="1">IF(AND(W7="Preventivo",X7="Automático"),"50%",IF(AND(W7="Preventivo",X7="Manual"),"40%",IF(AND(W7="Detectivo",X7="Automático"),"40%",IF(AND(W7="Detectivo",X7="Manual"),"30%",IF(AND(W7="Correctivo",X7="Automático"),"35%",IF(AND(W7="Correctivo",X7="Manual"),"25%",""))))))</f>
        <v>40%</v>
      </c>
      <c r="Z7" s="342" t="s">
        <v>19</v>
      </c>
      <c r="AA7" s="342" t="s">
        <v>21</v>
      </c>
      <c r="AB7" s="342" t="s">
        <v>103</v>
      </c>
      <c r="AC7" s="344">
        <f>IFERROR(IF(V7="Probabilidad",(M7-(+M7*Y7)),IF(V7="Impacto",M7,"")),"")</f>
        <v>0.36</v>
      </c>
      <c r="AD7" s="345" t="str">
        <f>IFERROR(IF(AC7="","",IF(AC7&lt;=0.2,"Muy Baja",IF(AC7&lt;=0.4,"Baja",IF(AC7&lt;=0.6,"Media",IF(AC7&lt;=0.8,"Alta","Muy Alta"))))),"")</f>
        <v>Baja</v>
      </c>
      <c r="AE7" s="343">
        <f>+AC7</f>
        <v>0.36</v>
      </c>
      <c r="AF7" s="345" t="str">
        <f ca="1">IFERROR(IF(AG7="","",IF(AG7&lt;=0.2,"Leve",IF(AG7&lt;=0.4,"Menor",IF(AG7&lt;=0.6,"Moderado",IF(AG7&lt;=0.8,"Mayor","Catastrófico"))))),"")</f>
        <v>Catastrófico</v>
      </c>
      <c r="AG7" s="343">
        <f ca="1">IFERROR(IF(V7="Impacto",(Q7-(+Q7*Y7)),IF(V7="Probabilidad",Q7,"")),"")</f>
        <v>1</v>
      </c>
      <c r="AH7" s="346" t="str">
        <f ca="1">IFERROR(IF(OR(AND(AD7="Muy Baja",AF7="Leve"),AND(AD7="Muy Baja",AF7="Menor"),AND(AD7="Baja",AF7="Leve")),"Bajo",IF(OR(AND(AD7="Muy baja",AF7="Moderado"),AND(AD7="Baja",AF7="Menor"),AND(AD7="Baja",AF7="Moderado"),AND(AD7="Media",AF7="Leve"),AND(AD7="Media",AF7="Menor"),AND(AD7="Media",AF7="Moderado"),AND(AD7="Alta",AF7="Leve"),AND(AD7="Alta",AF7="Menor")),"Moderado",IF(OR(AND(AD7="Muy Baja",AF7="Mayor"),AND(AD7="Baja",AF7="Mayor"),AND(AD7="Media",AF7="Mayor"),AND(AD7="Alta",AF7="Moderado"),AND(AD7="Alta",AF7="Mayor"),AND(AD7="Muy Alta",AF7="Leve"),AND(AD7="Muy Alta",AF7="Menor"),AND(AD7="Muy Alta",AF7="Moderado"),AND(AD7="Muy Alta",AF7="Mayor")),"Alto",IF(OR(AND(AD7="Muy Baja",AF7="Catastrófico"),AND(AD7="Baja",AF7="Catastrófico"),AND(AD7="Media",AF7="Catastrófico"),AND(AD7="Alta",AF7="Catastrófico"),AND(AD7="Muy Alta",AF7="Catastrófico")),"Extremo","")))),"")</f>
        <v>Extremo</v>
      </c>
      <c r="AI7" s="342" t="s">
        <v>26</v>
      </c>
      <c r="AJ7" s="338">
        <v>0</v>
      </c>
      <c r="AK7" s="338">
        <v>0</v>
      </c>
      <c r="AL7" s="338">
        <v>0</v>
      </c>
      <c r="AM7" s="338">
        <v>0</v>
      </c>
      <c r="AN7" s="242"/>
      <c r="AO7" s="271" t="s">
        <v>675</v>
      </c>
      <c r="AP7" s="271" t="s">
        <v>675</v>
      </c>
      <c r="AQ7" s="271" t="s">
        <v>675</v>
      </c>
      <c r="AR7" s="271" t="s">
        <v>675</v>
      </c>
      <c r="AS7" s="271" t="s">
        <v>675</v>
      </c>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row>
    <row r="8" spans="1:78" s="295" customFormat="1" ht="127.5" customHeight="1" x14ac:dyDescent="0.2">
      <c r="A8" s="458"/>
      <c r="B8" s="451"/>
      <c r="C8" s="452"/>
      <c r="D8" s="453"/>
      <c r="E8" s="454"/>
      <c r="F8" s="454"/>
      <c r="G8" s="446"/>
      <c r="H8" s="446"/>
      <c r="I8" s="446"/>
      <c r="J8" s="446"/>
      <c r="K8" s="457"/>
      <c r="L8" s="447"/>
      <c r="M8" s="445"/>
      <c r="N8" s="455"/>
      <c r="O8" s="445">
        <f ca="1">IF(NOT(ISERROR(MATCH(N8,_xlfn.ANCHORARRAY(#REF!),0))),#REF!&amp;"Por favor no seleccionar los criterios de impacto",N8)</f>
        <v>0</v>
      </c>
      <c r="P8" s="447"/>
      <c r="Q8" s="445"/>
      <c r="R8" s="459"/>
      <c r="S8" s="248">
        <v>2</v>
      </c>
      <c r="T8" s="321" t="s">
        <v>896</v>
      </c>
      <c r="U8" s="245" t="s">
        <v>293</v>
      </c>
      <c r="V8" s="322" t="str">
        <f>IF(OR(W8="Preventivo",W8="Detectivo"),"Probabilidad",IF(W8="Correctivo","Impacto",""))</f>
        <v>Probabilidad</v>
      </c>
      <c r="W8" s="323" t="s">
        <v>13</v>
      </c>
      <c r="X8" s="323" t="s">
        <v>8</v>
      </c>
      <c r="Y8" s="324" t="str">
        <f t="shared" si="1"/>
        <v>40%</v>
      </c>
      <c r="Z8" s="323" t="s">
        <v>18</v>
      </c>
      <c r="AA8" s="323" t="s">
        <v>21</v>
      </c>
      <c r="AB8" s="323" t="s">
        <v>103</v>
      </c>
      <c r="AC8" s="325">
        <f>IFERROR(IF(AND(V7="Probabilidad",V8="Probabilidad"),(AE7-(+AE7*Y8)),IF(V8="Probabilidad",(M7-(+M7*Y8)),IF(V8="Impacto",AE7,""))),"")</f>
        <v>0.216</v>
      </c>
      <c r="AD8" s="326" t="str">
        <f>IFERROR(IF(AC8="","",IF(AC8&lt;=0.2,"Muy Baja",IF(AC8&lt;=0.4,"Baja",IF(AC8&lt;=0.6,"Media",IF(AC8&lt;=0.8,"Alta","Muy Alta"))))),"")</f>
        <v>Baja</v>
      </c>
      <c r="AE8" s="324">
        <f t="shared" ref="AE8:AE12" si="2">+AC8</f>
        <v>0.216</v>
      </c>
      <c r="AF8" s="326" t="str">
        <f t="shared" ref="AF8:AF12" ca="1" si="3">IFERROR(IF(AG8="","",IF(AG8&lt;=0.2,"Leve",IF(AG8&lt;=0.4,"Menor",IF(AG8&lt;=0.6,"Moderado",IF(AG8&lt;=0.8,"Mayor","Catastrófico"))))),"")</f>
        <v>Catastrófico</v>
      </c>
      <c r="AG8" s="324">
        <f ca="1">IFERROR(IF(AND(V7="Impacto",V8="Impacto"),(AG7-(+AG7*Y8)),IF(V8="Impacto",($Q$7-(+$Q$7*Y8)),IF(V8="Probabilidad",AG7,""))),"")</f>
        <v>1</v>
      </c>
      <c r="AH8" s="328" t="str">
        <f t="shared" ref="AH8:AH9" ca="1" si="4">IFERROR(IF(OR(AND(AD8="Muy Baja",AF8="Leve"),AND(AD8="Muy Baja",AF8="Menor"),AND(AD8="Baja",AF8="Leve")),"Bajo",IF(OR(AND(AD8="Muy baja",AF8="Moderado"),AND(AD8="Baja",AF8="Menor"),AND(AD8="Baja",AF8="Moderado"),AND(AD8="Media",AF8="Leve"),AND(AD8="Media",AF8="Menor"),AND(AD8="Media",AF8="Moderado"),AND(AD8="Alta",AF8="Leve"),AND(AD8="Alta",AF8="Menor")),"Moderado",IF(OR(AND(AD8="Muy Baja",AF8="Mayor"),AND(AD8="Baja",AF8="Mayor"),AND(AD8="Media",AF8="Mayor"),AND(AD8="Alta",AF8="Moderado"),AND(AD8="Alta",AF8="Mayor"),AND(AD8="Muy Alta",AF8="Leve"),AND(AD8="Muy Alta",AF8="Menor"),AND(AD8="Muy Alta",AF8="Moderado"),AND(AD8="Muy Alta",AF8="Mayor")),"Alto",IF(OR(AND(AD8="Muy Baja",AF8="Catastrófico"),AND(AD8="Baja",AF8="Catastrófico"),AND(AD8="Media",AF8="Catastrófico"),AND(AD8="Alta",AF8="Catastrófico"),AND(AD8="Muy Alta",AF8="Catastrófico")),"Extremo","")))),"")</f>
        <v>Extremo</v>
      </c>
      <c r="AI8" s="323" t="s">
        <v>26</v>
      </c>
      <c r="AJ8" s="248">
        <v>1</v>
      </c>
      <c r="AK8" s="248">
        <v>1</v>
      </c>
      <c r="AL8" s="248">
        <v>0</v>
      </c>
      <c r="AM8" s="248">
        <v>0</v>
      </c>
      <c r="AN8" s="248"/>
      <c r="AO8" s="262" t="s">
        <v>675</v>
      </c>
      <c r="AP8" s="262" t="s">
        <v>675</v>
      </c>
      <c r="AQ8" s="262" t="s">
        <v>675</v>
      </c>
      <c r="AR8" s="262" t="s">
        <v>675</v>
      </c>
      <c r="AS8" s="262" t="s">
        <v>675</v>
      </c>
      <c r="AT8" s="293"/>
      <c r="AU8" s="293"/>
      <c r="AV8" s="293"/>
      <c r="AW8" s="293"/>
      <c r="AX8" s="293"/>
      <c r="AY8" s="293"/>
      <c r="AZ8" s="293"/>
      <c r="BA8" s="293"/>
      <c r="BB8" s="293"/>
      <c r="BC8" s="293"/>
      <c r="BD8" s="293"/>
      <c r="BE8" s="293"/>
      <c r="BF8" s="293"/>
      <c r="BG8" s="293"/>
      <c r="BH8" s="293"/>
      <c r="BI8" s="293"/>
      <c r="BJ8" s="293"/>
      <c r="BK8" s="293"/>
      <c r="BL8" s="293"/>
      <c r="BM8" s="293"/>
      <c r="BN8" s="293"/>
      <c r="BO8" s="293"/>
      <c r="BP8" s="293"/>
      <c r="BQ8" s="293"/>
      <c r="BR8" s="293"/>
      <c r="BS8" s="293"/>
      <c r="BT8" s="293"/>
      <c r="BU8" s="293"/>
      <c r="BV8" s="293"/>
      <c r="BW8" s="293"/>
      <c r="BX8" s="293"/>
      <c r="BY8" s="293"/>
      <c r="BZ8" s="293"/>
    </row>
    <row r="9" spans="1:78" s="295" customFormat="1" ht="12.75" customHeight="1" x14ac:dyDescent="0.2">
      <c r="A9" s="458"/>
      <c r="B9" s="451"/>
      <c r="C9" s="452"/>
      <c r="D9" s="453"/>
      <c r="E9" s="454"/>
      <c r="F9" s="454"/>
      <c r="G9" s="446"/>
      <c r="H9" s="446"/>
      <c r="I9" s="446"/>
      <c r="J9" s="446"/>
      <c r="K9" s="457"/>
      <c r="L9" s="447"/>
      <c r="M9" s="445"/>
      <c r="N9" s="455"/>
      <c r="O9" s="445">
        <f ca="1">IF(NOT(ISERROR(MATCH(N9,_xlfn.ANCHORARRAY(#REF!),0))),#REF!&amp;"Por favor no seleccionar los criterios de impacto",N9)</f>
        <v>0</v>
      </c>
      <c r="P9" s="447"/>
      <c r="Q9" s="445"/>
      <c r="R9" s="459"/>
      <c r="S9" s="248">
        <v>3</v>
      </c>
      <c r="T9" s="321"/>
      <c r="U9" s="245"/>
      <c r="V9" s="322" t="str">
        <f>IF(OR(W9="Preventivo",W9="Detectivo"),"Probabilidad",IF(W9="Correctivo","Impacto",""))</f>
        <v/>
      </c>
      <c r="W9" s="323"/>
      <c r="X9" s="323"/>
      <c r="Y9" s="324" t="str">
        <f>IF(AND(W9="Preventivo",X9="Automático"),"50%",IF(AND(W9="Preventivo",X9="Manual"),"40%",IF(AND(W9="Detectivo",X9="Automático"),"40%",IF(AND(W9="Detectivo",X9="Manual"),"30%",IF(AND(W9="Correctivo",X9="Automático"),"35%",IF(AND(W9="Correctivo",X9="Manual"),"25%",""))))))</f>
        <v/>
      </c>
      <c r="Z9" s="323"/>
      <c r="AA9" s="323"/>
      <c r="AB9" s="323"/>
      <c r="AC9" s="325" t="str">
        <f t="shared" ref="AC9:AC12" si="5">IFERROR(IF(AND(V8="Probabilidad",V9="Probabilidad"),(AE8-(+AE8*Y9)),IF(AND(V8="Impacto",V9="Probabilidad"),(AE7-(+AE7*Y9)),IF(V9="Impacto",AE8,""))),"")</f>
        <v/>
      </c>
      <c r="AD9" s="326" t="str">
        <f t="shared" ref="AD9:AD12" si="6">IFERROR(IF(AC9="","",IF(AC9&lt;=0.2,"Muy Baja",IF(AC9&lt;=0.4,"Baja",IF(AC9&lt;=0.6,"Media",IF(AC9&lt;=0.8,"Alta","Muy Alta"))))),"")</f>
        <v/>
      </c>
      <c r="AE9" s="324" t="str">
        <f t="shared" si="2"/>
        <v/>
      </c>
      <c r="AF9" s="326" t="str">
        <f t="shared" si="3"/>
        <v/>
      </c>
      <c r="AG9" s="324" t="str">
        <f t="shared" ref="AG9:AG12" si="7">IFERROR(IF(AND(V8="Impacto",V9="Impacto"),(AG8-(+AG8*Y9)),IF(V9="Impacto",($Q$7-(+$Q$7*Y9)),IF(V9="Probabilidad",AG8,""))),"")</f>
        <v/>
      </c>
      <c r="AH9" s="328" t="str">
        <f t="shared" si="4"/>
        <v/>
      </c>
      <c r="AI9" s="323"/>
      <c r="AJ9" s="249"/>
      <c r="AK9" s="249"/>
      <c r="AL9" s="249"/>
      <c r="AM9" s="249"/>
      <c r="AN9" s="278"/>
      <c r="AO9" s="277"/>
      <c r="AP9" s="277"/>
      <c r="AQ9" s="276"/>
      <c r="AR9" s="263"/>
      <c r="AS9" s="277"/>
      <c r="AT9" s="293"/>
      <c r="AU9" s="293"/>
      <c r="AV9" s="293"/>
      <c r="AW9" s="293"/>
      <c r="AX9" s="293"/>
      <c r="AY9" s="293"/>
      <c r="AZ9" s="293"/>
      <c r="BA9" s="293"/>
      <c r="BB9" s="293"/>
      <c r="BC9" s="293"/>
      <c r="BD9" s="293"/>
      <c r="BE9" s="293"/>
      <c r="BF9" s="293"/>
      <c r="BG9" s="293"/>
      <c r="BH9" s="293"/>
      <c r="BI9" s="293"/>
      <c r="BJ9" s="293"/>
      <c r="BK9" s="293"/>
      <c r="BL9" s="293"/>
      <c r="BM9" s="293"/>
      <c r="BN9" s="293"/>
      <c r="BO9" s="293"/>
      <c r="BP9" s="293"/>
      <c r="BQ9" s="293"/>
      <c r="BR9" s="293"/>
      <c r="BS9" s="293"/>
      <c r="BT9" s="293"/>
      <c r="BU9" s="293"/>
      <c r="BV9" s="293"/>
      <c r="BW9" s="293"/>
      <c r="BX9" s="293"/>
      <c r="BY9" s="293"/>
      <c r="BZ9" s="293"/>
    </row>
    <row r="10" spans="1:78" s="295" customFormat="1" ht="12.75" customHeight="1" x14ac:dyDescent="0.2">
      <c r="A10" s="458"/>
      <c r="B10" s="451"/>
      <c r="C10" s="452"/>
      <c r="D10" s="453"/>
      <c r="E10" s="454"/>
      <c r="F10" s="454"/>
      <c r="G10" s="446"/>
      <c r="H10" s="446"/>
      <c r="I10" s="446"/>
      <c r="J10" s="446"/>
      <c r="K10" s="457"/>
      <c r="L10" s="447"/>
      <c r="M10" s="445"/>
      <c r="N10" s="455"/>
      <c r="O10" s="445">
        <f ca="1">IF(NOT(ISERROR(MATCH(N10,_xlfn.ANCHORARRAY(#REF!),0))),#REF!&amp;"Por favor no seleccionar los criterios de impacto",N10)</f>
        <v>0</v>
      </c>
      <c r="P10" s="447"/>
      <c r="Q10" s="445"/>
      <c r="R10" s="459"/>
      <c r="S10" s="248">
        <v>4</v>
      </c>
      <c r="T10" s="330"/>
      <c r="U10" s="245"/>
      <c r="V10" s="322" t="str">
        <f t="shared" ref="V10:V12" si="8">IF(OR(W10="Preventivo",W10="Detectivo"),"Probabilidad",IF(W10="Correctivo","Impacto",""))</f>
        <v/>
      </c>
      <c r="W10" s="323"/>
      <c r="X10" s="323"/>
      <c r="Y10" s="324" t="str">
        <f t="shared" ref="Y10:Y12" si="9">IF(AND(W10="Preventivo",X10="Automático"),"50%",IF(AND(W10="Preventivo",X10="Manual"),"40%",IF(AND(W10="Detectivo",X10="Automático"),"40%",IF(AND(W10="Detectivo",X10="Manual"),"30%",IF(AND(W10="Correctivo",X10="Automático"),"35%",IF(AND(W10="Correctivo",X10="Manual"),"25%",""))))))</f>
        <v/>
      </c>
      <c r="Z10" s="323"/>
      <c r="AA10" s="323"/>
      <c r="AB10" s="323"/>
      <c r="AC10" s="325" t="str">
        <f t="shared" si="5"/>
        <v/>
      </c>
      <c r="AD10" s="326" t="str">
        <f t="shared" si="6"/>
        <v/>
      </c>
      <c r="AE10" s="324" t="str">
        <f t="shared" si="2"/>
        <v/>
      </c>
      <c r="AF10" s="326" t="str">
        <f t="shared" si="3"/>
        <v/>
      </c>
      <c r="AG10" s="324" t="str">
        <f t="shared" si="7"/>
        <v/>
      </c>
      <c r="AH10" s="328"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
      </c>
      <c r="AI10" s="323"/>
      <c r="AJ10" s="249"/>
      <c r="AK10" s="249"/>
      <c r="AL10" s="249"/>
      <c r="AM10" s="249"/>
      <c r="AN10" s="278"/>
      <c r="AO10" s="209"/>
      <c r="AP10" s="209"/>
      <c r="AQ10" s="244"/>
      <c r="AR10" s="263"/>
      <c r="AS10" s="209"/>
      <c r="AT10" s="293"/>
      <c r="AU10" s="293"/>
      <c r="AV10" s="293"/>
      <c r="AW10" s="293"/>
      <c r="AX10" s="293"/>
      <c r="AY10" s="293"/>
      <c r="AZ10" s="293"/>
      <c r="BA10" s="293"/>
      <c r="BB10" s="293"/>
      <c r="BC10" s="293"/>
      <c r="BD10" s="293"/>
      <c r="BE10" s="293"/>
      <c r="BF10" s="293"/>
      <c r="BG10" s="293"/>
      <c r="BH10" s="293"/>
      <c r="BI10" s="293"/>
      <c r="BJ10" s="293"/>
      <c r="BK10" s="293"/>
      <c r="BL10" s="293"/>
      <c r="BM10" s="293"/>
      <c r="BN10" s="293"/>
      <c r="BO10" s="293"/>
      <c r="BP10" s="293"/>
      <c r="BQ10" s="293"/>
      <c r="BR10" s="293"/>
      <c r="BS10" s="293"/>
      <c r="BT10" s="293"/>
      <c r="BU10" s="293"/>
      <c r="BV10" s="293"/>
      <c r="BW10" s="293"/>
      <c r="BX10" s="293"/>
      <c r="BY10" s="293"/>
      <c r="BZ10" s="293"/>
    </row>
    <row r="11" spans="1:78" s="295" customFormat="1" ht="12.75" customHeight="1" x14ac:dyDescent="0.2">
      <c r="A11" s="458"/>
      <c r="B11" s="451"/>
      <c r="C11" s="452"/>
      <c r="D11" s="453"/>
      <c r="E11" s="454"/>
      <c r="F11" s="454"/>
      <c r="G11" s="446"/>
      <c r="H11" s="446"/>
      <c r="I11" s="446"/>
      <c r="J11" s="446"/>
      <c r="K11" s="457"/>
      <c r="L11" s="447"/>
      <c r="M11" s="445"/>
      <c r="N11" s="455"/>
      <c r="O11" s="445">
        <f ca="1">IF(NOT(ISERROR(MATCH(N11,_xlfn.ANCHORARRAY(#REF!),0))),#REF!&amp;"Por favor no seleccionar los criterios de impacto",N11)</f>
        <v>0</v>
      </c>
      <c r="P11" s="447"/>
      <c r="Q11" s="445"/>
      <c r="R11" s="459"/>
      <c r="S11" s="248">
        <v>5</v>
      </c>
      <c r="T11" s="330"/>
      <c r="U11" s="245"/>
      <c r="V11" s="322" t="str">
        <f t="shared" si="8"/>
        <v/>
      </c>
      <c r="W11" s="323"/>
      <c r="X11" s="323"/>
      <c r="Y11" s="324" t="str">
        <f t="shared" si="9"/>
        <v/>
      </c>
      <c r="Z11" s="323"/>
      <c r="AA11" s="323"/>
      <c r="AB11" s="323"/>
      <c r="AC11" s="325" t="str">
        <f t="shared" si="5"/>
        <v/>
      </c>
      <c r="AD11" s="326" t="str">
        <f t="shared" si="6"/>
        <v/>
      </c>
      <c r="AE11" s="324" t="str">
        <f t="shared" si="2"/>
        <v/>
      </c>
      <c r="AF11" s="326" t="str">
        <f t="shared" si="3"/>
        <v/>
      </c>
      <c r="AG11" s="324" t="str">
        <f t="shared" si="7"/>
        <v/>
      </c>
      <c r="AH11" s="328" t="str">
        <f t="shared" ref="AH11:AH12" si="10">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
      </c>
      <c r="AI11" s="323"/>
      <c r="AJ11" s="249"/>
      <c r="AK11" s="249"/>
      <c r="AL11" s="249"/>
      <c r="AM11" s="249"/>
      <c r="AN11" s="278"/>
      <c r="AO11" s="276"/>
      <c r="AP11" s="276"/>
      <c r="AQ11" s="278"/>
      <c r="AR11" s="211"/>
      <c r="AS11" s="211"/>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row>
    <row r="12" spans="1:78" s="295" customFormat="1" ht="12.75" customHeight="1" x14ac:dyDescent="0.2">
      <c r="A12" s="458"/>
      <c r="B12" s="451"/>
      <c r="C12" s="452"/>
      <c r="D12" s="453"/>
      <c r="E12" s="454"/>
      <c r="F12" s="454"/>
      <c r="G12" s="446"/>
      <c r="H12" s="446"/>
      <c r="I12" s="446"/>
      <c r="J12" s="446"/>
      <c r="K12" s="457"/>
      <c r="L12" s="447"/>
      <c r="M12" s="445"/>
      <c r="N12" s="455"/>
      <c r="O12" s="445">
        <f ca="1">IF(NOT(ISERROR(MATCH(N12,_xlfn.ANCHORARRAY(#REF!),0))),M19&amp;"Por favor no seleccionar los criterios de impacto",N12)</f>
        <v>0</v>
      </c>
      <c r="P12" s="447"/>
      <c r="Q12" s="445"/>
      <c r="R12" s="459"/>
      <c r="S12" s="248">
        <v>6</v>
      </c>
      <c r="T12" s="330"/>
      <c r="U12" s="245"/>
      <c r="V12" s="322" t="str">
        <f t="shared" si="8"/>
        <v/>
      </c>
      <c r="W12" s="323"/>
      <c r="X12" s="323"/>
      <c r="Y12" s="324" t="str">
        <f t="shared" si="9"/>
        <v/>
      </c>
      <c r="Z12" s="323"/>
      <c r="AA12" s="323"/>
      <c r="AB12" s="323"/>
      <c r="AC12" s="325" t="str">
        <f t="shared" si="5"/>
        <v/>
      </c>
      <c r="AD12" s="326" t="str">
        <f t="shared" si="6"/>
        <v/>
      </c>
      <c r="AE12" s="324" t="str">
        <f t="shared" si="2"/>
        <v/>
      </c>
      <c r="AF12" s="326" t="str">
        <f t="shared" si="3"/>
        <v/>
      </c>
      <c r="AG12" s="324" t="str">
        <f t="shared" si="7"/>
        <v/>
      </c>
      <c r="AH12" s="328" t="str">
        <f t="shared" si="10"/>
        <v/>
      </c>
      <c r="AI12" s="323"/>
      <c r="AJ12" s="249"/>
      <c r="AK12" s="249"/>
      <c r="AL12" s="249"/>
      <c r="AM12" s="249"/>
      <c r="AN12" s="278"/>
      <c r="AO12" s="276"/>
      <c r="AP12" s="276"/>
      <c r="AQ12" s="278"/>
      <c r="AR12" s="211"/>
      <c r="AS12" s="211"/>
      <c r="AT12" s="293"/>
      <c r="AU12" s="293"/>
      <c r="AV12" s="293"/>
      <c r="AW12" s="293"/>
      <c r="AX12" s="293"/>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row>
    <row r="13" spans="1:78" s="294" customFormat="1" ht="94.5" customHeight="1" x14ac:dyDescent="0.2">
      <c r="A13" s="458" t="s">
        <v>1010</v>
      </c>
      <c r="B13" s="451" t="s">
        <v>830</v>
      </c>
      <c r="C13" s="452" t="s">
        <v>589</v>
      </c>
      <c r="D13" s="453" t="s">
        <v>619</v>
      </c>
      <c r="E13" s="454" t="s">
        <v>107</v>
      </c>
      <c r="F13" s="454" t="s">
        <v>1002</v>
      </c>
      <c r="G13" s="446" t="s">
        <v>675</v>
      </c>
      <c r="H13" s="446" t="s">
        <v>1021</v>
      </c>
      <c r="I13" s="446" t="s">
        <v>654</v>
      </c>
      <c r="J13" s="446" t="s">
        <v>931</v>
      </c>
      <c r="K13" s="457">
        <v>50</v>
      </c>
      <c r="L13" s="447" t="str">
        <f t="shared" ref="L13" si="11">IF(K13&lt;=0,"",IF(K13&lt;=2,"Muy Baja",IF(K13&lt;=24,"Baja",IF(K13&lt;=500,"Media",IF(K13&lt;=5000,"Alta","Muy Alta")))))</f>
        <v>Media</v>
      </c>
      <c r="M13" s="445">
        <f>IF(L13="","",IF(L13="Muy Baja",0.2,IF(L13="Baja",0.4,IF(L13="Media",0.6,IF(L13="Alta",0.8,IF(L13="Muy Alta",1,))))))</f>
        <v>0.6</v>
      </c>
      <c r="N13" s="455" t="s">
        <v>123</v>
      </c>
      <c r="O13" s="445" t="str">
        <f ca="1">IF(NOT(ISERROR(MATCH(N13,'Tabla Impacto'!$B$221:$B$223,0))),'Tabla Impacto'!$F$223&amp;"Por favor no seleccionar los criterios de impacto(Afectación Económica o presupuestal y Pérdida Reputacional)",N13)</f>
        <v xml:space="preserve">     El riesgo afecta la imagen de la entidad a nivel nacional, con efecto publicitarios sostenible a nivel país</v>
      </c>
      <c r="P13" s="447" t="str">
        <f ca="1">IF(OR(O13='Tabla Impacto'!$C$11,O13='Tabla Impacto'!$D$11),"Leve",IF(OR(O13='Tabla Impacto'!$C$12,O13='Tabla Impacto'!$D$12),"Menor",IF(OR(O13='Tabla Impacto'!$C$13,O13='Tabla Impacto'!$D$13),"Moderado",IF(OR(O13='Tabla Impacto'!$C$14,O13='Tabla Impacto'!$D$14),"Mayor",IF(OR(O13='Tabla Impacto'!$C$15,O13='Tabla Impacto'!$D$15),"Catastrófico","")))))</f>
        <v>Catastrófico</v>
      </c>
      <c r="Q13" s="445">
        <f ca="1">IF(P13="","",IF(P13="Leve",0.2,IF(P13="Menor",0.4,IF(P13="Moderado",0.6,IF(P13="Mayor",0.8,IF(P13="Catastrófico",1,))))))</f>
        <v>1</v>
      </c>
      <c r="R13" s="459" t="str">
        <f ca="1">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Extremo</v>
      </c>
      <c r="S13" s="248">
        <v>1</v>
      </c>
      <c r="T13" s="321" t="s">
        <v>932</v>
      </c>
      <c r="U13" s="245" t="s">
        <v>293</v>
      </c>
      <c r="V13" s="322" t="str">
        <f>IF(OR(W13="Preventivo",W13="Detectivo"),"Probabilidad",IF(W13="Correctivo","Impacto",""))</f>
        <v>Probabilidad</v>
      </c>
      <c r="W13" s="323" t="s">
        <v>13</v>
      </c>
      <c r="X13" s="323" t="s">
        <v>8</v>
      </c>
      <c r="Y13" s="324" t="str">
        <f t="shared" ref="Y13" si="12">IF(AND(W13="Preventivo",X13="Automático"),"50%",IF(AND(W13="Preventivo",X13="Manual"),"40%",IF(AND(W13="Detectivo",X13="Automático"),"40%",IF(AND(W13="Detectivo",X13="Manual"),"30%",IF(AND(W13="Correctivo",X13="Automático"),"35%",IF(AND(W13="Correctivo",X13="Manual"),"25%",""))))))</f>
        <v>40%</v>
      </c>
      <c r="Z13" s="323" t="s">
        <v>18</v>
      </c>
      <c r="AA13" s="323" t="s">
        <v>21</v>
      </c>
      <c r="AB13" s="323" t="s">
        <v>103</v>
      </c>
      <c r="AC13" s="325">
        <f t="shared" ref="AC13" si="13">IFERROR(IF(V13="Probabilidad",(M13-(+M13*Y13)),IF(V13="Impacto",M13,"")),"")</f>
        <v>0.36</v>
      </c>
      <c r="AD13" s="326" t="str">
        <f>IFERROR(IF(AC13="","",IF(AC13&lt;=0.2,"Muy Baja",IF(AC13&lt;=0.4,"Baja",IF(AC13&lt;=0.6,"Media",IF(AC13&lt;=0.8,"Alta","Muy Alta"))))),"")</f>
        <v>Baja</v>
      </c>
      <c r="AE13" s="324">
        <f>+AC13</f>
        <v>0.36</v>
      </c>
      <c r="AF13" s="326" t="str">
        <f ca="1">IFERROR(IF(AG13="","",IF(AG13&lt;=0.2,"Leve",IF(AG13&lt;=0.4,"Menor",IF(AG13&lt;=0.6,"Moderado",IF(AG13&lt;=0.8,"Mayor","Catastrófico"))))),"")</f>
        <v>Catastrófico</v>
      </c>
      <c r="AG13" s="324">
        <f ca="1">IFERROR(IF(V13="Impacto",(Q13-(+Q13*Y13)),IF(V13="Probabilidad",Q13,"")),"")</f>
        <v>1</v>
      </c>
      <c r="AH13" s="328" t="str">
        <f ca="1">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Extremo</v>
      </c>
      <c r="AI13" s="323" t="s">
        <v>26</v>
      </c>
      <c r="AJ13" s="248">
        <v>0</v>
      </c>
      <c r="AK13" s="248">
        <v>0</v>
      </c>
      <c r="AL13" s="248">
        <v>0</v>
      </c>
      <c r="AM13" s="248">
        <v>0</v>
      </c>
      <c r="AN13" s="238"/>
      <c r="AO13" s="259"/>
      <c r="AP13" s="259"/>
      <c r="AQ13" s="239"/>
      <c r="AR13" s="264"/>
      <c r="AS13" s="265"/>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row>
    <row r="14" spans="1:78" s="295" customFormat="1" ht="112.9" customHeight="1" x14ac:dyDescent="0.2">
      <c r="A14" s="458"/>
      <c r="B14" s="451"/>
      <c r="C14" s="452"/>
      <c r="D14" s="453"/>
      <c r="E14" s="454"/>
      <c r="F14" s="454"/>
      <c r="G14" s="446"/>
      <c r="H14" s="446"/>
      <c r="I14" s="446"/>
      <c r="J14" s="446"/>
      <c r="K14" s="457"/>
      <c r="L14" s="447"/>
      <c r="M14" s="445"/>
      <c r="N14" s="455"/>
      <c r="O14" s="445">
        <f ca="1">IF(NOT(ISERROR(MATCH(N14,_xlfn.ANCHORARRAY(#REF!),0))),#REF!&amp;"Por favor no seleccionar los criterios de impacto",N14)</f>
        <v>0</v>
      </c>
      <c r="P14" s="447"/>
      <c r="Q14" s="445"/>
      <c r="R14" s="459"/>
      <c r="S14" s="248">
        <v>2</v>
      </c>
      <c r="T14" s="321"/>
      <c r="U14" s="245"/>
      <c r="V14" s="322"/>
      <c r="W14" s="323"/>
      <c r="X14" s="323"/>
      <c r="Y14" s="324"/>
      <c r="Z14" s="323"/>
      <c r="AA14" s="323"/>
      <c r="AB14" s="323"/>
      <c r="AC14" s="325"/>
      <c r="AD14" s="326"/>
      <c r="AE14" s="324"/>
      <c r="AF14" s="326"/>
      <c r="AG14" s="324"/>
      <c r="AH14" s="328"/>
      <c r="AI14" s="323"/>
      <c r="AJ14" s="248"/>
      <c r="AK14" s="248"/>
      <c r="AL14" s="248"/>
      <c r="AM14" s="248"/>
      <c r="AN14" s="248"/>
      <c r="AO14" s="277"/>
      <c r="AP14" s="277"/>
      <c r="AQ14" s="276"/>
      <c r="AR14" s="263"/>
      <c r="AS14" s="277"/>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row>
    <row r="15" spans="1:78" s="295" customFormat="1" ht="14.25" x14ac:dyDescent="0.2">
      <c r="A15" s="458"/>
      <c r="B15" s="451"/>
      <c r="C15" s="452"/>
      <c r="D15" s="453"/>
      <c r="E15" s="454"/>
      <c r="F15" s="454"/>
      <c r="G15" s="446"/>
      <c r="H15" s="446"/>
      <c r="I15" s="446"/>
      <c r="J15" s="446"/>
      <c r="K15" s="457"/>
      <c r="L15" s="447"/>
      <c r="M15" s="445"/>
      <c r="N15" s="455"/>
      <c r="O15" s="445">
        <f ca="1">IF(NOT(ISERROR(MATCH(N15,_xlfn.ANCHORARRAY(#REF!),0))),#REF!&amp;"Por favor no seleccionar los criterios de impacto",N15)</f>
        <v>0</v>
      </c>
      <c r="P15" s="447"/>
      <c r="Q15" s="445"/>
      <c r="R15" s="459"/>
      <c r="S15" s="248">
        <v>3</v>
      </c>
      <c r="T15" s="330"/>
      <c r="U15" s="245"/>
      <c r="V15" s="322"/>
      <c r="W15" s="323"/>
      <c r="X15" s="323"/>
      <c r="Y15" s="324"/>
      <c r="Z15" s="323"/>
      <c r="AA15" s="323"/>
      <c r="AB15" s="323"/>
      <c r="AC15" s="325"/>
      <c r="AD15" s="326"/>
      <c r="AE15" s="324"/>
      <c r="AF15" s="326"/>
      <c r="AG15" s="324"/>
      <c r="AH15" s="328"/>
      <c r="AI15" s="323"/>
      <c r="AJ15" s="248"/>
      <c r="AK15" s="248"/>
      <c r="AL15" s="248"/>
      <c r="AM15" s="248"/>
      <c r="AN15" s="248"/>
      <c r="AO15" s="277"/>
      <c r="AP15" s="277"/>
      <c r="AQ15" s="276"/>
      <c r="AR15" s="263"/>
      <c r="AS15" s="277"/>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row>
    <row r="16" spans="1:78" s="295" customFormat="1" ht="15.75" customHeight="1" x14ac:dyDescent="0.2">
      <c r="A16" s="458"/>
      <c r="B16" s="451"/>
      <c r="C16" s="452"/>
      <c r="D16" s="453"/>
      <c r="E16" s="454"/>
      <c r="F16" s="454"/>
      <c r="G16" s="446"/>
      <c r="H16" s="446"/>
      <c r="I16" s="446"/>
      <c r="J16" s="446"/>
      <c r="K16" s="457"/>
      <c r="L16" s="447"/>
      <c r="M16" s="445"/>
      <c r="N16" s="455"/>
      <c r="O16" s="445">
        <f ca="1">IF(NOT(ISERROR(MATCH(N16,_xlfn.ANCHORARRAY(#REF!),0))),#REF!&amp;"Por favor no seleccionar los criterios de impacto",N16)</f>
        <v>0</v>
      </c>
      <c r="P16" s="447"/>
      <c r="Q16" s="445"/>
      <c r="R16" s="459"/>
      <c r="S16" s="248">
        <v>4</v>
      </c>
      <c r="T16" s="330"/>
      <c r="U16" s="245"/>
      <c r="V16" s="322" t="str">
        <f t="shared" ref="V16:V18" si="14">IF(OR(W16="Preventivo",W16="Detectivo"),"Probabilidad",IF(W16="Correctivo","Impacto",""))</f>
        <v/>
      </c>
      <c r="W16" s="323"/>
      <c r="X16" s="323"/>
      <c r="Y16" s="324" t="str">
        <f t="shared" ref="Y16:Y18" si="15">IF(AND(W16="Preventivo",X16="Automático"),"50%",IF(AND(W16="Preventivo",X16="Manual"),"40%",IF(AND(W16="Detectivo",X16="Automático"),"40%",IF(AND(W16="Detectivo",X16="Manual"),"30%",IF(AND(W16="Correctivo",X16="Automático"),"35%",IF(AND(W16="Correctivo",X16="Manual"),"25%",""))))))</f>
        <v/>
      </c>
      <c r="Z16" s="323"/>
      <c r="AA16" s="323"/>
      <c r="AB16" s="323"/>
      <c r="AC16" s="325" t="str">
        <f t="shared" ref="AC16:AC18" si="16">IFERROR(IF(AND(V15="Probabilidad",V16="Probabilidad"),(AE15-(+AE15*Y16)),IF(AND(V15="Impacto",V16="Probabilidad"),(AE14-(+AE14*Y16)),IF(V16="Impacto",AE15,""))),"")</f>
        <v/>
      </c>
      <c r="AD16" s="326" t="str">
        <f t="shared" ref="AD16:AD18" si="17">IFERROR(IF(AC16="","",IF(AC16&lt;=0.2,"Muy Baja",IF(AC16&lt;=0.4,"Baja",IF(AC16&lt;=0.6,"Media",IF(AC16&lt;=0.8,"Alta","Muy Alta"))))),"")</f>
        <v/>
      </c>
      <c r="AE16" s="324" t="str">
        <f t="shared" ref="AE16:AE18" si="18">+AC16</f>
        <v/>
      </c>
      <c r="AF16" s="326" t="str">
        <f t="shared" ref="AF16:AF18" si="19">IFERROR(IF(AG16="","",IF(AG16&lt;=0.2,"Leve",IF(AG16&lt;=0.4,"Menor",IF(AG16&lt;=0.6,"Moderado",IF(AG16&lt;=0.8,"Mayor","Catastrófico"))))),"")</f>
        <v/>
      </c>
      <c r="AG16" s="324" t="str">
        <f>IFERROR(IF(AND(V15="Impacto",V16="Impacto"),(AG15-(+AG15*Y16)),IF(V16="Impacto",(#REF!-(+#REF!*Y16)),IF(V16="Probabilidad",AG15,""))),"")</f>
        <v/>
      </c>
      <c r="AH16" s="328"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
      </c>
      <c r="AI16" s="323"/>
      <c r="AJ16" s="249"/>
      <c r="AK16" s="249"/>
      <c r="AL16" s="249"/>
      <c r="AM16" s="249"/>
      <c r="AN16" s="278"/>
      <c r="AO16" s="209"/>
      <c r="AP16" s="209"/>
      <c r="AQ16" s="244"/>
      <c r="AR16" s="263"/>
      <c r="AS16" s="209"/>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row>
    <row r="17" spans="1:78" s="295" customFormat="1" ht="15.75" customHeight="1" x14ac:dyDescent="0.2">
      <c r="A17" s="458"/>
      <c r="B17" s="451"/>
      <c r="C17" s="452"/>
      <c r="D17" s="453"/>
      <c r="E17" s="454"/>
      <c r="F17" s="454"/>
      <c r="G17" s="446"/>
      <c r="H17" s="446"/>
      <c r="I17" s="446"/>
      <c r="J17" s="446"/>
      <c r="K17" s="457"/>
      <c r="L17" s="447"/>
      <c r="M17" s="445"/>
      <c r="N17" s="455"/>
      <c r="O17" s="445">
        <f ca="1">IF(NOT(ISERROR(MATCH(N17,_xlfn.ANCHORARRAY(#REF!),0))),#REF!&amp;"Por favor no seleccionar los criterios de impacto",N17)</f>
        <v>0</v>
      </c>
      <c r="P17" s="447"/>
      <c r="Q17" s="445"/>
      <c r="R17" s="459"/>
      <c r="S17" s="248">
        <v>5</v>
      </c>
      <c r="T17" s="330"/>
      <c r="U17" s="245"/>
      <c r="V17" s="322" t="str">
        <f t="shared" si="14"/>
        <v/>
      </c>
      <c r="W17" s="323"/>
      <c r="X17" s="323"/>
      <c r="Y17" s="324" t="str">
        <f t="shared" si="15"/>
        <v/>
      </c>
      <c r="Z17" s="323"/>
      <c r="AA17" s="323"/>
      <c r="AB17" s="323"/>
      <c r="AC17" s="325" t="str">
        <f t="shared" si="16"/>
        <v/>
      </c>
      <c r="AD17" s="326" t="str">
        <f t="shared" si="17"/>
        <v/>
      </c>
      <c r="AE17" s="324" t="str">
        <f t="shared" si="18"/>
        <v/>
      </c>
      <c r="AF17" s="326" t="str">
        <f t="shared" si="19"/>
        <v/>
      </c>
      <c r="AG17" s="324" t="str">
        <f>IFERROR(IF(AND(V16="Impacto",V17="Impacto"),(AG16-(+AG16*Y17)),IF(V17="Impacto",(#REF!-(+#REF!*Y17)),IF(V17="Probabilidad",AG16,""))),"")</f>
        <v/>
      </c>
      <c r="AH17" s="328" t="str">
        <f t="shared" ref="AH17:AH18" si="20">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
      </c>
      <c r="AI17" s="323"/>
      <c r="AJ17" s="249"/>
      <c r="AK17" s="249"/>
      <c r="AL17" s="249"/>
      <c r="AM17" s="249"/>
      <c r="AN17" s="278"/>
      <c r="AO17" s="276"/>
      <c r="AP17" s="276"/>
      <c r="AQ17" s="278"/>
      <c r="AR17" s="211"/>
      <c r="AS17" s="211"/>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row>
    <row r="18" spans="1:78" s="295" customFormat="1" ht="15.75" customHeight="1" x14ac:dyDescent="0.2">
      <c r="A18" s="458"/>
      <c r="B18" s="451"/>
      <c r="C18" s="452"/>
      <c r="D18" s="453"/>
      <c r="E18" s="454"/>
      <c r="F18" s="454"/>
      <c r="G18" s="446"/>
      <c r="H18" s="446"/>
      <c r="I18" s="446"/>
      <c r="J18" s="446"/>
      <c r="K18" s="457"/>
      <c r="L18" s="447"/>
      <c r="M18" s="445"/>
      <c r="N18" s="455"/>
      <c r="O18" s="445">
        <f ca="1">IF(NOT(ISERROR(MATCH(N18,_xlfn.ANCHORARRAY(#REF!),0))),M25&amp;"Por favor no seleccionar los criterios de impacto",N18)</f>
        <v>0</v>
      </c>
      <c r="P18" s="447"/>
      <c r="Q18" s="445"/>
      <c r="R18" s="459"/>
      <c r="S18" s="248">
        <v>6</v>
      </c>
      <c r="T18" s="330"/>
      <c r="U18" s="245"/>
      <c r="V18" s="322" t="str">
        <f t="shared" si="14"/>
        <v/>
      </c>
      <c r="W18" s="323"/>
      <c r="X18" s="323"/>
      <c r="Y18" s="324" t="str">
        <f t="shared" si="15"/>
        <v/>
      </c>
      <c r="Z18" s="323"/>
      <c r="AA18" s="323"/>
      <c r="AB18" s="323"/>
      <c r="AC18" s="325" t="str">
        <f t="shared" si="16"/>
        <v/>
      </c>
      <c r="AD18" s="326" t="str">
        <f t="shared" si="17"/>
        <v/>
      </c>
      <c r="AE18" s="324" t="str">
        <f t="shared" si="18"/>
        <v/>
      </c>
      <c r="AF18" s="326" t="str">
        <f t="shared" si="19"/>
        <v/>
      </c>
      <c r="AG18" s="324" t="str">
        <f>IFERROR(IF(AND(V17="Impacto",V18="Impacto"),(AG17-(+AG17*Y18)),IF(V18="Impacto",(#REF!-(+#REF!*Y18)),IF(V18="Probabilidad",AG17,""))),"")</f>
        <v/>
      </c>
      <c r="AH18" s="328" t="str">
        <f t="shared" si="20"/>
        <v/>
      </c>
      <c r="AI18" s="323"/>
      <c r="AJ18" s="249"/>
      <c r="AK18" s="249"/>
      <c r="AL18" s="249"/>
      <c r="AM18" s="249"/>
      <c r="AN18" s="278"/>
      <c r="AO18" s="276"/>
      <c r="AP18" s="276"/>
      <c r="AQ18" s="278"/>
      <c r="AR18" s="211"/>
      <c r="AS18" s="211"/>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row>
    <row r="19" spans="1:78" s="294" customFormat="1" ht="135.75" customHeight="1" x14ac:dyDescent="0.2">
      <c r="A19" s="458" t="s">
        <v>696</v>
      </c>
      <c r="B19" s="451" t="s">
        <v>830</v>
      </c>
      <c r="C19" s="452" t="s">
        <v>590</v>
      </c>
      <c r="D19" s="453" t="s">
        <v>619</v>
      </c>
      <c r="E19" s="454" t="s">
        <v>107</v>
      </c>
      <c r="F19" s="454" t="s">
        <v>841</v>
      </c>
      <c r="G19" s="446" t="s">
        <v>675</v>
      </c>
      <c r="H19" s="446" t="s">
        <v>843</v>
      </c>
      <c r="I19" s="446" t="s">
        <v>654</v>
      </c>
      <c r="J19" s="446" t="s">
        <v>842</v>
      </c>
      <c r="K19" s="457">
        <v>240</v>
      </c>
      <c r="L19" s="447" t="str">
        <f>IF(K19&lt;=0,"",IF(K19&lt;=2,"Muy Baja",IF(K19&lt;=24,"Baja",IF(K19&lt;=500,"Media",IF(K19&lt;=5000,"Alta","Muy Alta")))))</f>
        <v>Media</v>
      </c>
      <c r="M19" s="445">
        <f>IF(L19="","",IF(L19="Muy Baja",0.2,IF(L19="Baja",0.4,IF(L19="Media",0.6,IF(L19="Alta",0.8,IF(L19="Muy Alta",1,))))))</f>
        <v>0.6</v>
      </c>
      <c r="N19" s="455" t="s">
        <v>122</v>
      </c>
      <c r="O19" s="445" t="str">
        <f ca="1">IF(NOT(ISERROR(MATCH(N19,'Tabla Impacto'!$B$221:$B$223,0))),'Tabla Impacto'!$F$223&amp;"Por favor no seleccionar los criterios de impacto(Afectación Económica o presupuestal y Pérdida Reputacional)",N19)</f>
        <v xml:space="preserve">     El riesgo afecta la imagen de de la entidad con efecto publicitario sostenido a nivel de sector administrativo, nivel departamental o municipal</v>
      </c>
      <c r="P19" s="447" t="str">
        <f ca="1">IF(OR(O19='Tabla Impacto'!$C$11,O19='Tabla Impacto'!$D$11),"Leve",IF(OR(O19='Tabla Impacto'!$C$12,O19='Tabla Impacto'!$D$12),"Menor",IF(OR(O19='Tabla Impacto'!$C$13,O19='Tabla Impacto'!$D$13),"Moderado",IF(OR(O19='Tabla Impacto'!$C$14,O19='Tabla Impacto'!$D$14),"Mayor",IF(OR(O19='Tabla Impacto'!$C$15,O19='Tabla Impacto'!$D$15),"Catastrófico","")))))</f>
        <v>Mayor</v>
      </c>
      <c r="Q19" s="445">
        <f ca="1">IF(P19="","",IF(P19="Leve",0.2,IF(P19="Menor",0.4,IF(P19="Moderado",0.6,IF(P19="Mayor",0.8,IF(P19="Catastrófico",1,))))))</f>
        <v>0.8</v>
      </c>
      <c r="R19" s="459" t="str">
        <f ca="1">IF(OR(AND(L19="Muy Baja",P19="Leve"),AND(L19="Muy Baja",P19="Menor"),AND(L19="Baja",P19="Leve")),"Bajo",IF(OR(AND(L19="Muy baja",P19="Moderado"),AND(L19="Baja",P19="Menor"),AND(L19="Baja",P19="Moderado"),AND(L19="Media",P19="Leve"),AND(L19="Media",P19="Menor"),AND(L19="Media",P19="Moderado"),AND(L19="Alta",P19="Leve"),AND(L19="Alta",P19="Menor")),"Moderado",IF(OR(AND(L19="Muy Baja",P19="Mayor"),AND(L19="Baja",P19="Mayor"),AND(L19="Media",P19="Mayor"),AND(L19="Alta",P19="Moderado"),AND(L19="Alta",P19="Mayor"),AND(L19="Muy Alta",P19="Leve"),AND(L19="Muy Alta",P19="Menor"),AND(L19="Muy Alta",P19="Moderado"),AND(L19="Muy Alta",P19="Mayor")),"Alto",IF(OR(AND(L19="Muy Baja",P19="Catastrófico"),AND(L19="Baja",P19="Catastrófico"),AND(L19="Media",P19="Catastrófico"),AND(L19="Alta",P19="Catastrófico"),AND(L19="Muy Alta",P19="Catastrófico")),"Extremo",""))))</f>
        <v>Alto</v>
      </c>
      <c r="S19" s="248">
        <v>1</v>
      </c>
      <c r="T19" s="321" t="s">
        <v>1084</v>
      </c>
      <c r="U19" s="245" t="s">
        <v>293</v>
      </c>
      <c r="V19" s="322" t="str">
        <f>IF(OR(W19="Preventivo",W19="Detectivo"),"Probabilidad",IF(W19="Correctivo","Impacto",""))</f>
        <v>Probabilidad</v>
      </c>
      <c r="W19" s="323" t="s">
        <v>13</v>
      </c>
      <c r="X19" s="323" t="s">
        <v>8</v>
      </c>
      <c r="Y19" s="324" t="str">
        <f t="shared" ref="Y19:Y20" si="21">IF(AND(W19="Preventivo",X19="Automático"),"50%",IF(AND(W19="Preventivo",X19="Manual"),"40%",IF(AND(W19="Detectivo",X19="Automático"),"40%",IF(AND(W19="Detectivo",X19="Manual"),"30%",IF(AND(W19="Correctivo",X19="Automático"),"35%",IF(AND(W19="Correctivo",X19="Manual"),"25%",""))))))</f>
        <v>40%</v>
      </c>
      <c r="Z19" s="323" t="s">
        <v>18</v>
      </c>
      <c r="AA19" s="323" t="s">
        <v>21</v>
      </c>
      <c r="AB19" s="323" t="s">
        <v>103</v>
      </c>
      <c r="AC19" s="325">
        <f t="shared" ref="AC19" si="22">IFERROR(IF(V19="Probabilidad",(M19-(+M19*Y19)),IF(V19="Impacto",M19,"")),"")</f>
        <v>0.36</v>
      </c>
      <c r="AD19" s="326" t="str">
        <f>IFERROR(IF(AC19="","",IF(AC19&lt;=0.2,"Muy Baja",IF(AC19&lt;=0.4,"Baja",IF(AC19&lt;=0.6,"Media",IF(AC19&lt;=0.8,"Alta","Muy Alta"))))),"")</f>
        <v>Baja</v>
      </c>
      <c r="AE19" s="324">
        <f>+AC19</f>
        <v>0.36</v>
      </c>
      <c r="AF19" s="326" t="str">
        <f ca="1">IFERROR(IF(AG19="","",IF(AG19&lt;=0.2,"Leve",IF(AG19&lt;=0.4,"Menor",IF(AG19&lt;=0.6,"Moderado",IF(AG19&lt;=0.8,"Mayor","Catastrófico"))))),"")</f>
        <v>Mayor</v>
      </c>
      <c r="AG19" s="324">
        <f ca="1">IFERROR(IF(V19="Impacto",(Q19-(+Q19*Y19)),IF(V19="Probabilidad",Q19,"")),"")</f>
        <v>0.8</v>
      </c>
      <c r="AH19" s="328" t="str">
        <f ca="1">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Alto</v>
      </c>
      <c r="AI19" s="323" t="s">
        <v>26</v>
      </c>
      <c r="AJ19" s="248">
        <v>2</v>
      </c>
      <c r="AK19" s="248">
        <v>0</v>
      </c>
      <c r="AL19" s="248">
        <v>1</v>
      </c>
      <c r="AM19" s="248">
        <v>1</v>
      </c>
      <c r="AN19" s="248"/>
      <c r="AO19" s="259"/>
      <c r="AP19" s="259"/>
      <c r="AQ19" s="239"/>
      <c r="AR19" s="264"/>
      <c r="AS19" s="265"/>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row>
    <row r="20" spans="1:78" s="295" customFormat="1" ht="99.75" x14ac:dyDescent="0.2">
      <c r="A20" s="458"/>
      <c r="B20" s="451"/>
      <c r="C20" s="452"/>
      <c r="D20" s="453"/>
      <c r="E20" s="454"/>
      <c r="F20" s="454"/>
      <c r="G20" s="446"/>
      <c r="H20" s="446"/>
      <c r="I20" s="446"/>
      <c r="J20" s="446"/>
      <c r="K20" s="457"/>
      <c r="L20" s="447"/>
      <c r="M20" s="445"/>
      <c r="N20" s="455"/>
      <c r="O20" s="445">
        <f ca="1">IF(NOT(ISERROR(MATCH(N20,_xlfn.ANCHORARRAY(#REF!),0))),#REF!&amp;"Por favor no seleccionar los criterios de impacto",N20)</f>
        <v>0</v>
      </c>
      <c r="P20" s="447"/>
      <c r="Q20" s="445"/>
      <c r="R20" s="459"/>
      <c r="S20" s="248">
        <v>2</v>
      </c>
      <c r="T20" s="321" t="s">
        <v>697</v>
      </c>
      <c r="U20" s="245" t="s">
        <v>293</v>
      </c>
      <c r="V20" s="322" t="str">
        <f>IF(OR(W20="Preventivo",W20="Detectivo"),"Probabilidad",IF(W20="Correctivo","Impacto",""))</f>
        <v>Probabilidad</v>
      </c>
      <c r="W20" s="323" t="s">
        <v>13</v>
      </c>
      <c r="X20" s="323" t="s">
        <v>8</v>
      </c>
      <c r="Y20" s="324" t="str">
        <f t="shared" si="21"/>
        <v>40%</v>
      </c>
      <c r="Z20" s="323" t="s">
        <v>18</v>
      </c>
      <c r="AA20" s="323" t="s">
        <v>21</v>
      </c>
      <c r="AB20" s="323" t="s">
        <v>103</v>
      </c>
      <c r="AC20" s="325">
        <f t="shared" ref="AC20" si="23">IFERROR(IF(AND(V19="Probabilidad",V20="Probabilidad"),(AE19-(+AE19*Y20)),IF(V20="Probabilidad",(M19-(+M19*Y20)),IF(V20="Impacto",AE19,""))),"")</f>
        <v>0.216</v>
      </c>
      <c r="AD20" s="326" t="str">
        <f t="shared" ref="AD20:AD24" si="24">IFERROR(IF(AC20="","",IF(AC20&lt;=0.2,"Muy Baja",IF(AC20&lt;=0.4,"Baja",IF(AC20&lt;=0.6,"Media",IF(AC20&lt;=0.8,"Alta","Muy Alta"))))),"")</f>
        <v>Baja</v>
      </c>
      <c r="AE20" s="324">
        <f t="shared" ref="AE20:AE24" si="25">+AC20</f>
        <v>0.216</v>
      </c>
      <c r="AF20" s="326" t="str">
        <f t="shared" ref="AF20:AF24" ca="1" si="26">IFERROR(IF(AG20="","",IF(AG20&lt;=0.2,"Leve",IF(AG20&lt;=0.4,"Menor",IF(AG20&lt;=0.6,"Moderado",IF(AG20&lt;=0.8,"Mayor","Catastrófico"))))),"")</f>
        <v>Mayor</v>
      </c>
      <c r="AG20" s="324">
        <f ca="1">IFERROR(IF(AND(V19="Impacto",V20="Impacto"),(AG19-(+AG19*Y20)),IF(V20="Impacto",($Q$19-(+$Q$19*Y20)),IF(V20="Probabilidad",AG19,""))),"")</f>
        <v>0.8</v>
      </c>
      <c r="AH20" s="328" t="str">
        <f t="shared" ref="AH20:AH21" ca="1" si="27">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Alto</v>
      </c>
      <c r="AI20" s="323" t="s">
        <v>26</v>
      </c>
      <c r="AJ20" s="248">
        <v>2</v>
      </c>
      <c r="AK20" s="248">
        <v>0</v>
      </c>
      <c r="AL20" s="248">
        <v>1</v>
      </c>
      <c r="AM20" s="248">
        <v>1</v>
      </c>
      <c r="AN20" s="248"/>
      <c r="AO20" s="277"/>
      <c r="AP20" s="277"/>
      <c r="AQ20" s="276"/>
      <c r="AR20" s="263"/>
      <c r="AS20" s="277"/>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row>
    <row r="21" spans="1:78" s="295" customFormat="1" ht="114" x14ac:dyDescent="0.2">
      <c r="A21" s="458"/>
      <c r="B21" s="451"/>
      <c r="C21" s="452"/>
      <c r="D21" s="453"/>
      <c r="E21" s="454"/>
      <c r="F21" s="454"/>
      <c r="G21" s="446"/>
      <c r="H21" s="446"/>
      <c r="I21" s="446"/>
      <c r="J21" s="446"/>
      <c r="K21" s="457"/>
      <c r="L21" s="447"/>
      <c r="M21" s="445"/>
      <c r="N21" s="455"/>
      <c r="O21" s="445">
        <f ca="1">IF(NOT(ISERROR(MATCH(N21,_xlfn.ANCHORARRAY(#REF!),0))),#REF!&amp;"Por favor no seleccionar los criterios de impacto",N21)</f>
        <v>0</v>
      </c>
      <c r="P21" s="447"/>
      <c r="Q21" s="445"/>
      <c r="R21" s="459"/>
      <c r="S21" s="248">
        <v>3</v>
      </c>
      <c r="T21" s="321" t="s">
        <v>698</v>
      </c>
      <c r="U21" s="245" t="s">
        <v>293</v>
      </c>
      <c r="V21" s="322" t="str">
        <f>IF(OR(W21="Preventivo",W21="Detectivo"),"Probabilidad",IF(W21="Correctivo","Impacto",""))</f>
        <v>Probabilidad</v>
      </c>
      <c r="W21" s="323" t="s">
        <v>13</v>
      </c>
      <c r="X21" s="323" t="s">
        <v>8</v>
      </c>
      <c r="Y21" s="324" t="str">
        <f>IF(AND(W21="Preventivo",X21="Automático"),"50%",IF(AND(W21="Preventivo",X21="Manual"),"40%",IF(AND(W21="Detectivo",X21="Automático"),"40%",IF(AND(W21="Detectivo",X21="Manual"),"30%",IF(AND(W21="Correctivo",X21="Automático"),"35%",IF(AND(W21="Correctivo",X21="Manual"),"25%",""))))))</f>
        <v>40%</v>
      </c>
      <c r="Z21" s="323" t="s">
        <v>18</v>
      </c>
      <c r="AA21" s="323" t="s">
        <v>21</v>
      </c>
      <c r="AB21" s="323" t="s">
        <v>103</v>
      </c>
      <c r="AC21" s="325">
        <f t="shared" ref="AC21:AC24" si="28">IFERROR(IF(AND(V20="Probabilidad",V21="Probabilidad"),(AE20-(+AE20*Y21)),IF(AND(V20="Impacto",V21="Probabilidad"),(AE19-(+AE19*Y21)),IF(V21="Impacto",AE20,""))),"")</f>
        <v>0.12959999999999999</v>
      </c>
      <c r="AD21" s="326" t="str">
        <f t="shared" si="24"/>
        <v>Muy Baja</v>
      </c>
      <c r="AE21" s="324">
        <f t="shared" si="25"/>
        <v>0.12959999999999999</v>
      </c>
      <c r="AF21" s="326" t="str">
        <f t="shared" ca="1" si="26"/>
        <v>Mayor</v>
      </c>
      <c r="AG21" s="324">
        <f ca="1">IFERROR(IF(AND(V20="Impacto",V21="Impacto"),(AG20-(+AG20*Y21)),IF(V21="Impacto",($Q$19-(+$Q$19*Y21)),IF(V21="Probabilidad",AG20,""))),"")</f>
        <v>0.8</v>
      </c>
      <c r="AH21" s="328" t="str">
        <f t="shared" ca="1" si="27"/>
        <v>Alto</v>
      </c>
      <c r="AI21" s="323" t="s">
        <v>26</v>
      </c>
      <c r="AJ21" s="248">
        <v>1</v>
      </c>
      <c r="AK21" s="248">
        <v>0</v>
      </c>
      <c r="AL21" s="248">
        <v>1</v>
      </c>
      <c r="AM21" s="248">
        <v>0</v>
      </c>
      <c r="AN21" s="248"/>
      <c r="AO21" s="277"/>
      <c r="AP21" s="277"/>
      <c r="AQ21" s="276"/>
      <c r="AR21" s="263"/>
      <c r="AS21" s="277"/>
      <c r="AT21" s="293"/>
      <c r="AU21" s="293"/>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row>
    <row r="22" spans="1:78" s="295" customFormat="1" ht="105.75" customHeight="1" x14ac:dyDescent="0.2">
      <c r="A22" s="458"/>
      <c r="B22" s="451"/>
      <c r="C22" s="452"/>
      <c r="D22" s="453"/>
      <c r="E22" s="454"/>
      <c r="F22" s="454"/>
      <c r="G22" s="446"/>
      <c r="H22" s="446"/>
      <c r="I22" s="446"/>
      <c r="J22" s="446"/>
      <c r="K22" s="457"/>
      <c r="L22" s="447"/>
      <c r="M22" s="445"/>
      <c r="N22" s="455"/>
      <c r="O22" s="445">
        <f ca="1">IF(NOT(ISERROR(MATCH(N22,_xlfn.ANCHORARRAY(#REF!),0))),#REF!&amp;"Por favor no seleccionar los criterios de impacto",N22)</f>
        <v>0</v>
      </c>
      <c r="P22" s="447"/>
      <c r="Q22" s="445"/>
      <c r="R22" s="459"/>
      <c r="S22" s="248">
        <v>4</v>
      </c>
      <c r="T22" s="321" t="s">
        <v>1093</v>
      </c>
      <c r="U22" s="245" t="s">
        <v>293</v>
      </c>
      <c r="V22" s="322" t="str">
        <f t="shared" ref="V22:V24" si="29">IF(OR(W22="Preventivo",W22="Detectivo"),"Probabilidad",IF(W22="Correctivo","Impacto",""))</f>
        <v>Probabilidad</v>
      </c>
      <c r="W22" s="323" t="s">
        <v>13</v>
      </c>
      <c r="X22" s="323" t="s">
        <v>8</v>
      </c>
      <c r="Y22" s="324" t="str">
        <f t="shared" ref="Y22:Y24" si="30">IF(AND(W22="Preventivo",X22="Automático"),"50%",IF(AND(W22="Preventivo",X22="Manual"),"40%",IF(AND(W22="Detectivo",X22="Automático"),"40%",IF(AND(W22="Detectivo",X22="Manual"),"30%",IF(AND(W22="Correctivo",X22="Automático"),"35%",IF(AND(W22="Correctivo",X22="Manual"),"25%",""))))))</f>
        <v>40%</v>
      </c>
      <c r="Z22" s="323" t="s">
        <v>19</v>
      </c>
      <c r="AA22" s="323" t="s">
        <v>21</v>
      </c>
      <c r="AB22" s="323" t="s">
        <v>103</v>
      </c>
      <c r="AC22" s="325">
        <f t="shared" si="28"/>
        <v>7.7759999999999996E-2</v>
      </c>
      <c r="AD22" s="326" t="str">
        <f t="shared" si="24"/>
        <v>Muy Baja</v>
      </c>
      <c r="AE22" s="324">
        <f t="shared" si="25"/>
        <v>7.7759999999999996E-2</v>
      </c>
      <c r="AF22" s="326" t="str">
        <f t="shared" ca="1" si="26"/>
        <v>Mayor</v>
      </c>
      <c r="AG22" s="324">
        <f t="shared" ref="AG22:AG24" ca="1" si="31">IFERROR(IF(AND(V21="Impacto",V22="Impacto"),(AG21-(+AG21*Y22)),IF(V22="Impacto",($Q$19-(+$Q$19*Y22)),IF(V22="Probabilidad",AG21,""))),"")</f>
        <v>0.8</v>
      </c>
      <c r="AH22" s="328" t="str">
        <f ca="1">IFERROR(IF(OR(AND(AD22="Muy Baja",AF22="Leve"),AND(AD22="Muy Baja",AF22="Menor"),AND(AD22="Baja",AF22="Leve")),"Bajo",IF(OR(AND(AD22="Muy baja",AF22="Moderado"),AND(AD22="Baja",AF22="Menor"),AND(AD22="Baja",AF22="Moderado"),AND(AD22="Media",AF22="Leve"),AND(AD22="Media",AF22="Menor"),AND(AD22="Media",AF22="Moderado"),AND(AD22="Alta",AF22="Leve"),AND(AD22="Alta",AF22="Menor")),"Moderado",IF(OR(AND(AD22="Muy Baja",AF22="Mayor"),AND(AD22="Baja",AF22="Mayor"),AND(AD22="Media",AF22="Mayor"),AND(AD22="Alta",AF22="Moderado"),AND(AD22="Alta",AF22="Mayor"),AND(AD22="Muy Alta",AF22="Leve"),AND(AD22="Muy Alta",AF22="Menor"),AND(AD22="Muy Alta",AF22="Moderado"),AND(AD22="Muy Alta",AF22="Mayor")),"Alto",IF(OR(AND(AD22="Muy Baja",AF22="Catastrófico"),AND(AD22="Baja",AF22="Catastrófico"),AND(AD22="Media",AF22="Catastrófico"),AND(AD22="Alta",AF22="Catastrófico"),AND(AD22="Muy Alta",AF22="Catastrófico")),"Extremo","")))),"")</f>
        <v>Alto</v>
      </c>
      <c r="AI22" s="323" t="s">
        <v>26</v>
      </c>
      <c r="AJ22" s="249">
        <v>2</v>
      </c>
      <c r="AK22" s="249">
        <v>0</v>
      </c>
      <c r="AL22" s="249">
        <v>1</v>
      </c>
      <c r="AM22" s="249">
        <v>1</v>
      </c>
      <c r="AN22" s="278"/>
      <c r="AO22" s="209"/>
      <c r="AP22" s="209"/>
      <c r="AQ22" s="244"/>
      <c r="AR22" s="263"/>
      <c r="AS22" s="209"/>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row>
    <row r="23" spans="1:78" s="295" customFormat="1" ht="15" customHeight="1" x14ac:dyDescent="0.2">
      <c r="A23" s="458"/>
      <c r="B23" s="451"/>
      <c r="C23" s="452"/>
      <c r="D23" s="453"/>
      <c r="E23" s="454"/>
      <c r="F23" s="454"/>
      <c r="G23" s="446"/>
      <c r="H23" s="446"/>
      <c r="I23" s="446"/>
      <c r="J23" s="446"/>
      <c r="K23" s="457"/>
      <c r="L23" s="447"/>
      <c r="M23" s="445"/>
      <c r="N23" s="455"/>
      <c r="O23" s="445">
        <f ca="1">IF(NOT(ISERROR(MATCH(N23,_xlfn.ANCHORARRAY(#REF!),0))),#REF!&amp;"Por favor no seleccionar los criterios de impacto",N23)</f>
        <v>0</v>
      </c>
      <c r="P23" s="447"/>
      <c r="Q23" s="445"/>
      <c r="R23" s="459"/>
      <c r="S23" s="248">
        <v>5</v>
      </c>
      <c r="T23" s="330"/>
      <c r="U23" s="245"/>
      <c r="V23" s="322" t="str">
        <f t="shared" si="29"/>
        <v/>
      </c>
      <c r="W23" s="323"/>
      <c r="X23" s="323"/>
      <c r="Y23" s="324" t="str">
        <f t="shared" si="30"/>
        <v/>
      </c>
      <c r="Z23" s="323"/>
      <c r="AA23" s="323"/>
      <c r="AB23" s="323"/>
      <c r="AC23" s="325" t="str">
        <f t="shared" si="28"/>
        <v/>
      </c>
      <c r="AD23" s="326" t="str">
        <f t="shared" si="24"/>
        <v/>
      </c>
      <c r="AE23" s="324" t="str">
        <f t="shared" si="25"/>
        <v/>
      </c>
      <c r="AF23" s="326" t="str">
        <f t="shared" si="26"/>
        <v/>
      </c>
      <c r="AG23" s="324" t="str">
        <f t="shared" si="31"/>
        <v/>
      </c>
      <c r="AH23" s="328" t="str">
        <f t="shared" ref="AH23:AH24" si="32">IFERROR(IF(OR(AND(AD23="Muy Baja",AF23="Leve"),AND(AD23="Muy Baja",AF23="Menor"),AND(AD23="Baja",AF23="Leve")),"Bajo",IF(OR(AND(AD23="Muy baja",AF23="Moderado"),AND(AD23="Baja",AF23="Menor"),AND(AD23="Baja",AF23="Moderado"),AND(AD23="Media",AF23="Leve"),AND(AD23="Media",AF23="Menor"),AND(AD23="Media",AF23="Moderado"),AND(AD23="Alta",AF23="Leve"),AND(AD23="Alta",AF23="Menor")),"Moderado",IF(OR(AND(AD23="Muy Baja",AF23="Mayor"),AND(AD23="Baja",AF23="Mayor"),AND(AD23="Media",AF23="Mayor"),AND(AD23="Alta",AF23="Moderado"),AND(AD23="Alta",AF23="Mayor"),AND(AD23="Muy Alta",AF23="Leve"),AND(AD23="Muy Alta",AF23="Menor"),AND(AD23="Muy Alta",AF23="Moderado"),AND(AD23="Muy Alta",AF23="Mayor")),"Alto",IF(OR(AND(AD23="Muy Baja",AF23="Catastrófico"),AND(AD23="Baja",AF23="Catastrófico"),AND(AD23="Media",AF23="Catastrófico"),AND(AD23="Alta",AF23="Catastrófico"),AND(AD23="Muy Alta",AF23="Catastrófico")),"Extremo","")))),"")</f>
        <v/>
      </c>
      <c r="AI23" s="323"/>
      <c r="AJ23" s="249"/>
      <c r="AK23" s="249"/>
      <c r="AL23" s="249"/>
      <c r="AM23" s="249"/>
      <c r="AN23" s="278"/>
      <c r="AO23" s="276"/>
      <c r="AP23" s="276"/>
      <c r="AQ23" s="278"/>
      <c r="AR23" s="211"/>
      <c r="AS23" s="211"/>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c r="BV23" s="293"/>
      <c r="BW23" s="293"/>
      <c r="BX23" s="293"/>
      <c r="BY23" s="293"/>
      <c r="BZ23" s="293"/>
    </row>
    <row r="24" spans="1:78" s="295" customFormat="1" ht="15" customHeight="1" x14ac:dyDescent="0.2">
      <c r="A24" s="458"/>
      <c r="B24" s="451"/>
      <c r="C24" s="452"/>
      <c r="D24" s="453"/>
      <c r="E24" s="454"/>
      <c r="F24" s="454"/>
      <c r="G24" s="446"/>
      <c r="H24" s="446"/>
      <c r="I24" s="446"/>
      <c r="J24" s="446"/>
      <c r="K24" s="457"/>
      <c r="L24" s="447"/>
      <c r="M24" s="445"/>
      <c r="N24" s="455"/>
      <c r="O24" s="445">
        <f ca="1">IF(NOT(ISERROR(MATCH(N24,_xlfn.ANCHORARRAY(#REF!),0))),M239&amp;"Por favor no seleccionar los criterios de impacto",N24)</f>
        <v>0</v>
      </c>
      <c r="P24" s="447"/>
      <c r="Q24" s="445"/>
      <c r="R24" s="459"/>
      <c r="S24" s="248">
        <v>6</v>
      </c>
      <c r="T24" s="330"/>
      <c r="U24" s="245"/>
      <c r="V24" s="322" t="str">
        <f t="shared" si="29"/>
        <v/>
      </c>
      <c r="W24" s="323"/>
      <c r="X24" s="323"/>
      <c r="Y24" s="324" t="str">
        <f t="shared" si="30"/>
        <v/>
      </c>
      <c r="Z24" s="323"/>
      <c r="AA24" s="323"/>
      <c r="AB24" s="323"/>
      <c r="AC24" s="325" t="str">
        <f t="shared" si="28"/>
        <v/>
      </c>
      <c r="AD24" s="326" t="str">
        <f t="shared" si="24"/>
        <v/>
      </c>
      <c r="AE24" s="324" t="str">
        <f t="shared" si="25"/>
        <v/>
      </c>
      <c r="AF24" s="326" t="str">
        <f t="shared" si="26"/>
        <v/>
      </c>
      <c r="AG24" s="324" t="str">
        <f t="shared" si="31"/>
        <v/>
      </c>
      <c r="AH24" s="328" t="str">
        <f t="shared" si="32"/>
        <v/>
      </c>
      <c r="AI24" s="323"/>
      <c r="AJ24" s="249"/>
      <c r="AK24" s="249"/>
      <c r="AL24" s="249"/>
      <c r="AM24" s="249"/>
      <c r="AN24" s="278"/>
      <c r="AO24" s="276"/>
      <c r="AP24" s="276"/>
      <c r="AQ24" s="278"/>
      <c r="AR24" s="211"/>
      <c r="AS24" s="211"/>
      <c r="AT24" s="293"/>
      <c r="AU24" s="293"/>
      <c r="AV24" s="293"/>
      <c r="AW24" s="293"/>
      <c r="AX24" s="293"/>
      <c r="AY24" s="293"/>
      <c r="AZ24" s="293"/>
      <c r="BA24" s="293"/>
      <c r="BB24" s="293"/>
      <c r="BC24" s="293"/>
      <c r="BD24" s="293"/>
      <c r="BE24" s="293"/>
      <c r="BF24" s="293"/>
      <c r="BG24" s="293"/>
      <c r="BH24" s="293"/>
      <c r="BI24" s="293"/>
      <c r="BJ24" s="293"/>
      <c r="BK24" s="293"/>
      <c r="BL24" s="293"/>
      <c r="BM24" s="293"/>
      <c r="BN24" s="293"/>
      <c r="BO24" s="293"/>
      <c r="BP24" s="293"/>
      <c r="BQ24" s="293"/>
      <c r="BR24" s="293"/>
      <c r="BS24" s="293"/>
      <c r="BT24" s="293"/>
      <c r="BU24" s="293"/>
      <c r="BV24" s="293"/>
      <c r="BW24" s="293"/>
      <c r="BX24" s="293"/>
      <c r="BY24" s="293"/>
      <c r="BZ24" s="293"/>
    </row>
    <row r="25" spans="1:78" s="295" customFormat="1" ht="116.25" customHeight="1" x14ac:dyDescent="0.2">
      <c r="A25" s="458" t="s">
        <v>1011</v>
      </c>
      <c r="B25" s="451" t="s">
        <v>830</v>
      </c>
      <c r="C25" s="452" t="s">
        <v>590</v>
      </c>
      <c r="D25" s="453" t="s">
        <v>619</v>
      </c>
      <c r="E25" s="454" t="s">
        <v>109</v>
      </c>
      <c r="F25" s="454" t="s">
        <v>954</v>
      </c>
      <c r="G25" s="454" t="s">
        <v>675</v>
      </c>
      <c r="H25" s="446" t="s">
        <v>955</v>
      </c>
      <c r="I25" s="446" t="s">
        <v>633</v>
      </c>
      <c r="J25" s="446" t="s">
        <v>956</v>
      </c>
      <c r="K25" s="457">
        <v>120</v>
      </c>
      <c r="L25" s="447" t="str">
        <f>IF(K25&lt;=0,"",IF(K25&lt;=2,"Muy Baja",IF(K25&lt;=24,"Baja",IF(K25&lt;=500,"Media",IF(K25&lt;=5000,"Alta","Muy Alta")))))</f>
        <v>Media</v>
      </c>
      <c r="M25" s="445">
        <f>IF(L25="","",IF(L25="Muy Baja",0.2,IF(L25="Baja",0.4,IF(L25="Media",0.6,IF(L25="Alta",0.8,IF(L25="Muy Alta",1,))))))</f>
        <v>0.6</v>
      </c>
      <c r="N25" s="455" t="s">
        <v>1022</v>
      </c>
      <c r="O25" s="445" t="str">
        <f ca="1">IF(NOT(ISERROR(MATCH(N25,'Tabla Impacto'!$B$221:$B$223,0))),'Tabla Impacto'!$F$223&amp;"Por favor no seleccionar los criterios de impacto(Afectación Económica o presupuestal y Pérdida Reputacional)",N25)</f>
        <v xml:space="preserve">     El riesgo afecta la imagen de la entidad internamente, de conocimiento general, nivel interno, de junta directiva y accionistas y/o de proveedores</v>
      </c>
      <c r="P25" s="447" t="s">
        <v>70</v>
      </c>
      <c r="Q25" s="445">
        <f>IF(P25="","",IF(P25="Leve",0.2,IF(P25="Menor",0.4,IF(P25="Moderado",0.6,IF(P25="Mayor",0.8,IF(P25="Catastrófico",1,))))))</f>
        <v>0.4</v>
      </c>
      <c r="R25" s="459" t="str">
        <f>IF(OR(AND(L25="Muy Baja",P25="Leve"),AND(L25="Muy Baja",P25="Menor"),AND(L25="Baja",P25="Leve")),"Bajo",IF(OR(AND(L25="Muy baja",P25="Moderado"),AND(L25="Baja",P25="Menor"),AND(L25="Baja",P25="Moderado"),AND(L25="Media",P25="Leve"),AND(L25="Media",P25="Menor"),AND(L25="Media",P25="Moderado"),AND(L25="Alta",P25="Leve"),AND(L25="Alta",P25="Menor")),"Moderado",IF(OR(AND(L25="Muy Baja",P25="Mayor"),AND(L25="Baja",P25="Mayor"),AND(L25="Media",P25="Mayor"),AND(L25="Alta",P25="Moderado"),AND(L25="Alta",P25="Mayor"),AND(L25="Muy Alta",P25="Leve"),AND(L25="Muy Alta",P25="Menor"),AND(L25="Muy Alta",P25="Moderado"),AND(L25="Muy Alta",P25="Mayor")),"Alto",IF(OR(AND(L25="Muy Baja",P25="Catastrófico"),AND(L25="Baja",P25="Catastrófico"),AND(L25="Media",P25="Catastrófico"),AND(L25="Alta",P25="Catastrófico"),AND(L25="Muy Alta",P25="Catastrófico")),"Extremo",""))))</f>
        <v>Moderado</v>
      </c>
      <c r="S25" s="248">
        <v>1</v>
      </c>
      <c r="T25" s="247" t="s">
        <v>957</v>
      </c>
      <c r="U25" s="245" t="s">
        <v>293</v>
      </c>
      <c r="V25" s="322" t="str">
        <f>IF(OR(W25="Preventivo",W25="Detectivo"),"Probabilidad",IF(W25="Correctivo","Impacto",""))</f>
        <v>Probabilidad</v>
      </c>
      <c r="W25" s="323" t="s">
        <v>13</v>
      </c>
      <c r="X25" s="323" t="s">
        <v>8</v>
      </c>
      <c r="Y25" s="324" t="str">
        <f t="shared" ref="Y25:Y30" si="33">IF(AND(W25="Preventivo",X25="Automático"),"50%",IF(AND(W25="Preventivo",X25="Manual"),"40%",IF(AND(W25="Detectivo",X25="Automático"),"40%",IF(AND(W25="Detectivo",X25="Manual"),"30%",IF(AND(W25="Correctivo",X25="Automático"),"35%",IF(AND(W25="Correctivo",X25="Manual"),"25%",""))))))</f>
        <v>40%</v>
      </c>
      <c r="Z25" s="323" t="s">
        <v>18</v>
      </c>
      <c r="AA25" s="323" t="s">
        <v>21</v>
      </c>
      <c r="AB25" s="323" t="s">
        <v>103</v>
      </c>
      <c r="AC25" s="325">
        <f>IFERROR(IF(V25="Probabilidad",(M25-(+M25*Y25)),IF(V25="Impacto",M25,"")),"")</f>
        <v>0.36</v>
      </c>
      <c r="AD25" s="326" t="str">
        <f>IFERROR(IF(AC25="","",IF(AC25&lt;=0.2,"Muy Baja",IF(AC25&lt;=0.4,"Baja",IF(AC25&lt;=0.6,"Media",IF(AC25&lt;=0.8,"Alta","Muy Alta"))))),"")</f>
        <v>Baja</v>
      </c>
      <c r="AE25" s="324">
        <f>+AC25</f>
        <v>0.36</v>
      </c>
      <c r="AF25" s="326" t="str">
        <f>IFERROR(IF(AG25="","",IF(AG25&lt;=0.2,"Leve",IF(AG25&lt;=0.4,"Menor",IF(AG25&lt;=0.6,"Moderado",IF(AG25&lt;=0.8,"Mayor","Catastrófico"))))),"")</f>
        <v>Menor</v>
      </c>
      <c r="AG25" s="324">
        <f>IFERROR(IF(V25="Impacto",(Q25-(+Q25*Y25)),IF(V25="Probabilidad",Q25,"")),"")</f>
        <v>0.4</v>
      </c>
      <c r="AH25" s="328" t="str">
        <f>IFERROR(IF(OR(AND(AD25="Muy Baja",AF25="Leve"),AND(AD25="Muy Baja",AF25="Menor"),AND(AD25="Baja",AF25="Leve")),"Bajo",IF(OR(AND(AD25="Muy baja",AF25="Moderado"),AND(AD25="Baja",AF25="Menor"),AND(AD25="Baja",AF25="Moderado"),AND(AD25="Media",AF25="Leve"),AND(AD25="Media",AF25="Menor"),AND(AD25="Media",AF25="Moderado"),AND(AD25="Alta",AF25="Leve"),AND(AD25="Alta",AF25="Menor")),"Moderado",IF(OR(AND(AD25="Muy Baja",AF25="Mayor"),AND(AD25="Baja",AF25="Mayor"),AND(AD25="Media",AF25="Mayor"),AND(AD25="Alta",AF25="Moderado"),AND(AD25="Alta",AF25="Mayor"),AND(AD25="Muy Alta",AF25="Leve"),AND(AD25="Muy Alta",AF25="Menor"),AND(AD25="Muy Alta",AF25="Moderado"),AND(AD25="Muy Alta",AF25="Mayor")),"Alto",IF(OR(AND(AD25="Muy Baja",AF25="Catastrófico"),AND(AD25="Baja",AF25="Catastrófico"),AND(AD25="Media",AF25="Catastrófico"),AND(AD25="Alta",AF25="Catastrófico"),AND(AD25="Muy Alta",AF25="Catastrófico")),"Extremo","")))),"")</f>
        <v>Moderado</v>
      </c>
      <c r="AI25" s="323" t="s">
        <v>26</v>
      </c>
      <c r="AJ25" s="249">
        <v>2</v>
      </c>
      <c r="AK25" s="249">
        <v>0</v>
      </c>
      <c r="AL25" s="249">
        <v>1</v>
      </c>
      <c r="AM25" s="249">
        <v>1</v>
      </c>
      <c r="AN25" s="278"/>
      <c r="AO25" s="237" t="s">
        <v>673</v>
      </c>
      <c r="AP25" s="237" t="s">
        <v>775</v>
      </c>
      <c r="AQ25" s="237" t="s">
        <v>674</v>
      </c>
      <c r="AR25" s="266">
        <v>45323</v>
      </c>
      <c r="AS25" s="266">
        <v>45641</v>
      </c>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row>
    <row r="26" spans="1:78" s="295" customFormat="1" ht="161.25" customHeight="1" x14ac:dyDescent="0.2">
      <c r="A26" s="458"/>
      <c r="B26" s="451"/>
      <c r="C26" s="452"/>
      <c r="D26" s="453"/>
      <c r="E26" s="454"/>
      <c r="F26" s="454"/>
      <c r="G26" s="454"/>
      <c r="H26" s="446"/>
      <c r="I26" s="446"/>
      <c r="J26" s="446"/>
      <c r="K26" s="457"/>
      <c r="L26" s="447"/>
      <c r="M26" s="445"/>
      <c r="N26" s="455"/>
      <c r="O26" s="445">
        <f ca="1">IF(NOT(ISERROR(MATCH(N26,_xlfn.ANCHORARRAY(H245),0))),M247&amp;"Por favor no seleccionar los criterios de impacto",N26)</f>
        <v>0</v>
      </c>
      <c r="P26" s="447"/>
      <c r="Q26" s="445"/>
      <c r="R26" s="459"/>
      <c r="S26" s="352">
        <v>2</v>
      </c>
      <c r="T26" s="351" t="s">
        <v>1083</v>
      </c>
      <c r="U26" s="350" t="s">
        <v>292</v>
      </c>
      <c r="V26" s="322" t="str">
        <f>IF(OR(W26="Preventivo",W26="Detectivo"),"Probabilidad",IF(W26="Correctivo","Impacto",""))</f>
        <v>Probabilidad</v>
      </c>
      <c r="W26" s="323" t="s">
        <v>13</v>
      </c>
      <c r="X26" s="323" t="s">
        <v>8</v>
      </c>
      <c r="Y26" s="324" t="str">
        <f t="shared" si="33"/>
        <v>40%</v>
      </c>
      <c r="Z26" s="323" t="s">
        <v>18</v>
      </c>
      <c r="AA26" s="323" t="s">
        <v>21</v>
      </c>
      <c r="AB26" s="323" t="s">
        <v>103</v>
      </c>
      <c r="AC26" s="325">
        <f>IFERROR(IF(AND(V25="Probabilidad",V26="Probabilidad"),(AE25-(+AE25*Y26)),IF(V26="Probabilidad",(M25-(+M25*Y26)),IF(V26="Impacto",AE25,""))),"")</f>
        <v>0.216</v>
      </c>
      <c r="AD26" s="326" t="str">
        <f t="shared" ref="AD26:AD30" si="34">IFERROR(IF(AC26="","",IF(AC26&lt;=0.2,"Muy Baja",IF(AC26&lt;=0.4,"Baja",IF(AC26&lt;=0.6,"Media",IF(AC26&lt;=0.8,"Alta","Muy Alta"))))),"")</f>
        <v>Baja</v>
      </c>
      <c r="AE26" s="324">
        <f t="shared" ref="AE26:AE30" si="35">+AC26</f>
        <v>0.216</v>
      </c>
      <c r="AF26" s="326" t="str">
        <f>IFERROR(IF(AG26="","",IF(AG26&lt;=0.2,"Leve",IF(AG26&lt;=0.4,"Menor",IF(AG26&lt;=0.6,"Moderado",IF(AG26&lt;=0.8,"Mayor","Catastrófico"))))),"")</f>
        <v>Menor</v>
      </c>
      <c r="AG26" s="324">
        <f>IFERROR(IF(AND(V25="Impacto",V26="Impacto"),(AG25-(+AG25*Y26)),IF(V26="Impacto",(#REF!-(+#REF!*Y26)),IF(V26="Probabilidad",AG25,""))),"")</f>
        <v>0.4</v>
      </c>
      <c r="AH26" s="328" t="str">
        <f>IFERROR(IF(OR(AND(AD26="Muy Baja",AF26="Leve"),AND(AD26="Muy Baja",AF26="Menor"),AND(AD26="Baja",AF26="Leve")),"Bajo",IF(OR(AND(AD26="Muy baja",AF26="Moderado"),AND(AD26="Baja",AF26="Menor"),AND(AD26="Baja",AF26="Moderado"),AND(AD26="Media",AF26="Leve"),AND(AD26="Media",AF26="Menor"),AND(AD26="Media",AF26="Moderado"),AND(AD26="Alta",AF26="Leve"),AND(AD26="Alta",AF26="Menor")),"Moderado",IF(OR(AND(AD26="Muy Baja",AF26="Mayor"),AND(AD26="Baja",AF26="Mayor"),AND(AD26="Media",AF26="Mayor"),AND(AD26="Alta",AF26="Moderado"),AND(AD26="Alta",AF26="Mayor"),AND(AD26="Muy Alta",AF26="Leve"),AND(AD26="Muy Alta",AF26="Menor"),AND(AD26="Muy Alta",AF26="Moderado"),AND(AD26="Muy Alta",AF26="Mayor")),"Alto",IF(OR(AND(AD26="Muy Baja",AF26="Catastrófico"),AND(AD26="Baja",AF26="Catastrófico"),AND(AD26="Media",AF26="Catastrófico"),AND(AD26="Alta",AF26="Catastrófico"),AND(AD26="Muy Alta",AF26="Catastrófico")),"Extremo","")))),"")</f>
        <v>Moderado</v>
      </c>
      <c r="AI26" s="323" t="s">
        <v>26</v>
      </c>
      <c r="AJ26" s="249">
        <v>2</v>
      </c>
      <c r="AK26" s="249">
        <v>0</v>
      </c>
      <c r="AL26" s="249">
        <v>1</v>
      </c>
      <c r="AM26" s="249">
        <v>1</v>
      </c>
      <c r="AN26" s="278"/>
      <c r="AO26" s="209"/>
      <c r="AP26" s="209"/>
      <c r="AQ26" s="244"/>
      <c r="AR26" s="210"/>
      <c r="AS26" s="275"/>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3"/>
      <c r="BX26" s="293"/>
      <c r="BY26" s="293"/>
      <c r="BZ26" s="293"/>
    </row>
    <row r="27" spans="1:78" s="295" customFormat="1" ht="124.5" customHeight="1" x14ac:dyDescent="0.2">
      <c r="A27" s="458"/>
      <c r="B27" s="451"/>
      <c r="C27" s="452"/>
      <c r="D27" s="453"/>
      <c r="E27" s="454"/>
      <c r="F27" s="454"/>
      <c r="G27" s="454"/>
      <c r="H27" s="446"/>
      <c r="I27" s="446"/>
      <c r="J27" s="446"/>
      <c r="K27" s="457"/>
      <c r="L27" s="447"/>
      <c r="M27" s="445"/>
      <c r="N27" s="455"/>
      <c r="O27" s="445">
        <f ca="1">IF(NOT(ISERROR(MATCH(N27,_xlfn.ANCHORARRAY(H246),0))),M248&amp;"Por favor no seleccionar los criterios de impacto",N27)</f>
        <v>0</v>
      </c>
      <c r="P27" s="447"/>
      <c r="Q27" s="445"/>
      <c r="R27" s="459"/>
      <c r="S27" s="248"/>
      <c r="T27" s="349"/>
      <c r="U27" s="245"/>
      <c r="V27" s="322"/>
      <c r="W27" s="323"/>
      <c r="X27" s="323"/>
      <c r="Y27" s="324" t="str">
        <f t="shared" si="33"/>
        <v/>
      </c>
      <c r="Z27" s="323"/>
      <c r="AA27" s="323"/>
      <c r="AB27" s="323"/>
      <c r="AC27" s="325" t="str">
        <f>IFERROR(IF(AND(V26="Probabilidad",V27="Probabilidad"),(AE26-(+AE26*Y27)),IF(AND(V26="Impacto",V27="Probabilidad"),(AE25-(+AE25*Y27)),IF(V27="Impacto",AE26,""))),"")</f>
        <v/>
      </c>
      <c r="AD27" s="326" t="str">
        <f t="shared" si="34"/>
        <v/>
      </c>
      <c r="AE27" s="324" t="str">
        <f t="shared" si="35"/>
        <v/>
      </c>
      <c r="AF27" s="326" t="str">
        <f t="shared" ref="AF27:AF30" si="36">IFERROR(IF(AG27="","",IF(AG27&lt;=0.2,"Leve",IF(AG27&lt;=0.4,"Menor",IF(AG27&lt;=0.6,"Moderado",IF(AG27&lt;=0.8,"Mayor","Catastrófico"))))),"")</f>
        <v/>
      </c>
      <c r="AG27" s="324" t="str">
        <f>IFERROR(IF(AND(V26="Impacto",V27="Impacto"),(AG26-(+AG26*Y27)),IF(V27="Impacto",(#REF!-(+#REF!*Y27)),IF(V27="Probabilidad",AG26,""))),"")</f>
        <v/>
      </c>
      <c r="AH27" s="328" t="str">
        <f t="shared" ref="AH27" si="37">IFERROR(IF(OR(AND(AD27="Muy Baja",AF27="Leve"),AND(AD27="Muy Baja",AF27="Menor"),AND(AD27="Baja",AF27="Leve")),"Bajo",IF(OR(AND(AD27="Muy baja",AF27="Moderado"),AND(AD27="Baja",AF27="Menor"),AND(AD27="Baja",AF27="Moderado"),AND(AD27="Media",AF27="Leve"),AND(AD27="Media",AF27="Menor"),AND(AD27="Media",AF27="Moderado"),AND(AD27="Alta",AF27="Leve"),AND(AD27="Alta",AF27="Menor")),"Moderado",IF(OR(AND(AD27="Muy Baja",AF27="Mayor"),AND(AD27="Baja",AF27="Mayor"),AND(AD27="Media",AF27="Mayor"),AND(AD27="Alta",AF27="Moderado"),AND(AD27="Alta",AF27="Mayor"),AND(AD27="Muy Alta",AF27="Leve"),AND(AD27="Muy Alta",AF27="Menor"),AND(AD27="Muy Alta",AF27="Moderado"),AND(AD27="Muy Alta",AF27="Mayor")),"Alto",IF(OR(AND(AD27="Muy Baja",AF27="Catastrófico"),AND(AD27="Baja",AF27="Catastrófico"),AND(AD27="Media",AF27="Catastrófico"),AND(AD27="Alta",AF27="Catastrófico"),AND(AD27="Muy Alta",AF27="Catastrófico")),"Extremo","")))),"")</f>
        <v/>
      </c>
      <c r="AI27" s="323"/>
      <c r="AJ27" s="249"/>
      <c r="AK27" s="249"/>
      <c r="AL27" s="249"/>
      <c r="AM27" s="249"/>
      <c r="AN27" s="278"/>
      <c r="AO27" s="277"/>
      <c r="AP27" s="277"/>
      <c r="AQ27" s="276"/>
      <c r="AR27" s="263"/>
      <c r="AS27" s="277"/>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row>
    <row r="28" spans="1:78" s="295" customFormat="1" ht="135.75" customHeight="1" x14ac:dyDescent="0.2">
      <c r="A28" s="458"/>
      <c r="B28" s="451"/>
      <c r="C28" s="452"/>
      <c r="D28" s="453"/>
      <c r="E28" s="454"/>
      <c r="F28" s="454"/>
      <c r="G28" s="454"/>
      <c r="H28" s="446"/>
      <c r="I28" s="446"/>
      <c r="J28" s="446"/>
      <c r="K28" s="457"/>
      <c r="L28" s="447"/>
      <c r="M28" s="445"/>
      <c r="N28" s="455"/>
      <c r="O28" s="445">
        <f ca="1">IF(NOT(ISERROR(MATCH(N28,_xlfn.ANCHORARRAY(H247),0))),M249&amp;"Por favor no seleccionar los criterios de impacto",N28)</f>
        <v>0</v>
      </c>
      <c r="P28" s="447"/>
      <c r="Q28" s="445"/>
      <c r="R28" s="459"/>
      <c r="S28" s="248"/>
      <c r="T28" s="349"/>
      <c r="U28" s="245"/>
      <c r="V28" s="322"/>
      <c r="W28" s="323"/>
      <c r="X28" s="323"/>
      <c r="Y28" s="324" t="str">
        <f t="shared" si="33"/>
        <v/>
      </c>
      <c r="Z28" s="323"/>
      <c r="AA28" s="323"/>
      <c r="AB28" s="323"/>
      <c r="AC28" s="325" t="str">
        <f t="shared" ref="AC28:AC30" si="38">IFERROR(IF(AND(V27="Probabilidad",V28="Probabilidad"),(AE27-(+AE27*Y28)),IF(AND(V27="Impacto",V28="Probabilidad"),(AE26-(+AE26*Y28)),IF(V28="Impacto",AE27,""))),"")</f>
        <v/>
      </c>
      <c r="AD28" s="326" t="str">
        <f t="shared" si="34"/>
        <v/>
      </c>
      <c r="AE28" s="324" t="str">
        <f t="shared" si="35"/>
        <v/>
      </c>
      <c r="AF28" s="326" t="str">
        <f t="shared" si="36"/>
        <v/>
      </c>
      <c r="AG28" s="324" t="str">
        <f>IFERROR(IF(AND(V27="Impacto",V28="Impacto"),(AG27-(+AG27*Y28)),IF(V28="Impacto",(#REF!-(+#REF!*Y28)),IF(V28="Probabilidad",AG27,""))),"")</f>
        <v/>
      </c>
      <c r="AH28" s="328" t="str">
        <f>IFERROR(IF(OR(AND(AD28="Muy Baja",AF28="Leve"),AND(AD28="Muy Baja",AF28="Menor"),AND(AD28="Baja",AF28="Leve")),"Bajo",IF(OR(AND(AD28="Muy baja",AF28="Moderado"),AND(AD28="Baja",AF28="Menor"),AND(AD28="Baja",AF28="Moderado"),AND(AD28="Media",AF28="Leve"),AND(AD28="Media",AF28="Menor"),AND(AD28="Media",AF28="Moderado"),AND(AD28="Alta",AF28="Leve"),AND(AD28="Alta",AF28="Menor")),"Moderado",IF(OR(AND(AD28="Muy Baja",AF28="Mayor"),AND(AD28="Baja",AF28="Mayor"),AND(AD28="Media",AF28="Mayor"),AND(AD28="Alta",AF28="Moderado"),AND(AD28="Alta",AF28="Mayor"),AND(AD28="Muy Alta",AF28="Leve"),AND(AD28="Muy Alta",AF28="Menor"),AND(AD28="Muy Alta",AF28="Moderado"),AND(AD28="Muy Alta",AF28="Mayor")),"Alto",IF(OR(AND(AD28="Muy Baja",AF28="Catastrófico"),AND(AD28="Baja",AF28="Catastrófico"),AND(AD28="Media",AF28="Catastrófico"),AND(AD28="Alta",AF28="Catastrófico"),AND(AD28="Muy Alta",AF28="Catastrófico")),"Extremo","")))),"")</f>
        <v/>
      </c>
      <c r="AI28" s="323"/>
      <c r="AJ28" s="249"/>
      <c r="AK28" s="249"/>
      <c r="AL28" s="249"/>
      <c r="AM28" s="249"/>
      <c r="AN28" s="278"/>
      <c r="AO28" s="209"/>
      <c r="AP28" s="209"/>
      <c r="AQ28" s="188"/>
      <c r="AR28" s="210"/>
      <c r="AS28" s="209"/>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row>
    <row r="29" spans="1:78" s="295" customFormat="1" ht="20.25" customHeight="1" x14ac:dyDescent="0.2">
      <c r="A29" s="458"/>
      <c r="B29" s="451"/>
      <c r="C29" s="452"/>
      <c r="D29" s="453"/>
      <c r="E29" s="454"/>
      <c r="F29" s="454"/>
      <c r="G29" s="454"/>
      <c r="H29" s="446"/>
      <c r="I29" s="446"/>
      <c r="J29" s="446"/>
      <c r="K29" s="457"/>
      <c r="L29" s="447"/>
      <c r="M29" s="445"/>
      <c r="N29" s="455"/>
      <c r="O29" s="445">
        <f ca="1">IF(NOT(ISERROR(MATCH(N29,_xlfn.ANCHORARRAY(H248),0))),M250&amp;"Por favor no seleccionar los criterios de impacto",N29)</f>
        <v>0</v>
      </c>
      <c r="P29" s="447"/>
      <c r="Q29" s="445"/>
      <c r="R29" s="459"/>
      <c r="S29" s="248">
        <v>5</v>
      </c>
      <c r="T29" s="330"/>
      <c r="U29" s="245"/>
      <c r="V29" s="322" t="str">
        <f t="shared" ref="V29:V30" si="39">IF(OR(W29="Preventivo",W29="Detectivo"),"Probabilidad",IF(W29="Correctivo","Impacto",""))</f>
        <v/>
      </c>
      <c r="W29" s="323"/>
      <c r="X29" s="323"/>
      <c r="Y29" s="324" t="str">
        <f t="shared" si="33"/>
        <v/>
      </c>
      <c r="Z29" s="323"/>
      <c r="AA29" s="323"/>
      <c r="AB29" s="323"/>
      <c r="AC29" s="325" t="str">
        <f t="shared" si="38"/>
        <v/>
      </c>
      <c r="AD29" s="326" t="str">
        <f t="shared" si="34"/>
        <v/>
      </c>
      <c r="AE29" s="324" t="str">
        <f t="shared" si="35"/>
        <v/>
      </c>
      <c r="AF29" s="326" t="str">
        <f t="shared" si="36"/>
        <v/>
      </c>
      <c r="AG29" s="324" t="str">
        <f>IFERROR(IF(AND(V28="Impacto",V29="Impacto"),(AG28-(+AG28*Y29)),IF(V29="Impacto",(#REF!-(+#REF!*Y29)),IF(V29="Probabilidad",AG28,""))),"")</f>
        <v/>
      </c>
      <c r="AH29" s="328" t="str">
        <f t="shared" ref="AH29:AH30" si="40">IFERROR(IF(OR(AND(AD29="Muy Baja",AF29="Leve"),AND(AD29="Muy Baja",AF29="Menor"),AND(AD29="Baja",AF29="Leve")),"Bajo",IF(OR(AND(AD29="Muy baja",AF29="Moderado"),AND(AD29="Baja",AF29="Menor"),AND(AD29="Baja",AF29="Moderado"),AND(AD29="Media",AF29="Leve"),AND(AD29="Media",AF29="Menor"),AND(AD29="Media",AF29="Moderado"),AND(AD29="Alta",AF29="Leve"),AND(AD29="Alta",AF29="Menor")),"Moderado",IF(OR(AND(AD29="Muy Baja",AF29="Mayor"),AND(AD29="Baja",AF29="Mayor"),AND(AD29="Media",AF29="Mayor"),AND(AD29="Alta",AF29="Moderado"),AND(AD29="Alta",AF29="Mayor"),AND(AD29="Muy Alta",AF29="Leve"),AND(AD29="Muy Alta",AF29="Menor"),AND(AD29="Muy Alta",AF29="Moderado"),AND(AD29="Muy Alta",AF29="Mayor")),"Alto",IF(OR(AND(AD29="Muy Baja",AF29="Catastrófico"),AND(AD29="Baja",AF29="Catastrófico"),AND(AD29="Media",AF29="Catastrófico"),AND(AD29="Alta",AF29="Catastrófico"),AND(AD29="Muy Alta",AF29="Catastrófico")),"Extremo","")))),"")</f>
        <v/>
      </c>
      <c r="AI29" s="323"/>
      <c r="AJ29" s="249"/>
      <c r="AK29" s="249"/>
      <c r="AL29" s="249"/>
      <c r="AM29" s="249"/>
      <c r="AN29" s="278"/>
      <c r="AO29" s="257"/>
      <c r="AP29" s="257"/>
      <c r="AQ29" s="278"/>
      <c r="AR29" s="211"/>
      <c r="AS29" s="209"/>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row>
    <row r="30" spans="1:78" s="295" customFormat="1" ht="20.25" customHeight="1" x14ac:dyDescent="0.2">
      <c r="A30" s="458"/>
      <c r="B30" s="451"/>
      <c r="C30" s="452"/>
      <c r="D30" s="453"/>
      <c r="E30" s="454"/>
      <c r="F30" s="454"/>
      <c r="G30" s="454"/>
      <c r="H30" s="446"/>
      <c r="I30" s="446"/>
      <c r="J30" s="446"/>
      <c r="K30" s="457"/>
      <c r="L30" s="447"/>
      <c r="M30" s="445"/>
      <c r="N30" s="455"/>
      <c r="O30" s="445">
        <f ca="1">IF(NOT(ISERROR(MATCH(N30,_xlfn.ANCHORARRAY(H249),0))),#REF!&amp;"Por favor no seleccionar los criterios de impacto",N30)</f>
        <v>0</v>
      </c>
      <c r="P30" s="447"/>
      <c r="Q30" s="445"/>
      <c r="R30" s="459"/>
      <c r="S30" s="248">
        <v>6</v>
      </c>
      <c r="T30" s="330"/>
      <c r="U30" s="245"/>
      <c r="V30" s="322" t="str">
        <f t="shared" si="39"/>
        <v/>
      </c>
      <c r="W30" s="323"/>
      <c r="X30" s="323"/>
      <c r="Y30" s="324" t="str">
        <f t="shared" si="33"/>
        <v/>
      </c>
      <c r="Z30" s="323"/>
      <c r="AA30" s="323"/>
      <c r="AB30" s="323"/>
      <c r="AC30" s="325" t="str">
        <f t="shared" si="38"/>
        <v/>
      </c>
      <c r="AD30" s="326" t="str">
        <f t="shared" si="34"/>
        <v/>
      </c>
      <c r="AE30" s="324" t="str">
        <f t="shared" si="35"/>
        <v/>
      </c>
      <c r="AF30" s="326" t="str">
        <f t="shared" si="36"/>
        <v/>
      </c>
      <c r="AG30" s="324" t="str">
        <f>IFERROR(IF(AND(V29="Impacto",V30="Impacto"),(AG29-(+AG29*Y30)),IF(V30="Impacto",(#REF!-(+#REF!*Y30)),IF(V30="Probabilidad",AG29,""))),"")</f>
        <v/>
      </c>
      <c r="AH30" s="328" t="str">
        <f t="shared" si="40"/>
        <v/>
      </c>
      <c r="AI30" s="323"/>
      <c r="AJ30" s="249"/>
      <c r="AK30" s="249"/>
      <c r="AL30" s="249"/>
      <c r="AM30" s="249"/>
      <c r="AN30" s="278"/>
      <c r="AO30" s="276"/>
      <c r="AP30" s="276"/>
      <c r="AQ30" s="278"/>
      <c r="AR30" s="211"/>
      <c r="AS30" s="211"/>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row>
    <row r="31" spans="1:78" s="294" customFormat="1" ht="106.5" customHeight="1" x14ac:dyDescent="0.2">
      <c r="A31" s="458" t="s">
        <v>970</v>
      </c>
      <c r="B31" s="451" t="s">
        <v>830</v>
      </c>
      <c r="C31" s="452" t="s">
        <v>592</v>
      </c>
      <c r="D31" s="453" t="s">
        <v>624</v>
      </c>
      <c r="E31" s="454" t="s">
        <v>109</v>
      </c>
      <c r="F31" s="454" t="s">
        <v>1023</v>
      </c>
      <c r="G31" s="446" t="s">
        <v>675</v>
      </c>
      <c r="H31" s="456" t="s">
        <v>971</v>
      </c>
      <c r="I31" s="446" t="s">
        <v>654</v>
      </c>
      <c r="J31" s="446" t="s">
        <v>972</v>
      </c>
      <c r="K31" s="457">
        <v>400</v>
      </c>
      <c r="L31" s="447" t="str">
        <f t="shared" ref="L31" si="41">IF(K31&lt;=0,"",IF(K31&lt;=2,"Muy Baja",IF(K31&lt;=24,"Baja",IF(K31&lt;=500,"Media",IF(K31&lt;=5000,"Alta","Muy Alta")))))</f>
        <v>Media</v>
      </c>
      <c r="M31" s="445">
        <f>IF(L31="","",IF(L31="Muy Baja",0.2,IF(L31="Baja",0.4,IF(L31="Media",0.6,IF(L31="Alta",0.8,IF(L31="Muy Alta",1,))))))</f>
        <v>0.6</v>
      </c>
      <c r="N31" s="455" t="s">
        <v>122</v>
      </c>
      <c r="O31" s="285" t="str">
        <f ca="1">IF(NOT(ISERROR(MATCH(N31,'Tabla Impacto'!$B$221:$B$223,0))),'Tabla Impacto'!$F$223&amp;"Por favor no seleccionar los criterios de impacto(Afectación Económica o presupuestal y Pérdida Reputacional)",N31)</f>
        <v xml:space="preserve">     El riesgo afecta la imagen de de la entidad con efecto publicitario sostenido a nivel de sector administrativo, nivel departamental o municipal</v>
      </c>
      <c r="P31" s="447" t="str">
        <f ca="1">IF(OR(O31='Tabla Impacto'!$C$11,O31='Tabla Impacto'!$D$11),"Leve",IF(OR(O31='Tabla Impacto'!$C$12,O31='Tabla Impacto'!$D$12),"Menor",IF(OR(O31='Tabla Impacto'!$C$13,O31='Tabla Impacto'!$D$13),"Moderado",IF(OR(O31='Tabla Impacto'!$C$14,O31='Tabla Impacto'!$D$14),"Mayor",IF(OR(O31='Tabla Impacto'!$C$15,O31='Tabla Impacto'!$D$15),"Catastrófico","")))))</f>
        <v>Mayor</v>
      </c>
      <c r="Q31" s="445">
        <f ca="1">IF(P31="","",IF(P31="Leve",0.2,IF(P31="Menor",0.4,IF(P31="Moderado",0.6,IF(P31="Mayor",0.8,IF(P31="Catastrófico",1,))))))</f>
        <v>0.8</v>
      </c>
      <c r="R31" s="459" t="str">
        <f ca="1">IF(OR(AND(L31="Muy Baja",P31="Leve"),AND(L31="Muy Baja",P31="Menor"),AND(L31="Baja",P31="Leve")),"Bajo",IF(OR(AND(L31="Muy baja",P31="Moderado"),AND(L31="Baja",P31="Menor"),AND(L31="Baja",P31="Moderado"),AND(L31="Media",P31="Leve"),AND(L31="Media",P31="Menor"),AND(L31="Media",P31="Moderado"),AND(L31="Alta",P31="Leve"),AND(L31="Alta",P31="Menor")),"Moderado",IF(OR(AND(L31="Muy Baja",P31="Mayor"),AND(L31="Baja",P31="Mayor"),AND(L31="Media",P31="Mayor"),AND(L31="Alta",P31="Moderado"),AND(L31="Alta",P31="Mayor"),AND(L31="Muy Alta",P31="Leve"),AND(L31="Muy Alta",P31="Menor"),AND(L31="Muy Alta",P31="Moderado"),AND(L31="Muy Alta",P31="Mayor")),"Alto",IF(OR(AND(L31="Muy Baja",P31="Catastrófico"),AND(L31="Baja",P31="Catastrófico"),AND(L31="Media",P31="Catastrófico"),AND(L31="Alta",P31="Catastrófico"),AND(L31="Muy Alta",P31="Catastrófico")),"Extremo",""))))</f>
        <v>Alto</v>
      </c>
      <c r="S31" s="248">
        <v>1</v>
      </c>
      <c r="T31" s="321" t="s">
        <v>973</v>
      </c>
      <c r="U31" s="245" t="s">
        <v>293</v>
      </c>
      <c r="V31" s="322" t="str">
        <f>IF(OR(W31="Preventivo",W31="Detectivo"),"Probabilidad",IF(W31="Correctivo","Impacto",""))</f>
        <v>Probabilidad</v>
      </c>
      <c r="W31" s="323" t="s">
        <v>13</v>
      </c>
      <c r="X31" s="323" t="s">
        <v>8</v>
      </c>
      <c r="Y31" s="324" t="str">
        <f>IF(AND(W31="Preventivo",X31="Automático"),"50%",IF(AND(W31="Preventivo",X31="Manual"),"40%",IF(AND(W31="Detectivo",X31="Automático"),"40%",IF(AND(W31="Detectivo",X31="Manual"),"30%",IF(AND(W31="Correctivo",X31="Automático"),"35%",IF(AND(W31="Correctivo",X31="Manual"),"25%",""))))))</f>
        <v>40%</v>
      </c>
      <c r="Z31" s="323" t="s">
        <v>19</v>
      </c>
      <c r="AA31" s="323" t="s">
        <v>21</v>
      </c>
      <c r="AB31" s="323" t="s">
        <v>103</v>
      </c>
      <c r="AC31" s="325">
        <f t="shared" ref="AC31" si="42">IFERROR(IF(V31="Probabilidad",(M31-(+M31*Y31)),IF(V31="Impacto",M31,"")),"")</f>
        <v>0.36</v>
      </c>
      <c r="AD31" s="326" t="str">
        <f>IFERROR(IF(AC31="","",IF(AC31&lt;=0.2,"Muy Baja",IF(AC31&lt;=0.4,"Baja",IF(AC31&lt;=0.6,"Media",IF(AC31&lt;=0.8,"Alta","Muy Alta"))))),"")</f>
        <v>Baja</v>
      </c>
      <c r="AE31" s="324">
        <f>+AC31</f>
        <v>0.36</v>
      </c>
      <c r="AF31" s="326" t="str">
        <f ca="1">IFERROR(IF(AG31="","",IF(AG31&lt;=0.2,"Leve",IF(AG31&lt;=0.4,"Menor",IF(AG31&lt;=0.6,"Moderado",IF(AG31&lt;=0.8,"Mayor","Catastrófico"))))),"")</f>
        <v>Mayor</v>
      </c>
      <c r="AG31" s="324">
        <f ca="1">IFERROR(IF(V31="Impacto",(Q31-(+Q31*Y31)),IF(V31="Probabilidad",Q31,"")),"")</f>
        <v>0.8</v>
      </c>
      <c r="AH31" s="328" t="str">
        <f ca="1">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Alto</v>
      </c>
      <c r="AI31" s="323" t="s">
        <v>26</v>
      </c>
      <c r="AJ31" s="249">
        <v>4</v>
      </c>
      <c r="AK31" s="249">
        <v>1</v>
      </c>
      <c r="AL31" s="249">
        <v>1</v>
      </c>
      <c r="AM31" s="249">
        <v>2</v>
      </c>
      <c r="AN31" s="240"/>
      <c r="AO31" s="259"/>
      <c r="AP31" s="259"/>
      <c r="AQ31" s="239"/>
      <c r="AR31" s="264"/>
      <c r="AS31" s="265"/>
      <c r="AT31" s="293"/>
      <c r="AU31" s="293"/>
      <c r="AV31" s="293"/>
      <c r="AW31" s="293"/>
      <c r="AX31" s="293"/>
      <c r="AY31" s="293"/>
      <c r="AZ31" s="293"/>
      <c r="BA31" s="293"/>
      <c r="BB31" s="293"/>
      <c r="BC31" s="293"/>
      <c r="BD31" s="293"/>
      <c r="BE31" s="293"/>
      <c r="BF31" s="293"/>
      <c r="BG31" s="293"/>
      <c r="BH31" s="293"/>
      <c r="BI31" s="293"/>
      <c r="BJ31" s="293"/>
      <c r="BK31" s="293"/>
      <c r="BL31" s="293"/>
      <c r="BM31" s="293"/>
      <c r="BN31" s="293"/>
      <c r="BO31" s="293"/>
      <c r="BP31" s="293"/>
      <c r="BQ31" s="293"/>
      <c r="BR31" s="293"/>
      <c r="BS31" s="293"/>
      <c r="BT31" s="293"/>
      <c r="BU31" s="293"/>
      <c r="BV31" s="293"/>
      <c r="BW31" s="293"/>
      <c r="BX31" s="293"/>
      <c r="BY31" s="293"/>
      <c r="BZ31" s="293"/>
    </row>
    <row r="32" spans="1:78" s="295" customFormat="1" ht="99.75" x14ac:dyDescent="0.2">
      <c r="A32" s="458"/>
      <c r="B32" s="451"/>
      <c r="C32" s="452"/>
      <c r="D32" s="453"/>
      <c r="E32" s="454"/>
      <c r="F32" s="454"/>
      <c r="G32" s="446"/>
      <c r="H32" s="456"/>
      <c r="I32" s="446"/>
      <c r="J32" s="446"/>
      <c r="K32" s="457"/>
      <c r="L32" s="447"/>
      <c r="M32" s="445"/>
      <c r="N32" s="455"/>
      <c r="O32" s="285">
        <f ca="1">IF(NOT(ISERROR(MATCH(N32,_xlfn.ANCHORARRAY(H13),0))),M15&amp;"Por favor no seleccionar los criterios de impacto",N32)</f>
        <v>0</v>
      </c>
      <c r="P32" s="447"/>
      <c r="Q32" s="445"/>
      <c r="R32" s="459"/>
      <c r="S32" s="248">
        <v>2</v>
      </c>
      <c r="T32" s="321" t="s">
        <v>1024</v>
      </c>
      <c r="U32" s="245" t="s">
        <v>293</v>
      </c>
      <c r="V32" s="322" t="str">
        <f>IF(OR(W32="Preventivo",W32="Detectivo"),"Probabilidad",IF(W32="Correctivo","Impacto",""))</f>
        <v>Impacto</v>
      </c>
      <c r="W32" s="323" t="s">
        <v>15</v>
      </c>
      <c r="X32" s="323" t="s">
        <v>8</v>
      </c>
      <c r="Y32" s="324" t="str">
        <f>IF(AND(W32="Preventivo",X32="Automático"),"50%",IF(AND(W32="Preventivo",X32="Manual"),"40%",IF(AND(W32="Detectivo",X32="Automático"),"40%",IF(AND(W32="Detectivo",X32="Manual"),"30%",IF(AND(W32="Correctivo",X32="Automático"),"35%",IF(AND(W32="Correctivo",X32="Manual"),"25%",""))))))</f>
        <v>25%</v>
      </c>
      <c r="Z32" s="323" t="s">
        <v>18</v>
      </c>
      <c r="AA32" s="323" t="s">
        <v>21</v>
      </c>
      <c r="AB32" s="323" t="s">
        <v>103</v>
      </c>
      <c r="AC32" s="325">
        <f t="shared" ref="AC32" si="43">IFERROR(IF(AND(V31="Probabilidad",V32="Probabilidad"),(AE31-(+AE31*Y32)),IF(V32="Probabilidad",(M31-(+M31*Y32)),IF(V32="Impacto",AE31,""))),"")</f>
        <v>0.36</v>
      </c>
      <c r="AD32" s="326" t="str">
        <f t="shared" ref="AD32:AD36" si="44">IFERROR(IF(AC32="","",IF(AC32&lt;=0.2,"Muy Baja",IF(AC32&lt;=0.4,"Baja",IF(AC32&lt;=0.6,"Media",IF(AC32&lt;=0.8,"Alta","Muy Alta"))))),"")</f>
        <v>Baja</v>
      </c>
      <c r="AE32" s="324">
        <f>+AC32</f>
        <v>0.36</v>
      </c>
      <c r="AF32" s="326" t="str">
        <f t="shared" ref="AF32:AF36" ca="1" si="45">IFERROR(IF(AG32="","",IF(AG32&lt;=0.2,"Leve",IF(AG32&lt;=0.4,"Menor",IF(AG32&lt;=0.6,"Moderado",IF(AG32&lt;=0.8,"Mayor","Catastrófico"))))),"")</f>
        <v>Moderado</v>
      </c>
      <c r="AG32" s="324">
        <f ca="1">IFERROR(IF(AND(V31="Impacto",V32="Impacto"),(AG31-(+AG31*Y32)),IF(V32="Impacto",($Q$37-(+$Q$37*Y32)),IF(V32="Probabilidad",AG31,""))),"")</f>
        <v>0.44999999999999996</v>
      </c>
      <c r="AH32" s="328" t="str">
        <f t="shared" ref="AH32:AH33" ca="1" si="46">IFERROR(IF(OR(AND(AD32="Muy Baja",AF32="Leve"),AND(AD32="Muy Baja",AF32="Menor"),AND(AD32="Baja",AF32="Leve")),"Bajo",IF(OR(AND(AD32="Muy baja",AF32="Moderado"),AND(AD32="Baja",AF32="Menor"),AND(AD32="Baja",AF32="Moderado"),AND(AD32="Media",AF32="Leve"),AND(AD32="Media",AF32="Menor"),AND(AD32="Media",AF32="Moderado"),AND(AD32="Alta",AF32="Leve"),AND(AD32="Alta",AF32="Menor")),"Moderado",IF(OR(AND(AD32="Muy Baja",AF32="Mayor"),AND(AD32="Baja",AF32="Mayor"),AND(AD32="Media",AF32="Mayor"),AND(AD32="Alta",AF32="Moderado"),AND(AD32="Alta",AF32="Mayor"),AND(AD32="Muy Alta",AF32="Leve"),AND(AD32="Muy Alta",AF32="Menor"),AND(AD32="Muy Alta",AF32="Moderado"),AND(AD32="Muy Alta",AF32="Mayor")),"Alto",IF(OR(AND(AD32="Muy Baja",AF32="Catastrófico"),AND(AD32="Baja",AF32="Catastrófico"),AND(AD32="Media",AF32="Catastrófico"),AND(AD32="Alta",AF32="Catastrófico"),AND(AD32="Muy Alta",AF32="Catastrófico")),"Extremo","")))),"")</f>
        <v>Moderado</v>
      </c>
      <c r="AI32" s="323" t="s">
        <v>26</v>
      </c>
      <c r="AJ32" s="249">
        <v>2</v>
      </c>
      <c r="AK32" s="249">
        <v>0</v>
      </c>
      <c r="AL32" s="249">
        <v>1</v>
      </c>
      <c r="AM32" s="249">
        <v>1</v>
      </c>
      <c r="AN32" s="278"/>
      <c r="AO32" s="277"/>
      <c r="AP32" s="277"/>
      <c r="AQ32" s="276"/>
      <c r="AR32" s="263"/>
      <c r="AS32" s="277"/>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row>
    <row r="33" spans="1:78" s="295" customFormat="1" ht="114" x14ac:dyDescent="0.2">
      <c r="A33" s="458"/>
      <c r="B33" s="451"/>
      <c r="C33" s="452"/>
      <c r="D33" s="453"/>
      <c r="E33" s="454"/>
      <c r="F33" s="454"/>
      <c r="G33" s="446"/>
      <c r="H33" s="456"/>
      <c r="I33" s="446"/>
      <c r="J33" s="446"/>
      <c r="K33" s="457"/>
      <c r="L33" s="447"/>
      <c r="M33" s="445"/>
      <c r="N33" s="455"/>
      <c r="O33" s="285">
        <f ca="1">IF(NOT(ISERROR(MATCH(N33,_xlfn.ANCHORARRAY(H14),0))),M16&amp;"Por favor no seleccionar los criterios de impacto",N33)</f>
        <v>0</v>
      </c>
      <c r="P33" s="447"/>
      <c r="Q33" s="445"/>
      <c r="R33" s="459"/>
      <c r="S33" s="248">
        <v>3</v>
      </c>
      <c r="T33" s="321" t="s">
        <v>974</v>
      </c>
      <c r="U33" s="245" t="s">
        <v>293</v>
      </c>
      <c r="V33" s="322" t="str">
        <f>IF(OR(W33="Preventivo",W33="Detectivo"),"Probabilidad",IF(W33="Correctivo","Impacto",""))</f>
        <v>Probabilidad</v>
      </c>
      <c r="W33" s="323" t="s">
        <v>13</v>
      </c>
      <c r="X33" s="323" t="s">
        <v>8</v>
      </c>
      <c r="Y33" s="324" t="str">
        <f>IF(AND(W33="Preventivo",X33="Automático"),"50%",IF(AND(W33="Preventivo",X33="Manual"),"40%",IF(AND(W33="Detectivo",X33="Automático"),"40%",IF(AND(W33="Detectivo",X33="Manual"),"30%",IF(AND(W33="Correctivo",X33="Automático"),"35%",IF(AND(W33="Correctivo",X33="Manual"),"25%",""))))))</f>
        <v>40%</v>
      </c>
      <c r="Z33" s="323" t="s">
        <v>19</v>
      </c>
      <c r="AA33" s="323" t="s">
        <v>21</v>
      </c>
      <c r="AB33" s="323" t="s">
        <v>103</v>
      </c>
      <c r="AC33" s="325">
        <f t="shared" ref="AC33:AC36" si="47">IFERROR(IF(AND(V32="Probabilidad",V33="Probabilidad"),(AE32-(+AE32*Y33)),IF(AND(V32="Impacto",V33="Probabilidad"),(AE31-(+AE31*Y33)),IF(V33="Impacto",AE32,""))),"")</f>
        <v>0.216</v>
      </c>
      <c r="AD33" s="326" t="str">
        <f t="shared" si="44"/>
        <v>Baja</v>
      </c>
      <c r="AE33" s="324">
        <f t="shared" ref="AE33:AE36" si="48">+AC33</f>
        <v>0.216</v>
      </c>
      <c r="AF33" s="326" t="str">
        <f t="shared" ca="1" si="45"/>
        <v>Moderado</v>
      </c>
      <c r="AG33" s="324">
        <f t="shared" ref="AG33:AG36" ca="1" si="49">IFERROR(IF(AND(V32="Impacto",V33="Impacto"),(AG32-(+AG32*Y33)),IF(V33="Impacto",($Q$37-(+$Q$37*Y33)),IF(V33="Probabilidad",AG32,""))),"")</f>
        <v>0.44999999999999996</v>
      </c>
      <c r="AH33" s="328" t="str">
        <f t="shared" ca="1" si="46"/>
        <v>Moderado</v>
      </c>
      <c r="AI33" s="323" t="s">
        <v>26</v>
      </c>
      <c r="AJ33" s="249">
        <v>0</v>
      </c>
      <c r="AK33" s="249">
        <v>0</v>
      </c>
      <c r="AL33" s="249">
        <v>0</v>
      </c>
      <c r="AM33" s="249">
        <v>0</v>
      </c>
      <c r="AN33" s="278"/>
      <c r="AO33" s="277"/>
      <c r="AP33" s="277"/>
      <c r="AQ33" s="276"/>
      <c r="AR33" s="263"/>
      <c r="AS33" s="277"/>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row>
    <row r="34" spans="1:78" s="295" customFormat="1" ht="9.75" customHeight="1" x14ac:dyDescent="0.2">
      <c r="A34" s="458"/>
      <c r="B34" s="451"/>
      <c r="C34" s="452"/>
      <c r="D34" s="453"/>
      <c r="E34" s="454"/>
      <c r="F34" s="454"/>
      <c r="G34" s="446"/>
      <c r="H34" s="456"/>
      <c r="I34" s="446"/>
      <c r="J34" s="446"/>
      <c r="K34" s="457"/>
      <c r="L34" s="447"/>
      <c r="M34" s="445"/>
      <c r="N34" s="455"/>
      <c r="O34" s="285">
        <f ca="1">IF(NOT(ISERROR(MATCH(N34,_xlfn.ANCHORARRAY(H15),0))),M17&amp;"Por favor no seleccionar los criterios de impacto",N34)</f>
        <v>0</v>
      </c>
      <c r="P34" s="447"/>
      <c r="Q34" s="445"/>
      <c r="R34" s="459"/>
      <c r="S34" s="248">
        <v>4</v>
      </c>
      <c r="T34" s="330"/>
      <c r="U34" s="245"/>
      <c r="V34" s="322" t="str">
        <f t="shared" ref="V34:V36" si="50">IF(OR(W34="Preventivo",W34="Detectivo"),"Probabilidad",IF(W34="Correctivo","Impacto",""))</f>
        <v/>
      </c>
      <c r="W34" s="323"/>
      <c r="X34" s="323"/>
      <c r="Y34" s="324" t="str">
        <f t="shared" ref="Y34:Y36" si="51">IF(AND(W34="Preventivo",X34="Automático"),"50%",IF(AND(W34="Preventivo",X34="Manual"),"40%",IF(AND(W34="Detectivo",X34="Automático"),"40%",IF(AND(W34="Detectivo",X34="Manual"),"30%",IF(AND(W34="Correctivo",X34="Automático"),"35%",IF(AND(W34="Correctivo",X34="Manual"),"25%",""))))))</f>
        <v/>
      </c>
      <c r="Z34" s="323"/>
      <c r="AA34" s="323"/>
      <c r="AB34" s="323"/>
      <c r="AC34" s="325" t="str">
        <f t="shared" si="47"/>
        <v/>
      </c>
      <c r="AD34" s="326" t="str">
        <f t="shared" si="44"/>
        <v/>
      </c>
      <c r="AE34" s="324" t="str">
        <f t="shared" si="48"/>
        <v/>
      </c>
      <c r="AF34" s="326" t="str">
        <f t="shared" si="45"/>
        <v/>
      </c>
      <c r="AG34" s="324" t="str">
        <f t="shared" si="49"/>
        <v/>
      </c>
      <c r="AH34" s="328" t="str">
        <f>IFERROR(IF(OR(AND(AD34="Muy Baja",AF34="Leve"),AND(AD34="Muy Baja",AF34="Menor"),AND(AD34="Baja",AF34="Leve")),"Bajo",IF(OR(AND(AD34="Muy baja",AF34="Moderado"),AND(AD34="Baja",AF34="Menor"),AND(AD34="Baja",AF34="Moderado"),AND(AD34="Media",AF34="Leve"),AND(AD34="Media",AF34="Menor"),AND(AD34="Media",AF34="Moderado"),AND(AD34="Alta",AF34="Leve"),AND(AD34="Alta",AF34="Menor")),"Moderado",IF(OR(AND(AD34="Muy Baja",AF34="Mayor"),AND(AD34="Baja",AF34="Mayor"),AND(AD34="Media",AF34="Mayor"),AND(AD34="Alta",AF34="Moderado"),AND(AD34="Alta",AF34="Mayor"),AND(AD34="Muy Alta",AF34="Leve"),AND(AD34="Muy Alta",AF34="Menor"),AND(AD34="Muy Alta",AF34="Moderado"),AND(AD34="Muy Alta",AF34="Mayor")),"Alto",IF(OR(AND(AD34="Muy Baja",AF34="Catastrófico"),AND(AD34="Baja",AF34="Catastrófico"),AND(AD34="Media",AF34="Catastrófico"),AND(AD34="Alta",AF34="Catastrófico"),AND(AD34="Muy Alta",AF34="Catastrófico")),"Extremo","")))),"")</f>
        <v/>
      </c>
      <c r="AI34" s="323"/>
      <c r="AJ34" s="249"/>
      <c r="AK34" s="249"/>
      <c r="AL34" s="249"/>
      <c r="AM34" s="249"/>
      <c r="AN34" s="278"/>
      <c r="AO34" s="209"/>
      <c r="AP34" s="209"/>
      <c r="AQ34" s="244"/>
      <c r="AR34" s="263"/>
      <c r="AS34" s="209"/>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row>
    <row r="35" spans="1:78" s="295" customFormat="1" ht="9.75" customHeight="1" x14ac:dyDescent="0.2">
      <c r="A35" s="458"/>
      <c r="B35" s="451"/>
      <c r="C35" s="452"/>
      <c r="D35" s="453"/>
      <c r="E35" s="454"/>
      <c r="F35" s="454"/>
      <c r="G35" s="446"/>
      <c r="H35" s="456"/>
      <c r="I35" s="446"/>
      <c r="J35" s="446"/>
      <c r="K35" s="457"/>
      <c r="L35" s="447"/>
      <c r="M35" s="445"/>
      <c r="N35" s="455"/>
      <c r="O35" s="285">
        <f ca="1">IF(NOT(ISERROR(MATCH(N35,_xlfn.ANCHORARRAY(H16),0))),M18&amp;"Por favor no seleccionar los criterios de impacto",N35)</f>
        <v>0</v>
      </c>
      <c r="P35" s="447"/>
      <c r="Q35" s="445"/>
      <c r="R35" s="459"/>
      <c r="S35" s="248">
        <v>5</v>
      </c>
      <c r="T35" s="330"/>
      <c r="U35" s="245"/>
      <c r="V35" s="322" t="str">
        <f t="shared" si="50"/>
        <v/>
      </c>
      <c r="W35" s="323"/>
      <c r="X35" s="323"/>
      <c r="Y35" s="324" t="str">
        <f t="shared" si="51"/>
        <v/>
      </c>
      <c r="Z35" s="323"/>
      <c r="AA35" s="323"/>
      <c r="AB35" s="323"/>
      <c r="AC35" s="325" t="str">
        <f t="shared" si="47"/>
        <v/>
      </c>
      <c r="AD35" s="326" t="str">
        <f t="shared" si="44"/>
        <v/>
      </c>
      <c r="AE35" s="324" t="str">
        <f t="shared" si="48"/>
        <v/>
      </c>
      <c r="AF35" s="326" t="str">
        <f t="shared" si="45"/>
        <v/>
      </c>
      <c r="AG35" s="324" t="str">
        <f t="shared" si="49"/>
        <v/>
      </c>
      <c r="AH35" s="328" t="str">
        <f t="shared" ref="AH35:AH36" si="52">IFERROR(IF(OR(AND(AD35="Muy Baja",AF35="Leve"),AND(AD35="Muy Baja",AF35="Menor"),AND(AD35="Baja",AF35="Leve")),"Bajo",IF(OR(AND(AD35="Muy baja",AF35="Moderado"),AND(AD35="Baja",AF35="Menor"),AND(AD35="Baja",AF35="Moderado"),AND(AD35="Media",AF35="Leve"),AND(AD35="Media",AF35="Menor"),AND(AD35="Media",AF35="Moderado"),AND(AD35="Alta",AF35="Leve"),AND(AD35="Alta",AF35="Menor")),"Moderado",IF(OR(AND(AD35="Muy Baja",AF35="Mayor"),AND(AD35="Baja",AF35="Mayor"),AND(AD35="Media",AF35="Mayor"),AND(AD35="Alta",AF35="Moderado"),AND(AD35="Alta",AF35="Mayor"),AND(AD35="Muy Alta",AF35="Leve"),AND(AD35="Muy Alta",AF35="Menor"),AND(AD35="Muy Alta",AF35="Moderado"),AND(AD35="Muy Alta",AF35="Mayor")),"Alto",IF(OR(AND(AD35="Muy Baja",AF35="Catastrófico"),AND(AD35="Baja",AF35="Catastrófico"),AND(AD35="Media",AF35="Catastrófico"),AND(AD35="Alta",AF35="Catastrófico"),AND(AD35="Muy Alta",AF35="Catastrófico")),"Extremo","")))),"")</f>
        <v/>
      </c>
      <c r="AI35" s="323"/>
      <c r="AJ35" s="249"/>
      <c r="AK35" s="249"/>
      <c r="AL35" s="249"/>
      <c r="AM35" s="249"/>
      <c r="AN35" s="278"/>
      <c r="AO35" s="276"/>
      <c r="AP35" s="276"/>
      <c r="AQ35" s="278"/>
      <c r="AR35" s="211"/>
      <c r="AS35" s="211"/>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3"/>
      <c r="BR35" s="293"/>
      <c r="BS35" s="293"/>
      <c r="BT35" s="293"/>
      <c r="BU35" s="293"/>
      <c r="BV35" s="293"/>
      <c r="BW35" s="293"/>
      <c r="BX35" s="293"/>
      <c r="BY35" s="293"/>
      <c r="BZ35" s="293"/>
    </row>
    <row r="36" spans="1:78" s="295" customFormat="1" ht="9.75" customHeight="1" x14ac:dyDescent="0.2">
      <c r="A36" s="458"/>
      <c r="B36" s="451"/>
      <c r="C36" s="452"/>
      <c r="D36" s="453"/>
      <c r="E36" s="454"/>
      <c r="F36" s="454"/>
      <c r="G36" s="446"/>
      <c r="H36" s="456"/>
      <c r="I36" s="446"/>
      <c r="J36" s="446"/>
      <c r="K36" s="457"/>
      <c r="L36" s="447"/>
      <c r="M36" s="445"/>
      <c r="N36" s="455"/>
      <c r="O36" s="285">
        <f ca="1">IF(NOT(ISERROR(MATCH(N36,_xlfn.ANCHORARRAY(H17),0))),#REF!&amp;"Por favor no seleccionar los criterios de impacto",N36)</f>
        <v>0</v>
      </c>
      <c r="P36" s="447"/>
      <c r="Q36" s="445"/>
      <c r="R36" s="459"/>
      <c r="S36" s="248">
        <v>6</v>
      </c>
      <c r="T36" s="330"/>
      <c r="U36" s="245"/>
      <c r="V36" s="322" t="str">
        <f t="shared" si="50"/>
        <v/>
      </c>
      <c r="W36" s="323"/>
      <c r="X36" s="323"/>
      <c r="Y36" s="324" t="str">
        <f t="shared" si="51"/>
        <v/>
      </c>
      <c r="Z36" s="323"/>
      <c r="AA36" s="323"/>
      <c r="AB36" s="323"/>
      <c r="AC36" s="325" t="str">
        <f t="shared" si="47"/>
        <v/>
      </c>
      <c r="AD36" s="326" t="str">
        <f t="shared" si="44"/>
        <v/>
      </c>
      <c r="AE36" s="324" t="str">
        <f t="shared" si="48"/>
        <v/>
      </c>
      <c r="AF36" s="326" t="str">
        <f t="shared" si="45"/>
        <v/>
      </c>
      <c r="AG36" s="324" t="str">
        <f t="shared" si="49"/>
        <v/>
      </c>
      <c r="AH36" s="328" t="str">
        <f t="shared" si="52"/>
        <v/>
      </c>
      <c r="AI36" s="323"/>
      <c r="AJ36" s="249"/>
      <c r="AK36" s="249"/>
      <c r="AL36" s="249"/>
      <c r="AM36" s="249"/>
      <c r="AN36" s="278"/>
      <c r="AO36" s="276"/>
      <c r="AP36" s="276"/>
      <c r="AQ36" s="278"/>
      <c r="AR36" s="211"/>
      <c r="AS36" s="211"/>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row>
    <row r="37" spans="1:78" s="294" customFormat="1" ht="131.25" customHeight="1" x14ac:dyDescent="0.2">
      <c r="A37" s="458" t="s">
        <v>1012</v>
      </c>
      <c r="B37" s="451" t="s">
        <v>830</v>
      </c>
      <c r="C37" s="452" t="s">
        <v>594</v>
      </c>
      <c r="D37" s="453" t="s">
        <v>624</v>
      </c>
      <c r="E37" s="454" t="s">
        <v>107</v>
      </c>
      <c r="F37" s="454" t="s">
        <v>1025</v>
      </c>
      <c r="G37" s="446" t="s">
        <v>675</v>
      </c>
      <c r="H37" s="456" t="s">
        <v>906</v>
      </c>
      <c r="I37" s="446" t="s">
        <v>654</v>
      </c>
      <c r="J37" s="446" t="s">
        <v>907</v>
      </c>
      <c r="K37" s="457">
        <v>6</v>
      </c>
      <c r="L37" s="447" t="str">
        <f t="shared" ref="L37" si="53">IF(K37&lt;=0,"",IF(K37&lt;=2,"Muy Baja",IF(K37&lt;=24,"Baja",IF(K37&lt;=500,"Media",IF(K37&lt;=5000,"Alta","Muy Alta")))))</f>
        <v>Baja</v>
      </c>
      <c r="M37" s="445">
        <f>IF(L37="","",IF(L37="Muy Baja",0.2,IF(L37="Baja",0.4,IF(L37="Media",0.6,IF(L37="Alta",0.8,IF(L37="Muy Alta",1,))))))</f>
        <v>0.4</v>
      </c>
      <c r="N37" s="455" t="s">
        <v>121</v>
      </c>
      <c r="O37" s="285" t="str">
        <f ca="1">IF(NOT(ISERROR(MATCH(N37,'Tabla Impacto'!$B$221:$B$223,0))),'Tabla Impacto'!$F$223&amp;"Por favor no seleccionar los criterios de impacto(Afectación Económica o presupuestal y Pérdida Reputacional)",N37)</f>
        <v xml:space="preserve">     El riesgo afecta la imagen de la entidad con algunos usuarios de relevancia frente al logro de los objetivos</v>
      </c>
      <c r="P37" s="447" t="str">
        <f ca="1">IF(OR(O37='Tabla Impacto'!$C$11,O37='Tabla Impacto'!$D$11),"Leve",IF(OR(O37='Tabla Impacto'!$C$12,O37='Tabla Impacto'!$D$12),"Menor",IF(OR(O37='Tabla Impacto'!$C$13,O37='Tabla Impacto'!$D$13),"Moderado",IF(OR(O37='Tabla Impacto'!$C$14,O37='Tabla Impacto'!$D$14),"Mayor",IF(OR(O37='Tabla Impacto'!$C$15,O37='Tabla Impacto'!$D$15),"Catastrófico","")))))</f>
        <v>Moderado</v>
      </c>
      <c r="Q37" s="445">
        <f ca="1">IF(P37="","",IF(P37="Leve",0.2,IF(P37="Menor",0.4,IF(P37="Moderado",0.6,IF(P37="Mayor",0.8,IF(P37="Catastrófico",1,))))))</f>
        <v>0.6</v>
      </c>
      <c r="R37" s="459" t="str">
        <f ca="1">IF(OR(AND(L37="Muy Baja",P37="Leve"),AND(L37="Muy Baja",P37="Menor"),AND(L37="Baja",P37="Leve")),"Bajo",IF(OR(AND(L37="Muy baja",P37="Moderado"),AND(L37="Baja",P37="Menor"),AND(L37="Baja",P37="Moderado"),AND(L37="Media",P37="Leve"),AND(L37="Media",P37="Menor"),AND(L37="Media",P37="Moderado"),AND(L37="Alta",P37="Leve"),AND(L37="Alta",P37="Menor")),"Moderado",IF(OR(AND(L37="Muy Baja",P37="Mayor"),AND(L37="Baja",P37="Mayor"),AND(L37="Media",P37="Mayor"),AND(L37="Alta",P37="Moderado"),AND(L37="Alta",P37="Mayor"),AND(L37="Muy Alta",P37="Leve"),AND(L37="Muy Alta",P37="Menor"),AND(L37="Muy Alta",P37="Moderado"),AND(L37="Muy Alta",P37="Mayor")),"Alto",IF(OR(AND(L37="Muy Baja",P37="Catastrófico"),AND(L37="Baja",P37="Catastrófico"),AND(L37="Media",P37="Catastrófico"),AND(L37="Alta",P37="Catastrófico"),AND(L37="Muy Alta",P37="Catastrófico")),"Extremo",""))))</f>
        <v>Moderado</v>
      </c>
      <c r="S37" s="248">
        <v>1</v>
      </c>
      <c r="T37" s="321" t="s">
        <v>1026</v>
      </c>
      <c r="U37" s="245" t="s">
        <v>293</v>
      </c>
      <c r="V37" s="322" t="str">
        <f>IF(OR(W37="Preventivo",W37="Detectivo"),"Probabilidad",IF(W37="Correctivo","Impacto",""))</f>
        <v>Probabilidad</v>
      </c>
      <c r="W37" s="323" t="s">
        <v>13</v>
      </c>
      <c r="X37" s="323" t="s">
        <v>8</v>
      </c>
      <c r="Y37" s="324" t="str">
        <f>IF(AND(W37="Preventivo",X37="Automático"),"50%",IF(AND(W37="Preventivo",X37="Manual"),"40%",IF(AND(W37="Detectivo",X37="Automático"),"40%",IF(AND(W37="Detectivo",X37="Manual"),"30%",IF(AND(W37="Correctivo",X37="Automático"),"35%",IF(AND(W37="Correctivo",X37="Manual"),"25%",""))))))</f>
        <v>40%</v>
      </c>
      <c r="Z37" s="323" t="s">
        <v>19</v>
      </c>
      <c r="AA37" s="323" t="s">
        <v>21</v>
      </c>
      <c r="AB37" s="323" t="s">
        <v>103</v>
      </c>
      <c r="AC37" s="325">
        <f t="shared" ref="AC37" si="54">IFERROR(IF(V37="Probabilidad",(M37-(+M37*Y37)),IF(V37="Impacto",M37,"")),"")</f>
        <v>0.24</v>
      </c>
      <c r="AD37" s="326" t="str">
        <f>IFERROR(IF(AC37="","",IF(AC37&lt;=0.2,"Muy Baja",IF(AC37&lt;=0.4,"Baja",IF(AC37&lt;=0.6,"Media",IF(AC37&lt;=0.8,"Alta","Muy Alta"))))),"")</f>
        <v>Baja</v>
      </c>
      <c r="AE37" s="324">
        <f>+AC37</f>
        <v>0.24</v>
      </c>
      <c r="AF37" s="326" t="str">
        <f ca="1">IFERROR(IF(AG37="","",IF(AG37&lt;=0.2,"Leve",IF(AG37&lt;=0.4,"Menor",IF(AG37&lt;=0.6,"Moderado",IF(AG37&lt;=0.8,"Mayor","Catastrófico"))))),"")</f>
        <v>Moderado</v>
      </c>
      <c r="AG37" s="324">
        <f ca="1">IFERROR(IF(V37="Impacto",(Q37-(+Q37*Y37)),IF(V37="Probabilidad",Q37,"")),"")</f>
        <v>0.6</v>
      </c>
      <c r="AH37" s="328" t="str">
        <f ca="1">IFERROR(IF(OR(AND(AD37="Muy Baja",AF37="Leve"),AND(AD37="Muy Baja",AF37="Menor"),AND(AD37="Baja",AF37="Leve")),"Bajo",IF(OR(AND(AD37="Muy baja",AF37="Moderado"),AND(AD37="Baja",AF37="Menor"),AND(AD37="Baja",AF37="Moderado"),AND(AD37="Media",AF37="Leve"),AND(AD37="Media",AF37="Menor"),AND(AD37="Media",AF37="Moderado"),AND(AD37="Alta",AF37="Leve"),AND(AD37="Alta",AF37="Menor")),"Moderado",IF(OR(AND(AD37="Muy Baja",AF37="Mayor"),AND(AD37="Baja",AF37="Mayor"),AND(AD37="Media",AF37="Mayor"),AND(AD37="Alta",AF37="Moderado"),AND(AD37="Alta",AF37="Mayor"),AND(AD37="Muy Alta",AF37="Leve"),AND(AD37="Muy Alta",AF37="Menor"),AND(AD37="Muy Alta",AF37="Moderado"),AND(AD37="Muy Alta",AF37="Mayor")),"Alto",IF(OR(AND(AD37="Muy Baja",AF37="Catastrófico"),AND(AD37="Baja",AF37="Catastrófico"),AND(AD37="Media",AF37="Catastrófico"),AND(AD37="Alta",AF37="Catastrófico"),AND(AD37="Muy Alta",AF37="Catastrófico")),"Extremo","")))),"")</f>
        <v>Moderado</v>
      </c>
      <c r="AI37" s="323" t="s">
        <v>26</v>
      </c>
      <c r="AJ37" s="249">
        <v>4</v>
      </c>
      <c r="AK37" s="249">
        <v>1</v>
      </c>
      <c r="AL37" s="249">
        <v>1</v>
      </c>
      <c r="AM37" s="249">
        <v>2</v>
      </c>
      <c r="AN37" s="240"/>
      <c r="AO37" s="259"/>
      <c r="AP37" s="259"/>
      <c r="AQ37" s="239"/>
      <c r="AR37" s="264"/>
      <c r="AS37" s="265"/>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93"/>
      <c r="BY37" s="293"/>
      <c r="BZ37" s="293"/>
    </row>
    <row r="38" spans="1:78" s="295" customFormat="1" ht="9.75" customHeight="1" x14ac:dyDescent="0.2">
      <c r="A38" s="458"/>
      <c r="B38" s="451"/>
      <c r="C38" s="452"/>
      <c r="D38" s="453"/>
      <c r="E38" s="454"/>
      <c r="F38" s="454"/>
      <c r="G38" s="446"/>
      <c r="H38" s="456"/>
      <c r="I38" s="446"/>
      <c r="J38" s="446"/>
      <c r="K38" s="457"/>
      <c r="L38" s="447"/>
      <c r="M38" s="445"/>
      <c r="N38" s="455"/>
      <c r="O38" s="285">
        <f ca="1">IF(NOT(ISERROR(MATCH(N38,_xlfn.ANCHORARRAY(#REF!),0))),#REF!&amp;"Por favor no seleccionar los criterios de impacto",N38)</f>
        <v>0</v>
      </c>
      <c r="P38" s="447"/>
      <c r="Q38" s="445"/>
      <c r="R38" s="459"/>
      <c r="S38" s="248">
        <v>2</v>
      </c>
      <c r="T38" s="330"/>
      <c r="U38" s="245"/>
      <c r="V38" s="322" t="str">
        <f>IF(OR(W38="Preventivo",W38="Detectivo"),"Probabilidad",IF(W38="Correctivo","Impacto",""))</f>
        <v/>
      </c>
      <c r="W38" s="323"/>
      <c r="X38" s="323"/>
      <c r="Y38" s="324" t="str">
        <f>IF(AND(W38="Preventivo",X38="Automático"),"50%",IF(AND(W38="Preventivo",X38="Manual"),"40%",IF(AND(W38="Detectivo",X38="Automático"),"40%",IF(AND(W38="Detectivo",X38="Manual"),"30%",IF(AND(W38="Correctivo",X38="Automático"),"35%",IF(AND(W38="Correctivo",X38="Manual"),"25%",""))))))</f>
        <v/>
      </c>
      <c r="Z38" s="323"/>
      <c r="AA38" s="323"/>
      <c r="AB38" s="323"/>
      <c r="AC38" s="325" t="str">
        <f t="shared" ref="AC38" si="55">IFERROR(IF(AND(V37="Probabilidad",V38="Probabilidad"),(AE37-(+AE37*Y38)),IF(V38="Probabilidad",(M37-(+M37*Y38)),IF(V38="Impacto",AE37,""))),"")</f>
        <v/>
      </c>
      <c r="AD38" s="326" t="str">
        <f t="shared" ref="AD38:AD42" si="56">IFERROR(IF(AC38="","",IF(AC38&lt;=0.2,"Muy Baja",IF(AC38&lt;=0.4,"Baja",IF(AC38&lt;=0.6,"Media",IF(AC38&lt;=0.8,"Alta","Muy Alta"))))),"")</f>
        <v/>
      </c>
      <c r="AE38" s="324" t="str">
        <f>+AC38</f>
        <v/>
      </c>
      <c r="AF38" s="326" t="str">
        <f t="shared" ref="AF38:AF42" si="57">IFERROR(IF(AG38="","",IF(AG38&lt;=0.2,"Leve",IF(AG38&lt;=0.4,"Menor",IF(AG38&lt;=0.6,"Moderado",IF(AG38&lt;=0.8,"Mayor","Catastrófico"))))),"")</f>
        <v/>
      </c>
      <c r="AG38" s="324" t="str">
        <f>IFERROR(IF(AND(V37="Impacto",V38="Impacto"),(AG37-(+AG37*Y38)),IF(V38="Impacto",($Q$37-(+$Q$37*Y38)),IF(V38="Probabilidad",AG37,""))),"")</f>
        <v/>
      </c>
      <c r="AH38" s="328" t="str">
        <f t="shared" ref="AH38:AH39" si="58">IFERROR(IF(OR(AND(AD38="Muy Baja",AF38="Leve"),AND(AD38="Muy Baja",AF38="Menor"),AND(AD38="Baja",AF38="Leve")),"Bajo",IF(OR(AND(AD38="Muy baja",AF38="Moderado"),AND(AD38="Baja",AF38="Menor"),AND(AD38="Baja",AF38="Moderado"),AND(AD38="Media",AF38="Leve"),AND(AD38="Media",AF38="Menor"),AND(AD38="Media",AF38="Moderado"),AND(AD38="Alta",AF38="Leve"),AND(AD38="Alta",AF38="Menor")),"Moderado",IF(OR(AND(AD38="Muy Baja",AF38="Mayor"),AND(AD38="Baja",AF38="Mayor"),AND(AD38="Media",AF38="Mayor"),AND(AD38="Alta",AF38="Moderado"),AND(AD38="Alta",AF38="Mayor"),AND(AD38="Muy Alta",AF38="Leve"),AND(AD38="Muy Alta",AF38="Menor"),AND(AD38="Muy Alta",AF38="Moderado"),AND(AD38="Muy Alta",AF38="Mayor")),"Alto",IF(OR(AND(AD38="Muy Baja",AF38="Catastrófico"),AND(AD38="Baja",AF38="Catastrófico"),AND(AD38="Media",AF38="Catastrófico"),AND(AD38="Alta",AF38="Catastrófico"),AND(AD38="Muy Alta",AF38="Catastrófico")),"Extremo","")))),"")</f>
        <v/>
      </c>
      <c r="AI38" s="323"/>
      <c r="AJ38" s="249"/>
      <c r="AK38" s="249"/>
      <c r="AL38" s="249"/>
      <c r="AM38" s="249"/>
      <c r="AN38" s="278"/>
      <c r="AO38" s="277"/>
      <c r="AP38" s="277"/>
      <c r="AQ38" s="276"/>
      <c r="AR38" s="263"/>
      <c r="AS38" s="277"/>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row>
    <row r="39" spans="1:78" s="295" customFormat="1" ht="9.75" customHeight="1" x14ac:dyDescent="0.2">
      <c r="A39" s="458"/>
      <c r="B39" s="451"/>
      <c r="C39" s="452"/>
      <c r="D39" s="453"/>
      <c r="E39" s="454"/>
      <c r="F39" s="454"/>
      <c r="G39" s="446"/>
      <c r="H39" s="456"/>
      <c r="I39" s="446"/>
      <c r="J39" s="446"/>
      <c r="K39" s="457"/>
      <c r="L39" s="447"/>
      <c r="M39" s="445"/>
      <c r="N39" s="455"/>
      <c r="O39" s="285">
        <f ca="1">IF(NOT(ISERROR(MATCH(N39,_xlfn.ANCHORARRAY(#REF!),0))),#REF!&amp;"Por favor no seleccionar los criterios de impacto",N39)</f>
        <v>0</v>
      </c>
      <c r="P39" s="447"/>
      <c r="Q39" s="445"/>
      <c r="R39" s="459"/>
      <c r="S39" s="248">
        <v>3</v>
      </c>
      <c r="T39" s="330"/>
      <c r="U39" s="245"/>
      <c r="V39" s="322" t="str">
        <f>IF(OR(W39="Preventivo",W39="Detectivo"),"Probabilidad",IF(W39="Correctivo","Impacto",""))</f>
        <v/>
      </c>
      <c r="W39" s="323"/>
      <c r="X39" s="323"/>
      <c r="Y39" s="324" t="str">
        <f>IF(AND(W39="Preventivo",X39="Automático"),"50%",IF(AND(W39="Preventivo",X39="Manual"),"40%",IF(AND(W39="Detectivo",X39="Automático"),"40%",IF(AND(W39="Detectivo",X39="Manual"),"30%",IF(AND(W39="Correctivo",X39="Automático"),"35%",IF(AND(W39="Correctivo",X39="Manual"),"25%",""))))))</f>
        <v/>
      </c>
      <c r="Z39" s="323"/>
      <c r="AA39" s="323"/>
      <c r="AB39" s="323"/>
      <c r="AC39" s="325" t="str">
        <f t="shared" ref="AC39:AC42" si="59">IFERROR(IF(AND(V38="Probabilidad",V39="Probabilidad"),(AE38-(+AE38*Y39)),IF(AND(V38="Impacto",V39="Probabilidad"),(AE37-(+AE37*Y39)),IF(V39="Impacto",AE38,""))),"")</f>
        <v/>
      </c>
      <c r="AD39" s="326" t="str">
        <f t="shared" si="56"/>
        <v/>
      </c>
      <c r="AE39" s="324" t="str">
        <f t="shared" ref="AE39:AE42" si="60">+AC39</f>
        <v/>
      </c>
      <c r="AF39" s="326" t="str">
        <f t="shared" si="57"/>
        <v/>
      </c>
      <c r="AG39" s="324" t="str">
        <f t="shared" ref="AG39:AG42" si="61">IFERROR(IF(AND(V38="Impacto",V39="Impacto"),(AG38-(+AG38*Y39)),IF(V39="Impacto",($Q$37-(+$Q$37*Y39)),IF(V39="Probabilidad",AG38,""))),"")</f>
        <v/>
      </c>
      <c r="AH39" s="328" t="str">
        <f t="shared" si="58"/>
        <v/>
      </c>
      <c r="AI39" s="323"/>
      <c r="AJ39" s="249"/>
      <c r="AK39" s="249"/>
      <c r="AL39" s="249"/>
      <c r="AM39" s="249"/>
      <c r="AN39" s="278"/>
      <c r="AO39" s="277"/>
      <c r="AP39" s="277"/>
      <c r="AQ39" s="276"/>
      <c r="AR39" s="263"/>
      <c r="AS39" s="277"/>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row>
    <row r="40" spans="1:78" s="295" customFormat="1" ht="9.75" customHeight="1" x14ac:dyDescent="0.2">
      <c r="A40" s="458"/>
      <c r="B40" s="451"/>
      <c r="C40" s="452"/>
      <c r="D40" s="453"/>
      <c r="E40" s="454"/>
      <c r="F40" s="454"/>
      <c r="G40" s="446"/>
      <c r="H40" s="456"/>
      <c r="I40" s="446"/>
      <c r="J40" s="446"/>
      <c r="K40" s="457"/>
      <c r="L40" s="447"/>
      <c r="M40" s="445"/>
      <c r="N40" s="455"/>
      <c r="O40" s="285">
        <f ca="1">IF(NOT(ISERROR(MATCH(N40,_xlfn.ANCHORARRAY(#REF!),0))),#REF!&amp;"Por favor no seleccionar los criterios de impacto",N40)</f>
        <v>0</v>
      </c>
      <c r="P40" s="447"/>
      <c r="Q40" s="445"/>
      <c r="R40" s="459"/>
      <c r="S40" s="248">
        <v>4</v>
      </c>
      <c r="T40" s="330"/>
      <c r="U40" s="245"/>
      <c r="V40" s="322" t="str">
        <f t="shared" ref="V40:V42" si="62">IF(OR(W40="Preventivo",W40="Detectivo"),"Probabilidad",IF(W40="Correctivo","Impacto",""))</f>
        <v/>
      </c>
      <c r="W40" s="323"/>
      <c r="X40" s="323"/>
      <c r="Y40" s="324" t="str">
        <f t="shared" ref="Y40:Y42" si="63">IF(AND(W40="Preventivo",X40="Automático"),"50%",IF(AND(W40="Preventivo",X40="Manual"),"40%",IF(AND(W40="Detectivo",X40="Automático"),"40%",IF(AND(W40="Detectivo",X40="Manual"),"30%",IF(AND(W40="Correctivo",X40="Automático"),"35%",IF(AND(W40="Correctivo",X40="Manual"),"25%",""))))))</f>
        <v/>
      </c>
      <c r="Z40" s="323"/>
      <c r="AA40" s="323"/>
      <c r="AB40" s="323"/>
      <c r="AC40" s="325" t="str">
        <f t="shared" si="59"/>
        <v/>
      </c>
      <c r="AD40" s="326" t="str">
        <f t="shared" si="56"/>
        <v/>
      </c>
      <c r="AE40" s="324" t="str">
        <f t="shared" si="60"/>
        <v/>
      </c>
      <c r="AF40" s="326" t="str">
        <f t="shared" si="57"/>
        <v/>
      </c>
      <c r="AG40" s="324" t="str">
        <f t="shared" si="61"/>
        <v/>
      </c>
      <c r="AH40" s="328" t="str">
        <f>IFERROR(IF(OR(AND(AD40="Muy Baja",AF40="Leve"),AND(AD40="Muy Baja",AF40="Menor"),AND(AD40="Baja",AF40="Leve")),"Bajo",IF(OR(AND(AD40="Muy baja",AF40="Moderado"),AND(AD40="Baja",AF40="Menor"),AND(AD40="Baja",AF40="Moderado"),AND(AD40="Media",AF40="Leve"),AND(AD40="Media",AF40="Menor"),AND(AD40="Media",AF40="Moderado"),AND(AD40="Alta",AF40="Leve"),AND(AD40="Alta",AF40="Menor")),"Moderado",IF(OR(AND(AD40="Muy Baja",AF40="Mayor"),AND(AD40="Baja",AF40="Mayor"),AND(AD40="Media",AF40="Mayor"),AND(AD40="Alta",AF40="Moderado"),AND(AD40="Alta",AF40="Mayor"),AND(AD40="Muy Alta",AF40="Leve"),AND(AD40="Muy Alta",AF40="Menor"),AND(AD40="Muy Alta",AF40="Moderado"),AND(AD40="Muy Alta",AF40="Mayor")),"Alto",IF(OR(AND(AD40="Muy Baja",AF40="Catastrófico"),AND(AD40="Baja",AF40="Catastrófico"),AND(AD40="Media",AF40="Catastrófico"),AND(AD40="Alta",AF40="Catastrófico"),AND(AD40="Muy Alta",AF40="Catastrófico")),"Extremo","")))),"")</f>
        <v/>
      </c>
      <c r="AI40" s="323"/>
      <c r="AJ40" s="249"/>
      <c r="AK40" s="249"/>
      <c r="AL40" s="249"/>
      <c r="AM40" s="249"/>
      <c r="AN40" s="278"/>
      <c r="AO40" s="209"/>
      <c r="AP40" s="209"/>
      <c r="AQ40" s="244"/>
      <c r="AR40" s="263"/>
      <c r="AS40" s="209"/>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row>
    <row r="41" spans="1:78" s="295" customFormat="1" ht="9.75" customHeight="1" x14ac:dyDescent="0.2">
      <c r="A41" s="458"/>
      <c r="B41" s="451"/>
      <c r="C41" s="452"/>
      <c r="D41" s="453"/>
      <c r="E41" s="454"/>
      <c r="F41" s="454"/>
      <c r="G41" s="446"/>
      <c r="H41" s="456"/>
      <c r="I41" s="446"/>
      <c r="J41" s="446"/>
      <c r="K41" s="457"/>
      <c r="L41" s="447"/>
      <c r="M41" s="445"/>
      <c r="N41" s="455"/>
      <c r="O41" s="285">
        <f ca="1">IF(NOT(ISERROR(MATCH(N41,_xlfn.ANCHORARRAY(#REF!),0))),#REF!&amp;"Por favor no seleccionar los criterios de impacto",N41)</f>
        <v>0</v>
      </c>
      <c r="P41" s="447"/>
      <c r="Q41" s="445"/>
      <c r="R41" s="459"/>
      <c r="S41" s="248">
        <v>5</v>
      </c>
      <c r="T41" s="330"/>
      <c r="U41" s="245"/>
      <c r="V41" s="322" t="str">
        <f t="shared" si="62"/>
        <v/>
      </c>
      <c r="W41" s="323"/>
      <c r="X41" s="323"/>
      <c r="Y41" s="324" t="str">
        <f t="shared" si="63"/>
        <v/>
      </c>
      <c r="Z41" s="323"/>
      <c r="AA41" s="323"/>
      <c r="AB41" s="323"/>
      <c r="AC41" s="325" t="str">
        <f t="shared" si="59"/>
        <v/>
      </c>
      <c r="AD41" s="326" t="str">
        <f t="shared" si="56"/>
        <v/>
      </c>
      <c r="AE41" s="324" t="str">
        <f t="shared" si="60"/>
        <v/>
      </c>
      <c r="AF41" s="326" t="str">
        <f t="shared" si="57"/>
        <v/>
      </c>
      <c r="AG41" s="324" t="str">
        <f t="shared" si="61"/>
        <v/>
      </c>
      <c r="AH41" s="328" t="str">
        <f t="shared" ref="AH41:AH42" si="64">IFERROR(IF(OR(AND(AD41="Muy Baja",AF41="Leve"),AND(AD41="Muy Baja",AF41="Menor"),AND(AD41="Baja",AF41="Leve")),"Bajo",IF(OR(AND(AD41="Muy baja",AF41="Moderado"),AND(AD41="Baja",AF41="Menor"),AND(AD41="Baja",AF41="Moderado"),AND(AD41="Media",AF41="Leve"),AND(AD41="Media",AF41="Menor"),AND(AD41="Media",AF41="Moderado"),AND(AD41="Alta",AF41="Leve"),AND(AD41="Alta",AF41="Menor")),"Moderado",IF(OR(AND(AD41="Muy Baja",AF41="Mayor"),AND(AD41="Baja",AF41="Mayor"),AND(AD41="Media",AF41="Mayor"),AND(AD41="Alta",AF41="Moderado"),AND(AD41="Alta",AF41="Mayor"),AND(AD41="Muy Alta",AF41="Leve"),AND(AD41="Muy Alta",AF41="Menor"),AND(AD41="Muy Alta",AF41="Moderado"),AND(AD41="Muy Alta",AF41="Mayor")),"Alto",IF(OR(AND(AD41="Muy Baja",AF41="Catastrófico"),AND(AD41="Baja",AF41="Catastrófico"),AND(AD41="Media",AF41="Catastrófico"),AND(AD41="Alta",AF41="Catastrófico"),AND(AD41="Muy Alta",AF41="Catastrófico")),"Extremo","")))),"")</f>
        <v/>
      </c>
      <c r="AI41" s="323"/>
      <c r="AJ41" s="249"/>
      <c r="AK41" s="249"/>
      <c r="AL41" s="249"/>
      <c r="AM41" s="249"/>
      <c r="AN41" s="278"/>
      <c r="AO41" s="276"/>
      <c r="AP41" s="276"/>
      <c r="AQ41" s="278"/>
      <c r="AR41" s="211"/>
      <c r="AS41" s="211"/>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row>
    <row r="42" spans="1:78" s="295" customFormat="1" ht="9.75" customHeight="1" x14ac:dyDescent="0.2">
      <c r="A42" s="458"/>
      <c r="B42" s="451"/>
      <c r="C42" s="452"/>
      <c r="D42" s="453"/>
      <c r="E42" s="454"/>
      <c r="F42" s="454"/>
      <c r="G42" s="446"/>
      <c r="H42" s="456"/>
      <c r="I42" s="446"/>
      <c r="J42" s="446"/>
      <c r="K42" s="457"/>
      <c r="L42" s="447"/>
      <c r="M42" s="445"/>
      <c r="N42" s="455"/>
      <c r="O42" s="285">
        <f ca="1">IF(NOT(ISERROR(MATCH(N42,_xlfn.ANCHORARRAY(#REF!),0))),M19&amp;"Por favor no seleccionar los criterios de impacto",N42)</f>
        <v>0</v>
      </c>
      <c r="P42" s="447"/>
      <c r="Q42" s="445"/>
      <c r="R42" s="459"/>
      <c r="S42" s="248">
        <v>6</v>
      </c>
      <c r="T42" s="330"/>
      <c r="U42" s="245"/>
      <c r="V42" s="322" t="str">
        <f t="shared" si="62"/>
        <v/>
      </c>
      <c r="W42" s="323"/>
      <c r="X42" s="323"/>
      <c r="Y42" s="324" t="str">
        <f t="shared" si="63"/>
        <v/>
      </c>
      <c r="Z42" s="323"/>
      <c r="AA42" s="323"/>
      <c r="AB42" s="323"/>
      <c r="AC42" s="325" t="str">
        <f t="shared" si="59"/>
        <v/>
      </c>
      <c r="AD42" s="326" t="str">
        <f t="shared" si="56"/>
        <v/>
      </c>
      <c r="AE42" s="324" t="str">
        <f t="shared" si="60"/>
        <v/>
      </c>
      <c r="AF42" s="326" t="str">
        <f t="shared" si="57"/>
        <v/>
      </c>
      <c r="AG42" s="324" t="str">
        <f t="shared" si="61"/>
        <v/>
      </c>
      <c r="AH42" s="328" t="str">
        <f t="shared" si="64"/>
        <v/>
      </c>
      <c r="AI42" s="323"/>
      <c r="AJ42" s="249"/>
      <c r="AK42" s="249"/>
      <c r="AL42" s="249"/>
      <c r="AM42" s="249"/>
      <c r="AN42" s="278"/>
      <c r="AO42" s="276"/>
      <c r="AP42" s="276"/>
      <c r="AQ42" s="278"/>
      <c r="AR42" s="211"/>
      <c r="AS42" s="211"/>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row>
    <row r="43" spans="1:78" s="294" customFormat="1" ht="98.25" customHeight="1" x14ac:dyDescent="0.2">
      <c r="A43" s="458" t="s">
        <v>699</v>
      </c>
      <c r="B43" s="451" t="s">
        <v>830</v>
      </c>
      <c r="C43" s="452" t="s">
        <v>595</v>
      </c>
      <c r="D43" s="453" t="s">
        <v>619</v>
      </c>
      <c r="E43" s="454" t="s">
        <v>107</v>
      </c>
      <c r="F43" s="446" t="s">
        <v>1027</v>
      </c>
      <c r="G43" s="446" t="s">
        <v>675</v>
      </c>
      <c r="H43" s="446" t="s">
        <v>882</v>
      </c>
      <c r="I43" s="446" t="s">
        <v>654</v>
      </c>
      <c r="J43" s="446" t="s">
        <v>776</v>
      </c>
      <c r="K43" s="462">
        <v>39474</v>
      </c>
      <c r="L43" s="447" t="str">
        <f t="shared" ref="L43" si="65">IF(K43&lt;=0,"",IF(K43&lt;=2,"Muy Baja",IF(K43&lt;=24,"Baja",IF(K43&lt;=500,"Media",IF(K43&lt;=5000,"Alta","Muy Alta")))))</f>
        <v>Muy Alta</v>
      </c>
      <c r="M43" s="445">
        <f>IF(L43="","",IF(L43="Muy Baja",0.2,IF(L43="Baja",0.4,IF(L43="Media",0.6,IF(L43="Alta",0.8,IF(L43="Muy Alta",1,))))))</f>
        <v>1</v>
      </c>
      <c r="N43" s="455" t="s">
        <v>123</v>
      </c>
      <c r="O43" s="285" t="str">
        <f ca="1">IF(NOT(ISERROR(MATCH(N43,'Tabla Impacto'!$B$221:$B$223,0))),'Tabla Impacto'!$F$223&amp;"Por favor no seleccionar los criterios de impacto(Afectación Económica o presupuestal y Pérdida Reputacional)",N43)</f>
        <v xml:space="preserve">     El riesgo afecta la imagen de la entidad a nivel nacional, con efecto publicitarios sostenible a nivel país</v>
      </c>
      <c r="P43" s="447" t="str">
        <f ca="1">IF(OR(O43='Tabla Impacto'!$C$11,O43='Tabla Impacto'!$D$11),"Leve",IF(OR(O43='Tabla Impacto'!$C$12,O43='Tabla Impacto'!$D$12),"Menor",IF(OR(O43='Tabla Impacto'!$C$13,O43='Tabla Impacto'!$D$13),"Moderado",IF(OR(O43='Tabla Impacto'!$C$14,O43='Tabla Impacto'!$D$14),"Mayor",IF(OR(O43='Tabla Impacto'!$C$15,O43='Tabla Impacto'!$D$15),"Catastrófico","")))))</f>
        <v>Catastrófico</v>
      </c>
      <c r="Q43" s="445">
        <f ca="1">IF(P43="","",IF(P43="Leve",0.2,IF(P43="Menor",0.4,IF(P43="Moderado",0.6,IF(P43="Mayor",0.8,IF(P43="Catastrófico",1,))))))</f>
        <v>1</v>
      </c>
      <c r="R43" s="459" t="str">
        <f ca="1">IF(OR(AND(L43="Muy Baja",P43="Leve"),AND(L43="Muy Baja",P43="Menor"),AND(L43="Baja",P43="Leve")),"Bajo",IF(OR(AND(L43="Muy baja",P43="Moderado"),AND(L43="Baja",P43="Menor"),AND(L43="Baja",P43="Moderado"),AND(L43="Media",P43="Leve"),AND(L43="Media",P43="Menor"),AND(L43="Media",P43="Moderado"),AND(L43="Alta",P43="Leve"),AND(L43="Alta",P43="Menor")),"Moderado",IF(OR(AND(L43="Muy Baja",P43="Mayor"),AND(L43="Baja",P43="Mayor"),AND(L43="Media",P43="Mayor"),AND(L43="Alta",P43="Moderado"),AND(L43="Alta",P43="Mayor"),AND(L43="Muy Alta",P43="Leve"),AND(L43="Muy Alta",P43="Menor"),AND(L43="Muy Alta",P43="Moderado"),AND(L43="Muy Alta",P43="Mayor")),"Alto",IF(OR(AND(L43="Muy Baja",P43="Catastrófico"),AND(L43="Baja",P43="Catastrófico"),AND(L43="Media",P43="Catastrófico"),AND(L43="Alta",P43="Catastrófico"),AND(L43="Muy Alta",P43="Catastrófico")),"Extremo",""))))</f>
        <v>Extremo</v>
      </c>
      <c r="S43" s="248">
        <v>1</v>
      </c>
      <c r="T43" s="321" t="s">
        <v>909</v>
      </c>
      <c r="U43" s="245" t="s">
        <v>293</v>
      </c>
      <c r="V43" s="322" t="str">
        <f t="shared" ref="V43:V48" si="66">IF(OR(W43="Preventivo",W43="Detectivo"),"Probabilidad",IF(W43="Correctivo","Impacto",""))</f>
        <v>Probabilidad</v>
      </c>
      <c r="W43" s="323" t="s">
        <v>13</v>
      </c>
      <c r="X43" s="323" t="s">
        <v>8</v>
      </c>
      <c r="Y43" s="324" t="str">
        <f>IF(AND(W43="Preventivo",X43="Automático"),"50%",IF(AND(W43="Preventivo",X43="Manual"),"40%",IF(AND(W43="Detectivo",X43="Automático"),"40%",IF(AND(W43="Detectivo",X43="Manual"),"30%",IF(AND(W43="Correctivo",X43="Automático"),"35%",IF(AND(W43="Correctivo",X43="Manual"),"25%",""))))))</f>
        <v>40%</v>
      </c>
      <c r="Z43" s="323" t="s">
        <v>18</v>
      </c>
      <c r="AA43" s="323" t="s">
        <v>21</v>
      </c>
      <c r="AB43" s="323" t="s">
        <v>103</v>
      </c>
      <c r="AC43" s="325">
        <f>IFERROR(IF(V43="Probabilidad",(M43-(+M43*Y43)),IF(V43="Impacto",M43,"")),"")</f>
        <v>0.6</v>
      </c>
      <c r="AD43" s="326" t="str">
        <f>IFERROR(IF(AC43="","",IF(AC43&lt;=0.2,"Muy Baja",IF(AC43&lt;=0.4,"Baja",IF(AC43&lt;=0.6,"Media",IF(AC43&lt;=0.8,"Alta","Muy Alta"))))),"")</f>
        <v>Media</v>
      </c>
      <c r="AE43" s="324">
        <f>+AC43</f>
        <v>0.6</v>
      </c>
      <c r="AF43" s="326" t="str">
        <f ca="1">IFERROR(IF(AG43="","",IF(AG43&lt;=0.2,"Leve",IF(AG43&lt;=0.4,"Menor",IF(AG43&lt;=0.6,"Moderado",IF(AG43&lt;=0.8,"Mayor","Catastrófico"))))),"")</f>
        <v>Catastrófico</v>
      </c>
      <c r="AG43" s="324">
        <f ca="1">IFERROR(IF(V43="Impacto",(Q43-(+Q43*Y43)),IF(V43="Probabilidad",Q43,"")),"")</f>
        <v>1</v>
      </c>
      <c r="AH43" s="328" t="str">
        <f ca="1">IFERROR(IF(OR(AND(AD43="Muy Baja",AF43="Leve"),AND(AD43="Muy Baja",AF43="Menor"),AND(AD43="Baja",AF43="Leve")),"Bajo",IF(OR(AND(AD43="Muy baja",AF43="Moderado"),AND(AD43="Baja",AF43="Menor"),AND(AD43="Baja",AF43="Moderado"),AND(AD43="Media",AF43="Leve"),AND(AD43="Media",AF43="Menor"),AND(AD43="Media",AF43="Moderado"),AND(AD43="Alta",AF43="Leve"),AND(AD43="Alta",AF43="Menor")),"Moderado",IF(OR(AND(AD43="Muy Baja",AF43="Mayor"),AND(AD43="Baja",AF43="Mayor"),AND(AD43="Media",AF43="Mayor"),AND(AD43="Alta",AF43="Moderado"),AND(AD43="Alta",AF43="Mayor"),AND(AD43="Muy Alta",AF43="Leve"),AND(AD43="Muy Alta",AF43="Menor"),AND(AD43="Muy Alta",AF43="Moderado"),AND(AD43="Muy Alta",AF43="Mayor")),"Alto",IF(OR(AND(AD43="Muy Baja",AF43="Catastrófico"),AND(AD43="Baja",AF43="Catastrófico"),AND(AD43="Media",AF43="Catastrófico"),AND(AD43="Alta",AF43="Catastrófico"),AND(AD43="Muy Alta",AF43="Catastrófico")),"Extremo","")))),"")</f>
        <v>Extremo</v>
      </c>
      <c r="AI43" s="323" t="s">
        <v>26</v>
      </c>
      <c r="AJ43" s="249">
        <v>0</v>
      </c>
      <c r="AK43" s="249">
        <v>0</v>
      </c>
      <c r="AL43" s="249">
        <v>0</v>
      </c>
      <c r="AM43" s="249">
        <v>0</v>
      </c>
      <c r="AN43" s="282"/>
      <c r="AO43" s="259"/>
      <c r="AP43" s="259"/>
      <c r="AQ43" s="239"/>
      <c r="AR43" s="264"/>
      <c r="AS43" s="265"/>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row>
    <row r="44" spans="1:78" s="295" customFormat="1" ht="171" x14ac:dyDescent="0.2">
      <c r="A44" s="458"/>
      <c r="B44" s="451"/>
      <c r="C44" s="452"/>
      <c r="D44" s="453"/>
      <c r="E44" s="454"/>
      <c r="F44" s="446"/>
      <c r="G44" s="446"/>
      <c r="H44" s="446"/>
      <c r="I44" s="446"/>
      <c r="J44" s="446"/>
      <c r="K44" s="462"/>
      <c r="L44" s="447"/>
      <c r="M44" s="445"/>
      <c r="N44" s="455"/>
      <c r="O44" s="285">
        <f ca="1">IF(NOT(ISERROR(MATCH(N44,_xlfn.ANCHORARRAY(H19),0))),M21&amp;"Por favor no seleccionar los criterios de impacto",N44)</f>
        <v>0</v>
      </c>
      <c r="P44" s="447"/>
      <c r="Q44" s="445"/>
      <c r="R44" s="459"/>
      <c r="S44" s="248">
        <v>2</v>
      </c>
      <c r="T44" s="321" t="s">
        <v>1028</v>
      </c>
      <c r="U44" s="245" t="s">
        <v>293</v>
      </c>
      <c r="V44" s="322" t="str">
        <f t="shared" si="66"/>
        <v>Impacto</v>
      </c>
      <c r="W44" s="323" t="s">
        <v>15</v>
      </c>
      <c r="X44" s="323" t="s">
        <v>8</v>
      </c>
      <c r="Y44" s="324" t="str">
        <f>IF(AND(W44="Preventivo",X44="Automático"),"50%",IF(AND(W44="Preventivo",X44="Manual"),"40%",IF(AND(W44="Detectivo",X44="Automático"),"40%",IF(AND(W44="Detectivo",X44="Manual"),"30%",IF(AND(W44="Correctivo",X44="Automático"),"35%",IF(AND(W44="Correctivo",X44="Manual"),"25%",""))))))</f>
        <v>25%</v>
      </c>
      <c r="Z44" s="323" t="s">
        <v>18</v>
      </c>
      <c r="AA44" s="323" t="s">
        <v>21</v>
      </c>
      <c r="AB44" s="323" t="s">
        <v>103</v>
      </c>
      <c r="AC44" s="325">
        <f t="shared" ref="AC44" si="67">IFERROR(IF(AND(V43="Probabilidad",V44="Probabilidad"),(AE43-(+AE43*Y44)),IF(V44="Probabilidad",(M43-(+M43*Y44)),IF(V44="Impacto",AE43,""))),"")</f>
        <v>0.6</v>
      </c>
      <c r="AD44" s="326" t="str">
        <f t="shared" ref="AD44:AD48" si="68">IFERROR(IF(AC44="","",IF(AC44&lt;=0.2,"Muy Baja",IF(AC44&lt;=0.4,"Baja",IF(AC44&lt;=0.6,"Media",IF(AC44&lt;=0.8,"Alta","Muy Alta"))))),"")</f>
        <v>Media</v>
      </c>
      <c r="AE44" s="324">
        <f>+AC44</f>
        <v>0.6</v>
      </c>
      <c r="AF44" s="326" t="str">
        <f t="shared" ref="AF44:AF48" ca="1" si="69">IFERROR(IF(AG44="","",IF(AG44&lt;=0.2,"Leve",IF(AG44&lt;=0.4,"Menor",IF(AG44&lt;=0.6,"Moderado",IF(AG44&lt;=0.8,"Mayor","Catastrófico"))))),"")</f>
        <v>Mayor</v>
      </c>
      <c r="AG44" s="324">
        <f ca="1">IFERROR(IF(AND(V43="Impacto",V44="Impacto"),(AG43-(+AG43*Y44)),IF(V44="Impacto",($Q$43-(+$Q$43*Y44)),IF(V44="Probabilidad",AG43,""))),"")</f>
        <v>0.75</v>
      </c>
      <c r="AH44" s="328" t="str">
        <f t="shared" ref="AH44:AH45" ca="1" si="70">IFERROR(IF(OR(AND(AD44="Muy Baja",AF44="Leve"),AND(AD44="Muy Baja",AF44="Menor"),AND(AD44="Baja",AF44="Leve")),"Bajo",IF(OR(AND(AD44="Muy baja",AF44="Moderado"),AND(AD44="Baja",AF44="Menor"),AND(AD44="Baja",AF44="Moderado"),AND(AD44="Media",AF44="Leve"),AND(AD44="Media",AF44="Menor"),AND(AD44="Media",AF44="Moderado"),AND(AD44="Alta",AF44="Leve"),AND(AD44="Alta",AF44="Menor")),"Moderado",IF(OR(AND(AD44="Muy Baja",AF44="Mayor"),AND(AD44="Baja",AF44="Mayor"),AND(AD44="Media",AF44="Mayor"),AND(AD44="Alta",AF44="Moderado"),AND(AD44="Alta",AF44="Mayor"),AND(AD44="Muy Alta",AF44="Leve"),AND(AD44="Muy Alta",AF44="Menor"),AND(AD44="Muy Alta",AF44="Moderado"),AND(AD44="Muy Alta",AF44="Mayor")),"Alto",IF(OR(AND(AD44="Muy Baja",AF44="Catastrófico"),AND(AD44="Baja",AF44="Catastrófico"),AND(AD44="Media",AF44="Catastrófico"),AND(AD44="Alta",AF44="Catastrófico"),AND(AD44="Muy Alta",AF44="Catastrófico")),"Extremo","")))),"")</f>
        <v>Alto</v>
      </c>
      <c r="AI44" s="323" t="s">
        <v>26</v>
      </c>
      <c r="AJ44" s="249">
        <v>12</v>
      </c>
      <c r="AK44" s="249">
        <v>4</v>
      </c>
      <c r="AL44" s="249">
        <v>4</v>
      </c>
      <c r="AM44" s="249">
        <v>4</v>
      </c>
      <c r="AN44" s="278"/>
      <c r="AO44" s="277"/>
      <c r="AP44" s="277"/>
      <c r="AQ44" s="276"/>
      <c r="AR44" s="263"/>
      <c r="AS44" s="277"/>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row>
    <row r="45" spans="1:78" s="295" customFormat="1" ht="108.75" customHeight="1" x14ac:dyDescent="0.2">
      <c r="A45" s="458"/>
      <c r="B45" s="451"/>
      <c r="C45" s="452"/>
      <c r="D45" s="453"/>
      <c r="E45" s="454"/>
      <c r="F45" s="446"/>
      <c r="G45" s="446"/>
      <c r="H45" s="446"/>
      <c r="I45" s="446"/>
      <c r="J45" s="446"/>
      <c r="K45" s="462"/>
      <c r="L45" s="447"/>
      <c r="M45" s="445"/>
      <c r="N45" s="455"/>
      <c r="O45" s="285">
        <f ca="1">IF(NOT(ISERROR(MATCH(N45,_xlfn.ANCHORARRAY(H20),0))),M22&amp;"Por favor no seleccionar los criterios de impacto",N45)</f>
        <v>0</v>
      </c>
      <c r="P45" s="447"/>
      <c r="Q45" s="445"/>
      <c r="R45" s="459"/>
      <c r="S45" s="248">
        <v>3</v>
      </c>
      <c r="T45" s="321" t="s">
        <v>910</v>
      </c>
      <c r="U45" s="245" t="s">
        <v>293</v>
      </c>
      <c r="V45" s="322" t="str">
        <f t="shared" si="66"/>
        <v>Probabilidad</v>
      </c>
      <c r="W45" s="323" t="s">
        <v>13</v>
      </c>
      <c r="X45" s="323" t="s">
        <v>8</v>
      </c>
      <c r="Y45" s="324" t="str">
        <f>IF(AND(W45="Preventivo",X45="Automático"),"50%",IF(AND(W45="Preventivo",X45="Manual"),"40%",IF(AND(W45="Detectivo",X45="Automático"),"40%",IF(AND(W45="Detectivo",X45="Manual"),"30%",IF(AND(W45="Correctivo",X45="Automático"),"35%",IF(AND(W45="Correctivo",X45="Manual"),"25%",""))))))</f>
        <v>40%</v>
      </c>
      <c r="Z45" s="323" t="s">
        <v>19</v>
      </c>
      <c r="AA45" s="323" t="s">
        <v>21</v>
      </c>
      <c r="AB45" s="323" t="s">
        <v>103</v>
      </c>
      <c r="AC45" s="325">
        <f t="shared" ref="AC45:AC48" si="71">IFERROR(IF(AND(V44="Probabilidad",V45="Probabilidad"),(AE44-(+AE44*Y45)),IF(AND(V44="Impacto",V45="Probabilidad"),(AE43-(+AE43*Y45)),IF(V45="Impacto",AE44,""))),"")</f>
        <v>0.36</v>
      </c>
      <c r="AD45" s="326" t="str">
        <f t="shared" si="68"/>
        <v>Baja</v>
      </c>
      <c r="AE45" s="324">
        <f t="shared" ref="AE45:AE48" si="72">+AC45</f>
        <v>0.36</v>
      </c>
      <c r="AF45" s="326" t="str">
        <f t="shared" ca="1" si="69"/>
        <v>Mayor</v>
      </c>
      <c r="AG45" s="324">
        <f ca="1">IFERROR(IF(AND(V44="Impacto",V45="Impacto"),(AG44-(+AG44*Y45)),IF(V45="Impacto",(#REF!-(+#REF!*Y45)),IF(V45="Probabilidad",AG44,""))),"")</f>
        <v>0.75</v>
      </c>
      <c r="AH45" s="328" t="str">
        <f t="shared" ca="1" si="70"/>
        <v>Alto</v>
      </c>
      <c r="AI45" s="323" t="s">
        <v>26</v>
      </c>
      <c r="AJ45" s="249">
        <v>0</v>
      </c>
      <c r="AK45" s="249">
        <v>0</v>
      </c>
      <c r="AL45" s="249">
        <v>0</v>
      </c>
      <c r="AM45" s="249">
        <v>0</v>
      </c>
      <c r="AN45" s="278"/>
      <c r="AO45" s="277"/>
      <c r="AP45" s="277"/>
      <c r="AQ45" s="276"/>
      <c r="AR45" s="263"/>
      <c r="AS45" s="277"/>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3"/>
      <c r="BR45" s="293"/>
      <c r="BS45" s="293"/>
      <c r="BT45" s="293"/>
      <c r="BU45" s="293"/>
      <c r="BV45" s="293"/>
      <c r="BW45" s="293"/>
      <c r="BX45" s="293"/>
      <c r="BY45" s="293"/>
      <c r="BZ45" s="293"/>
    </row>
    <row r="46" spans="1:78" s="295" customFormat="1" ht="9.75" customHeight="1" x14ac:dyDescent="0.2">
      <c r="A46" s="458"/>
      <c r="B46" s="451"/>
      <c r="C46" s="452"/>
      <c r="D46" s="453"/>
      <c r="E46" s="454"/>
      <c r="F46" s="446"/>
      <c r="G46" s="446"/>
      <c r="H46" s="446"/>
      <c r="I46" s="446"/>
      <c r="J46" s="446"/>
      <c r="K46" s="462"/>
      <c r="L46" s="447"/>
      <c r="M46" s="445"/>
      <c r="N46" s="455"/>
      <c r="O46" s="285">
        <f ca="1">IF(NOT(ISERROR(MATCH(N46,_xlfn.ANCHORARRAY(H21),0))),M23&amp;"Por favor no seleccionar los criterios de impacto",N46)</f>
        <v>0</v>
      </c>
      <c r="P46" s="447"/>
      <c r="Q46" s="445"/>
      <c r="R46" s="459"/>
      <c r="S46" s="248">
        <v>4</v>
      </c>
      <c r="T46" s="321"/>
      <c r="U46" s="245"/>
      <c r="V46" s="322" t="str">
        <f t="shared" si="66"/>
        <v/>
      </c>
      <c r="W46" s="323"/>
      <c r="X46" s="323"/>
      <c r="Y46" s="324" t="str">
        <f t="shared" ref="Y46:Y48" si="73">IF(AND(W46="Preventivo",X46="Automático"),"50%",IF(AND(W46="Preventivo",X46="Manual"),"40%",IF(AND(W46="Detectivo",X46="Automático"),"40%",IF(AND(W46="Detectivo",X46="Manual"),"30%",IF(AND(W46="Correctivo",X46="Automático"),"35%",IF(AND(W46="Correctivo",X46="Manual"),"25%",""))))))</f>
        <v/>
      </c>
      <c r="Z46" s="323"/>
      <c r="AA46" s="323"/>
      <c r="AB46" s="323"/>
      <c r="AC46" s="325" t="str">
        <f t="shared" si="71"/>
        <v/>
      </c>
      <c r="AD46" s="326" t="str">
        <f t="shared" si="68"/>
        <v/>
      </c>
      <c r="AE46" s="324" t="str">
        <f t="shared" si="72"/>
        <v/>
      </c>
      <c r="AF46" s="326" t="str">
        <f t="shared" si="69"/>
        <v/>
      </c>
      <c r="AG46" s="324" t="str">
        <f>IFERROR(IF(AND(V45="Impacto",V46="Impacto"),(AG45-(+AG45*Y46)),IF(V46="Impacto",(#REF!-(+#REF!*Y46)),IF(V46="Probabilidad",AG45,""))),"")</f>
        <v/>
      </c>
      <c r="AH46" s="328" t="str">
        <f>IFERROR(IF(OR(AND(AD46="Muy Baja",AF46="Leve"),AND(AD46="Muy Baja",AF46="Menor"),AND(AD46="Baja",AF46="Leve")),"Bajo",IF(OR(AND(AD46="Muy baja",AF46="Moderado"),AND(AD46="Baja",AF46="Menor"),AND(AD46="Baja",AF46="Moderado"),AND(AD46="Media",AF46="Leve"),AND(AD46="Media",AF46="Menor"),AND(AD46="Media",AF46="Moderado"),AND(AD46="Alta",AF46="Leve"),AND(AD46="Alta",AF46="Menor")),"Moderado",IF(OR(AND(AD46="Muy Baja",AF46="Mayor"),AND(AD46="Baja",AF46="Mayor"),AND(AD46="Media",AF46="Mayor"),AND(AD46="Alta",AF46="Moderado"),AND(AD46="Alta",AF46="Mayor"),AND(AD46="Muy Alta",AF46="Leve"),AND(AD46="Muy Alta",AF46="Menor"),AND(AD46="Muy Alta",AF46="Moderado"),AND(AD46="Muy Alta",AF46="Mayor")),"Alto",IF(OR(AND(AD46="Muy Baja",AF46="Catastrófico"),AND(AD46="Baja",AF46="Catastrófico"),AND(AD46="Media",AF46="Catastrófico"),AND(AD46="Alta",AF46="Catastrófico"),AND(AD46="Muy Alta",AF46="Catastrófico")),"Extremo","")))),"")</f>
        <v/>
      </c>
      <c r="AI46" s="323"/>
      <c r="AJ46" s="249"/>
      <c r="AK46" s="249"/>
      <c r="AL46" s="249"/>
      <c r="AM46" s="249"/>
      <c r="AN46" s="278"/>
      <c r="AO46" s="209"/>
      <c r="AP46" s="209"/>
      <c r="AQ46" s="244"/>
      <c r="AR46" s="263"/>
      <c r="AS46" s="209"/>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row>
    <row r="47" spans="1:78" s="295" customFormat="1" ht="9.75" customHeight="1" x14ac:dyDescent="0.2">
      <c r="A47" s="458"/>
      <c r="B47" s="451"/>
      <c r="C47" s="452"/>
      <c r="D47" s="453"/>
      <c r="E47" s="454"/>
      <c r="F47" s="446"/>
      <c r="G47" s="446"/>
      <c r="H47" s="446"/>
      <c r="I47" s="446"/>
      <c r="J47" s="446"/>
      <c r="K47" s="462"/>
      <c r="L47" s="447"/>
      <c r="M47" s="445"/>
      <c r="N47" s="455"/>
      <c r="O47" s="285">
        <f ca="1">IF(NOT(ISERROR(MATCH(N47,_xlfn.ANCHORARRAY(H22),0))),M24&amp;"Por favor no seleccionar los criterios de impacto",N47)</f>
        <v>0</v>
      </c>
      <c r="P47" s="447"/>
      <c r="Q47" s="445"/>
      <c r="R47" s="459"/>
      <c r="S47" s="248">
        <v>5</v>
      </c>
      <c r="T47" s="330"/>
      <c r="U47" s="245"/>
      <c r="V47" s="322" t="str">
        <f t="shared" si="66"/>
        <v/>
      </c>
      <c r="W47" s="323"/>
      <c r="X47" s="323"/>
      <c r="Y47" s="324" t="str">
        <f t="shared" si="73"/>
        <v/>
      </c>
      <c r="Z47" s="323"/>
      <c r="AA47" s="323"/>
      <c r="AB47" s="323"/>
      <c r="AC47" s="325" t="str">
        <f t="shared" si="71"/>
        <v/>
      </c>
      <c r="AD47" s="326" t="str">
        <f t="shared" si="68"/>
        <v/>
      </c>
      <c r="AE47" s="324" t="str">
        <f t="shared" si="72"/>
        <v/>
      </c>
      <c r="AF47" s="326" t="str">
        <f t="shared" si="69"/>
        <v/>
      </c>
      <c r="AG47" s="324" t="str">
        <f>IFERROR(IF(AND(V46="Impacto",V47="Impacto"),(AG46-(+AG46*Y47)),IF(V47="Impacto",(#REF!-(+#REF!*Y47)),IF(V47="Probabilidad",AG46,""))),"")</f>
        <v/>
      </c>
      <c r="AH47" s="328" t="str">
        <f t="shared" ref="AH47:AH48" si="74">IFERROR(IF(OR(AND(AD47="Muy Baja",AF47="Leve"),AND(AD47="Muy Baja",AF47="Menor"),AND(AD47="Baja",AF47="Leve")),"Bajo",IF(OR(AND(AD47="Muy baja",AF47="Moderado"),AND(AD47="Baja",AF47="Menor"),AND(AD47="Baja",AF47="Moderado"),AND(AD47="Media",AF47="Leve"),AND(AD47="Media",AF47="Menor"),AND(AD47="Media",AF47="Moderado"),AND(AD47="Alta",AF47="Leve"),AND(AD47="Alta",AF47="Menor")),"Moderado",IF(OR(AND(AD47="Muy Baja",AF47="Mayor"),AND(AD47="Baja",AF47="Mayor"),AND(AD47="Media",AF47="Mayor"),AND(AD47="Alta",AF47="Moderado"),AND(AD47="Alta",AF47="Mayor"),AND(AD47="Muy Alta",AF47="Leve"),AND(AD47="Muy Alta",AF47="Menor"),AND(AD47="Muy Alta",AF47="Moderado"),AND(AD47="Muy Alta",AF47="Mayor")),"Alto",IF(OR(AND(AD47="Muy Baja",AF47="Catastrófico"),AND(AD47="Baja",AF47="Catastrófico"),AND(AD47="Media",AF47="Catastrófico"),AND(AD47="Alta",AF47="Catastrófico"),AND(AD47="Muy Alta",AF47="Catastrófico")),"Extremo","")))),"")</f>
        <v/>
      </c>
      <c r="AI47" s="323"/>
      <c r="AJ47" s="249"/>
      <c r="AK47" s="249"/>
      <c r="AL47" s="249"/>
      <c r="AM47" s="249"/>
      <c r="AN47" s="278"/>
      <c r="AO47" s="276"/>
      <c r="AP47" s="276"/>
      <c r="AQ47" s="278"/>
      <c r="AR47" s="211"/>
      <c r="AS47" s="211"/>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293"/>
      <c r="BV47" s="293"/>
      <c r="BW47" s="293"/>
      <c r="BX47" s="293"/>
      <c r="BY47" s="293"/>
      <c r="BZ47" s="293"/>
    </row>
    <row r="48" spans="1:78" s="295" customFormat="1" ht="9.75" customHeight="1" x14ac:dyDescent="0.2">
      <c r="A48" s="458"/>
      <c r="B48" s="451"/>
      <c r="C48" s="452"/>
      <c r="D48" s="453"/>
      <c r="E48" s="454"/>
      <c r="F48" s="446"/>
      <c r="G48" s="446"/>
      <c r="H48" s="446"/>
      <c r="I48" s="446"/>
      <c r="J48" s="446"/>
      <c r="K48" s="462"/>
      <c r="L48" s="447"/>
      <c r="M48" s="445"/>
      <c r="N48" s="455"/>
      <c r="O48" s="285">
        <f ca="1">IF(NOT(ISERROR(MATCH(N48,_xlfn.ANCHORARRAY(H23),0))),#REF!&amp;"Por favor no seleccionar los criterios de impacto",N48)</f>
        <v>0</v>
      </c>
      <c r="P48" s="447"/>
      <c r="Q48" s="445"/>
      <c r="R48" s="459"/>
      <c r="S48" s="248">
        <v>6</v>
      </c>
      <c r="T48" s="330"/>
      <c r="U48" s="245"/>
      <c r="V48" s="322" t="str">
        <f t="shared" si="66"/>
        <v/>
      </c>
      <c r="W48" s="323"/>
      <c r="X48" s="323"/>
      <c r="Y48" s="324" t="str">
        <f t="shared" si="73"/>
        <v/>
      </c>
      <c r="Z48" s="323"/>
      <c r="AA48" s="323"/>
      <c r="AB48" s="323"/>
      <c r="AC48" s="325" t="str">
        <f t="shared" si="71"/>
        <v/>
      </c>
      <c r="AD48" s="326" t="str">
        <f t="shared" si="68"/>
        <v/>
      </c>
      <c r="AE48" s="324" t="str">
        <f t="shared" si="72"/>
        <v/>
      </c>
      <c r="AF48" s="326" t="str">
        <f t="shared" si="69"/>
        <v/>
      </c>
      <c r="AG48" s="324" t="str">
        <f>IFERROR(IF(AND(V47="Impacto",V48="Impacto"),(AG47-(+AG47*Y48)),IF(V48="Impacto",(#REF!-(+#REF!*Y48)),IF(V48="Probabilidad",AG47,""))),"")</f>
        <v/>
      </c>
      <c r="AH48" s="328" t="str">
        <f t="shared" si="74"/>
        <v/>
      </c>
      <c r="AI48" s="323"/>
      <c r="AJ48" s="249"/>
      <c r="AK48" s="249"/>
      <c r="AL48" s="249"/>
      <c r="AM48" s="249"/>
      <c r="AN48" s="278"/>
      <c r="AO48" s="276"/>
      <c r="AP48" s="276"/>
      <c r="AQ48" s="278"/>
      <c r="AR48" s="211"/>
      <c r="AS48" s="211"/>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3"/>
      <c r="BR48" s="293"/>
      <c r="BS48" s="293"/>
      <c r="BT48" s="293"/>
      <c r="BU48" s="293"/>
      <c r="BV48" s="293"/>
      <c r="BW48" s="293"/>
      <c r="BX48" s="293"/>
      <c r="BY48" s="293"/>
      <c r="BZ48" s="293"/>
    </row>
    <row r="49" spans="1:78" s="294" customFormat="1" ht="92.25" customHeight="1" x14ac:dyDescent="0.2">
      <c r="A49" s="458" t="s">
        <v>1013</v>
      </c>
      <c r="B49" s="451" t="s">
        <v>830</v>
      </c>
      <c r="C49" s="452" t="s">
        <v>595</v>
      </c>
      <c r="D49" s="453" t="s">
        <v>619</v>
      </c>
      <c r="E49" s="454" t="s">
        <v>107</v>
      </c>
      <c r="F49" s="446" t="s">
        <v>975</v>
      </c>
      <c r="G49" s="446" t="s">
        <v>675</v>
      </c>
      <c r="H49" s="446" t="s">
        <v>908</v>
      </c>
      <c r="I49" s="446" t="s">
        <v>654</v>
      </c>
      <c r="J49" s="446" t="s">
        <v>776</v>
      </c>
      <c r="K49" s="457">
        <v>400</v>
      </c>
      <c r="L49" s="447" t="str">
        <f t="shared" ref="L49" si="75">IF(K49&lt;=0,"",IF(K49&lt;=2,"Muy Baja",IF(K49&lt;=24,"Baja",IF(K49&lt;=500,"Media",IF(K49&lt;=5000,"Alta","Muy Alta")))))</f>
        <v>Media</v>
      </c>
      <c r="M49" s="445">
        <f>IF(L49="","",IF(L49="Muy Baja",0.2,IF(L49="Baja",0.4,IF(L49="Media",0.6,IF(L49="Alta",0.8,IF(L49="Muy Alta",1,))))))</f>
        <v>0.6</v>
      </c>
      <c r="N49" s="455" t="s">
        <v>121</v>
      </c>
      <c r="O49" s="285" t="str">
        <f ca="1">IF(NOT(ISERROR(MATCH(N49,'Tabla Impacto'!$B$221:$B$223,0))),'Tabla Impacto'!$F$223&amp;"Por favor no seleccionar los criterios de impacto(Afectación Económica o presupuestal y Pérdida Reputacional)",N49)</f>
        <v xml:space="preserve">     El riesgo afecta la imagen de la entidad con algunos usuarios de relevancia frente al logro de los objetivos</v>
      </c>
      <c r="P49" s="447" t="str">
        <f ca="1">IF(OR(O49='Tabla Impacto'!$C$11,O49='Tabla Impacto'!$D$11),"Leve",IF(OR(O49='Tabla Impacto'!$C$12,O49='Tabla Impacto'!$D$12),"Menor",IF(OR(O49='Tabla Impacto'!$C$13,O49='Tabla Impacto'!$D$13),"Moderado",IF(OR(O49='Tabla Impacto'!$C$14,O49='Tabla Impacto'!$D$14),"Mayor",IF(OR(O49='Tabla Impacto'!$C$15,O49='Tabla Impacto'!$D$15),"Catastrófico","")))))</f>
        <v>Moderado</v>
      </c>
      <c r="Q49" s="445">
        <f ca="1">IF(P49="","",IF(P49="Leve",0.2,IF(P49="Menor",0.4,IF(P49="Moderado",0.6,IF(P49="Mayor",0.8,IF(P49="Catastrófico",1,))))))</f>
        <v>0.6</v>
      </c>
      <c r="R49" s="459" t="str">
        <f ca="1">IF(OR(AND(L49="Muy Baja",P49="Leve"),AND(L49="Muy Baja",P49="Menor"),AND(L49="Baja",P49="Leve")),"Bajo",IF(OR(AND(L49="Muy baja",P49="Moderado"),AND(L49="Baja",P49="Menor"),AND(L49="Baja",P49="Moderado"),AND(L49="Media",P49="Leve"),AND(L49="Media",P49="Menor"),AND(L49="Media",P49="Moderado"),AND(L49="Alta",P49="Leve"),AND(L49="Alta",P49="Menor")),"Moderado",IF(OR(AND(L49="Muy Baja",P49="Mayor"),AND(L49="Baja",P49="Mayor"),AND(L49="Media",P49="Mayor"),AND(L49="Alta",P49="Moderado"),AND(L49="Alta",P49="Mayor"),AND(L49="Muy Alta",P49="Leve"),AND(L49="Muy Alta",P49="Menor"),AND(L49="Muy Alta",P49="Moderado"),AND(L49="Muy Alta",P49="Mayor")),"Alto",IF(OR(AND(L49="Muy Baja",P49="Catastrófico"),AND(L49="Baja",P49="Catastrófico"),AND(L49="Media",P49="Catastrófico"),AND(L49="Alta",P49="Catastrófico"),AND(L49="Muy Alta",P49="Catastrófico")),"Extremo",""))))</f>
        <v>Moderado</v>
      </c>
      <c r="S49" s="248">
        <v>1</v>
      </c>
      <c r="T49" s="321" t="s">
        <v>911</v>
      </c>
      <c r="U49" s="245" t="s">
        <v>293</v>
      </c>
      <c r="V49" s="322" t="str">
        <f t="shared" ref="V49:V54" si="76">IF(OR(W49="Preventivo",W49="Detectivo"),"Probabilidad",IF(W49="Correctivo","Impacto",""))</f>
        <v>Probabilidad</v>
      </c>
      <c r="W49" s="323" t="s">
        <v>13</v>
      </c>
      <c r="X49" s="323" t="s">
        <v>8</v>
      </c>
      <c r="Y49" s="324" t="str">
        <f>IF(AND(W49="Preventivo",X49="Automático"),"50%",IF(AND(W49="Preventivo",X49="Manual"),"40%",IF(AND(W49="Detectivo",X49="Automático"),"40%",IF(AND(W49="Detectivo",X49="Manual"),"30%",IF(AND(W49="Correctivo",X49="Automático"),"35%",IF(AND(W49="Correctivo",X49="Manual"),"25%",""))))))</f>
        <v>40%</v>
      </c>
      <c r="Z49" s="323" t="s">
        <v>18</v>
      </c>
      <c r="AA49" s="323" t="s">
        <v>21</v>
      </c>
      <c r="AB49" s="323" t="s">
        <v>103</v>
      </c>
      <c r="AC49" s="325">
        <f>IFERROR(IF(V49="Probabilidad",(M49-(+M49*Y49)),IF(V49="Impacto",M49,"")),"")</f>
        <v>0.36</v>
      </c>
      <c r="AD49" s="326" t="str">
        <f>IFERROR(IF(AC49="","",IF(AC49&lt;=0.2,"Muy Baja",IF(AC49&lt;=0.4,"Baja",IF(AC49&lt;=0.6,"Media",IF(AC49&lt;=0.8,"Alta","Muy Alta"))))),"")</f>
        <v>Baja</v>
      </c>
      <c r="AE49" s="324">
        <f>+AC49</f>
        <v>0.36</v>
      </c>
      <c r="AF49" s="326" t="str">
        <f ca="1">IFERROR(IF(AG49="","",IF(AG49&lt;=0.2,"Leve",IF(AG49&lt;=0.4,"Menor",IF(AG49&lt;=0.6,"Moderado",IF(AG49&lt;=0.8,"Mayor","Catastrófico"))))),"")</f>
        <v>Moderado</v>
      </c>
      <c r="AG49" s="324">
        <f ca="1">IFERROR(IF(V49="Impacto",(Q49-(+Q49*Y49)),IF(V49="Probabilidad",Q49,"")),"")</f>
        <v>0.6</v>
      </c>
      <c r="AH49" s="328" t="str">
        <f ca="1">IFERROR(IF(OR(AND(AD49="Muy Baja",AF49="Leve"),AND(AD49="Muy Baja",AF49="Menor"),AND(AD49="Baja",AF49="Leve")),"Bajo",IF(OR(AND(AD49="Muy baja",AF49="Moderado"),AND(AD49="Baja",AF49="Menor"),AND(AD49="Baja",AF49="Moderado"),AND(AD49="Media",AF49="Leve"),AND(AD49="Media",AF49="Menor"),AND(AD49="Media",AF49="Moderado"),AND(AD49="Alta",AF49="Leve"),AND(AD49="Alta",AF49="Menor")),"Moderado",IF(OR(AND(AD49="Muy Baja",AF49="Mayor"),AND(AD49="Baja",AF49="Mayor"),AND(AD49="Media",AF49="Mayor"),AND(AD49="Alta",AF49="Moderado"),AND(AD49="Alta",AF49="Mayor"),AND(AD49="Muy Alta",AF49="Leve"),AND(AD49="Muy Alta",AF49="Menor"),AND(AD49="Muy Alta",AF49="Moderado"),AND(AD49="Muy Alta",AF49="Mayor")),"Alto",IF(OR(AND(AD49="Muy Baja",AF49="Catastrófico"),AND(AD49="Baja",AF49="Catastrófico"),AND(AD49="Media",AF49="Catastrófico"),AND(AD49="Alta",AF49="Catastrófico"),AND(AD49="Muy Alta",AF49="Catastrófico")),"Extremo","")))),"")</f>
        <v>Moderado</v>
      </c>
      <c r="AI49" s="323" t="s">
        <v>26</v>
      </c>
      <c r="AJ49" s="249">
        <v>3</v>
      </c>
      <c r="AK49" s="249">
        <v>1</v>
      </c>
      <c r="AL49" s="249">
        <v>1</v>
      </c>
      <c r="AM49" s="249">
        <v>1</v>
      </c>
      <c r="AN49" s="282"/>
      <c r="AO49" s="259"/>
      <c r="AP49" s="259"/>
      <c r="AQ49" s="239"/>
      <c r="AR49" s="264"/>
      <c r="AS49" s="265"/>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3"/>
      <c r="BR49" s="293"/>
      <c r="BS49" s="293"/>
      <c r="BT49" s="293"/>
      <c r="BU49" s="293"/>
      <c r="BV49" s="293"/>
      <c r="BW49" s="293"/>
      <c r="BX49" s="293"/>
      <c r="BY49" s="293"/>
      <c r="BZ49" s="293"/>
    </row>
    <row r="50" spans="1:78" s="295" customFormat="1" ht="9.75" customHeight="1" x14ac:dyDescent="0.2">
      <c r="A50" s="458"/>
      <c r="B50" s="451"/>
      <c r="C50" s="452"/>
      <c r="D50" s="453"/>
      <c r="E50" s="454"/>
      <c r="F50" s="446"/>
      <c r="G50" s="446"/>
      <c r="H50" s="446"/>
      <c r="I50" s="446"/>
      <c r="J50" s="446"/>
      <c r="K50" s="457"/>
      <c r="L50" s="447"/>
      <c r="M50" s="445"/>
      <c r="N50" s="455"/>
      <c r="O50" s="285">
        <f ca="1">IF(NOT(ISERROR(MATCH(N50,_xlfn.ANCHORARRAY(#REF!),0))),#REF!&amp;"Por favor no seleccionar los criterios de impacto",N50)</f>
        <v>0</v>
      </c>
      <c r="P50" s="447"/>
      <c r="Q50" s="445"/>
      <c r="R50" s="459"/>
      <c r="S50" s="248">
        <v>2</v>
      </c>
      <c r="T50" s="321"/>
      <c r="U50" s="245"/>
      <c r="V50" s="322" t="str">
        <f t="shared" si="76"/>
        <v/>
      </c>
      <c r="W50" s="323"/>
      <c r="X50" s="323"/>
      <c r="Y50" s="324" t="str">
        <f>IF(AND(W50="Preventivo",X50="Automático"),"50%",IF(AND(W50="Preventivo",X50="Manual"),"40%",IF(AND(W50="Detectivo",X50="Automático"),"40%",IF(AND(W50="Detectivo",X50="Manual"),"30%",IF(AND(W50="Correctivo",X50="Automático"),"35%",IF(AND(W50="Correctivo",X50="Manual"),"25%",""))))))</f>
        <v/>
      </c>
      <c r="Z50" s="323"/>
      <c r="AA50" s="323"/>
      <c r="AB50" s="323"/>
      <c r="AC50" s="325" t="str">
        <f t="shared" ref="AC50" si="77">IFERROR(IF(AND(V49="Probabilidad",V50="Probabilidad"),(AE49-(+AE49*Y50)),IF(V50="Probabilidad",(M49-(+M49*Y50)),IF(V50="Impacto",AE49,""))),"")</f>
        <v/>
      </c>
      <c r="AD50" s="326" t="str">
        <f t="shared" ref="AD50:AD54" si="78">IFERROR(IF(AC50="","",IF(AC50&lt;=0.2,"Muy Baja",IF(AC50&lt;=0.4,"Baja",IF(AC50&lt;=0.6,"Media",IF(AC50&lt;=0.8,"Alta","Muy Alta"))))),"")</f>
        <v/>
      </c>
      <c r="AE50" s="324" t="str">
        <f>+AC50</f>
        <v/>
      </c>
      <c r="AF50" s="326" t="str">
        <f t="shared" ref="AF50:AF54" si="79">IFERROR(IF(AG50="","",IF(AG50&lt;=0.2,"Leve",IF(AG50&lt;=0.4,"Menor",IF(AG50&lt;=0.6,"Moderado",IF(AG50&lt;=0.8,"Mayor","Catastrófico"))))),"")</f>
        <v/>
      </c>
      <c r="AG50" s="324" t="str">
        <f>IFERROR(IF(AND(V49="Impacto",V50="Impacto"),(AG49-(+AG49*Y50)),IF(V50="Impacto",(#REF!-(+#REF!*Y50)),IF(V50="Probabilidad",AG49,""))),"")</f>
        <v/>
      </c>
      <c r="AH50" s="328" t="str">
        <f t="shared" ref="AH50:AH51" si="80">IFERROR(IF(OR(AND(AD50="Muy Baja",AF50="Leve"),AND(AD50="Muy Baja",AF50="Menor"),AND(AD50="Baja",AF50="Leve")),"Bajo",IF(OR(AND(AD50="Muy baja",AF50="Moderado"),AND(AD50="Baja",AF50="Menor"),AND(AD50="Baja",AF50="Moderado"),AND(AD50="Media",AF50="Leve"),AND(AD50="Media",AF50="Menor"),AND(AD50="Media",AF50="Moderado"),AND(AD50="Alta",AF50="Leve"),AND(AD50="Alta",AF50="Menor")),"Moderado",IF(OR(AND(AD50="Muy Baja",AF50="Mayor"),AND(AD50="Baja",AF50="Mayor"),AND(AD50="Media",AF50="Mayor"),AND(AD50="Alta",AF50="Moderado"),AND(AD50="Alta",AF50="Mayor"),AND(AD50="Muy Alta",AF50="Leve"),AND(AD50="Muy Alta",AF50="Menor"),AND(AD50="Muy Alta",AF50="Moderado"),AND(AD50="Muy Alta",AF50="Mayor")),"Alto",IF(OR(AND(AD50="Muy Baja",AF50="Catastrófico"),AND(AD50="Baja",AF50="Catastrófico"),AND(AD50="Media",AF50="Catastrófico"),AND(AD50="Alta",AF50="Catastrófico"),AND(AD50="Muy Alta",AF50="Catastrófico")),"Extremo","")))),"")</f>
        <v/>
      </c>
      <c r="AI50" s="323"/>
      <c r="AJ50" s="249"/>
      <c r="AK50" s="249"/>
      <c r="AL50" s="249"/>
      <c r="AM50" s="249"/>
      <c r="AN50" s="278"/>
      <c r="AO50" s="277"/>
      <c r="AP50" s="277"/>
      <c r="AQ50" s="276"/>
      <c r="AR50" s="263"/>
      <c r="AS50" s="277"/>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row>
    <row r="51" spans="1:78" s="295" customFormat="1" ht="9.75" customHeight="1" x14ac:dyDescent="0.2">
      <c r="A51" s="458"/>
      <c r="B51" s="451"/>
      <c r="C51" s="452"/>
      <c r="D51" s="453"/>
      <c r="E51" s="454"/>
      <c r="F51" s="446"/>
      <c r="G51" s="446"/>
      <c r="H51" s="446"/>
      <c r="I51" s="446"/>
      <c r="J51" s="446"/>
      <c r="K51" s="457"/>
      <c r="L51" s="447"/>
      <c r="M51" s="445"/>
      <c r="N51" s="455"/>
      <c r="O51" s="285">
        <f ca="1">IF(NOT(ISERROR(MATCH(N51,_xlfn.ANCHORARRAY(#REF!),0))),#REF!&amp;"Por favor no seleccionar los criterios de impacto",N51)</f>
        <v>0</v>
      </c>
      <c r="P51" s="447"/>
      <c r="Q51" s="445"/>
      <c r="R51" s="459"/>
      <c r="S51" s="248">
        <v>3</v>
      </c>
      <c r="T51" s="321"/>
      <c r="U51" s="245"/>
      <c r="V51" s="322" t="str">
        <f t="shared" si="76"/>
        <v/>
      </c>
      <c r="W51" s="323"/>
      <c r="X51" s="323"/>
      <c r="Y51" s="324" t="str">
        <f>IF(AND(W51="Preventivo",X51="Automático"),"50%",IF(AND(W51="Preventivo",X51="Manual"),"40%",IF(AND(W51="Detectivo",X51="Automático"),"40%",IF(AND(W51="Detectivo",X51="Manual"),"30%",IF(AND(W51="Correctivo",X51="Automático"),"35%",IF(AND(W51="Correctivo",X51="Manual"),"25%",""))))))</f>
        <v/>
      </c>
      <c r="Z51" s="323"/>
      <c r="AA51" s="323"/>
      <c r="AB51" s="323"/>
      <c r="AC51" s="325" t="str">
        <f t="shared" ref="AC51:AC54" si="81">IFERROR(IF(AND(V50="Probabilidad",V51="Probabilidad"),(AE50-(+AE50*Y51)),IF(AND(V50="Impacto",V51="Probabilidad"),(AE49-(+AE49*Y51)),IF(V51="Impacto",AE50,""))),"")</f>
        <v/>
      </c>
      <c r="AD51" s="326" t="str">
        <f t="shared" si="78"/>
        <v/>
      </c>
      <c r="AE51" s="324" t="str">
        <f t="shared" ref="AE51:AE54" si="82">+AC51</f>
        <v/>
      </c>
      <c r="AF51" s="326" t="str">
        <f t="shared" si="79"/>
        <v/>
      </c>
      <c r="AG51" s="324" t="str">
        <f>IFERROR(IF(AND(V50="Impacto",V51="Impacto"),(AG50-(+AG50*Y51)),IF(V51="Impacto",(#REF!-(+#REF!*Y51)),IF(V51="Probabilidad",AG50,""))),"")</f>
        <v/>
      </c>
      <c r="AH51" s="328" t="str">
        <f t="shared" si="80"/>
        <v/>
      </c>
      <c r="AI51" s="323"/>
      <c r="AJ51" s="249"/>
      <c r="AK51" s="249"/>
      <c r="AL51" s="249"/>
      <c r="AM51" s="249"/>
      <c r="AN51" s="278"/>
      <c r="AO51" s="277"/>
      <c r="AP51" s="277"/>
      <c r="AQ51" s="276"/>
      <c r="AR51" s="263"/>
      <c r="AS51" s="277"/>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row>
    <row r="52" spans="1:78" s="295" customFormat="1" ht="9.75" customHeight="1" x14ac:dyDescent="0.2">
      <c r="A52" s="458"/>
      <c r="B52" s="451"/>
      <c r="C52" s="452"/>
      <c r="D52" s="453"/>
      <c r="E52" s="454"/>
      <c r="F52" s="446"/>
      <c r="G52" s="446"/>
      <c r="H52" s="446"/>
      <c r="I52" s="446"/>
      <c r="J52" s="446"/>
      <c r="K52" s="457"/>
      <c r="L52" s="447"/>
      <c r="M52" s="445"/>
      <c r="N52" s="455"/>
      <c r="O52" s="285">
        <f ca="1">IF(NOT(ISERROR(MATCH(N52,_xlfn.ANCHORARRAY(#REF!),0))),#REF!&amp;"Por favor no seleccionar los criterios de impacto",N52)</f>
        <v>0</v>
      </c>
      <c r="P52" s="447"/>
      <c r="Q52" s="445"/>
      <c r="R52" s="459"/>
      <c r="S52" s="248">
        <v>4</v>
      </c>
      <c r="T52" s="321"/>
      <c r="U52" s="245"/>
      <c r="V52" s="322" t="str">
        <f t="shared" si="76"/>
        <v/>
      </c>
      <c r="W52" s="323"/>
      <c r="X52" s="323"/>
      <c r="Y52" s="324" t="str">
        <f t="shared" ref="Y52:Y54" si="83">IF(AND(W52="Preventivo",X52="Automático"),"50%",IF(AND(W52="Preventivo",X52="Manual"),"40%",IF(AND(W52="Detectivo",X52="Automático"),"40%",IF(AND(W52="Detectivo",X52="Manual"),"30%",IF(AND(W52="Correctivo",X52="Automático"),"35%",IF(AND(W52="Correctivo",X52="Manual"),"25%",""))))))</f>
        <v/>
      </c>
      <c r="Z52" s="323"/>
      <c r="AA52" s="323"/>
      <c r="AB52" s="323"/>
      <c r="AC52" s="325" t="str">
        <f t="shared" si="81"/>
        <v/>
      </c>
      <c r="AD52" s="326" t="str">
        <f t="shared" si="78"/>
        <v/>
      </c>
      <c r="AE52" s="324" t="str">
        <f t="shared" si="82"/>
        <v/>
      </c>
      <c r="AF52" s="326" t="str">
        <f t="shared" si="79"/>
        <v/>
      </c>
      <c r="AG52" s="324" t="str">
        <f>IFERROR(IF(AND(V51="Impacto",V52="Impacto"),(AG51-(+AG51*Y52)),IF(V52="Impacto",(#REF!-(+#REF!*Y52)),IF(V52="Probabilidad",AG51,""))),"")</f>
        <v/>
      </c>
      <c r="AH52" s="328" t="str">
        <f>IFERROR(IF(OR(AND(AD52="Muy Baja",AF52="Leve"),AND(AD52="Muy Baja",AF52="Menor"),AND(AD52="Baja",AF52="Leve")),"Bajo",IF(OR(AND(AD52="Muy baja",AF52="Moderado"),AND(AD52="Baja",AF52="Menor"),AND(AD52="Baja",AF52="Moderado"),AND(AD52="Media",AF52="Leve"),AND(AD52="Media",AF52="Menor"),AND(AD52="Media",AF52="Moderado"),AND(AD52="Alta",AF52="Leve"),AND(AD52="Alta",AF52="Menor")),"Moderado",IF(OR(AND(AD52="Muy Baja",AF52="Mayor"),AND(AD52="Baja",AF52="Mayor"),AND(AD52="Media",AF52="Mayor"),AND(AD52="Alta",AF52="Moderado"),AND(AD52="Alta",AF52="Mayor"),AND(AD52="Muy Alta",AF52="Leve"),AND(AD52="Muy Alta",AF52="Menor"),AND(AD52="Muy Alta",AF52="Moderado"),AND(AD52="Muy Alta",AF52="Mayor")),"Alto",IF(OR(AND(AD52="Muy Baja",AF52="Catastrófico"),AND(AD52="Baja",AF52="Catastrófico"),AND(AD52="Media",AF52="Catastrófico"),AND(AD52="Alta",AF52="Catastrófico"),AND(AD52="Muy Alta",AF52="Catastrófico")),"Extremo","")))),"")</f>
        <v/>
      </c>
      <c r="AI52" s="323"/>
      <c r="AJ52" s="249"/>
      <c r="AK52" s="249"/>
      <c r="AL52" s="249"/>
      <c r="AM52" s="249"/>
      <c r="AN52" s="278"/>
      <c r="AO52" s="209"/>
      <c r="AP52" s="209"/>
      <c r="AQ52" s="244"/>
      <c r="AR52" s="263"/>
      <c r="AS52" s="209"/>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row>
    <row r="53" spans="1:78" s="295" customFormat="1" ht="9.75" customHeight="1" x14ac:dyDescent="0.2">
      <c r="A53" s="458"/>
      <c r="B53" s="451"/>
      <c r="C53" s="452"/>
      <c r="D53" s="453"/>
      <c r="E53" s="454"/>
      <c r="F53" s="446"/>
      <c r="G53" s="446"/>
      <c r="H53" s="446"/>
      <c r="I53" s="446"/>
      <c r="J53" s="446"/>
      <c r="K53" s="457"/>
      <c r="L53" s="447"/>
      <c r="M53" s="445"/>
      <c r="N53" s="455"/>
      <c r="O53" s="285">
        <f ca="1">IF(NOT(ISERROR(MATCH(N53,_xlfn.ANCHORARRAY(#REF!),0))),#REF!&amp;"Por favor no seleccionar los criterios de impacto",N53)</f>
        <v>0</v>
      </c>
      <c r="P53" s="447"/>
      <c r="Q53" s="445"/>
      <c r="R53" s="459"/>
      <c r="S53" s="248">
        <v>5</v>
      </c>
      <c r="T53" s="330"/>
      <c r="U53" s="245"/>
      <c r="V53" s="322" t="str">
        <f t="shared" si="76"/>
        <v/>
      </c>
      <c r="W53" s="323"/>
      <c r="X53" s="323"/>
      <c r="Y53" s="324" t="str">
        <f t="shared" si="83"/>
        <v/>
      </c>
      <c r="Z53" s="323"/>
      <c r="AA53" s="323"/>
      <c r="AB53" s="323"/>
      <c r="AC53" s="325" t="str">
        <f t="shared" si="81"/>
        <v/>
      </c>
      <c r="AD53" s="326" t="str">
        <f t="shared" si="78"/>
        <v/>
      </c>
      <c r="AE53" s="324" t="str">
        <f t="shared" si="82"/>
        <v/>
      </c>
      <c r="AF53" s="326" t="str">
        <f t="shared" si="79"/>
        <v/>
      </c>
      <c r="AG53" s="324" t="str">
        <f>IFERROR(IF(AND(V52="Impacto",V53="Impacto"),(AG52-(+AG52*Y53)),IF(V53="Impacto",(#REF!-(+#REF!*Y53)),IF(V53="Probabilidad",AG52,""))),"")</f>
        <v/>
      </c>
      <c r="AH53" s="328" t="str">
        <f t="shared" ref="AH53:AH54" si="84">IFERROR(IF(OR(AND(AD53="Muy Baja",AF53="Leve"),AND(AD53="Muy Baja",AF53="Menor"),AND(AD53="Baja",AF53="Leve")),"Bajo",IF(OR(AND(AD53="Muy baja",AF53="Moderado"),AND(AD53="Baja",AF53="Menor"),AND(AD53="Baja",AF53="Moderado"),AND(AD53="Media",AF53="Leve"),AND(AD53="Media",AF53="Menor"),AND(AD53="Media",AF53="Moderado"),AND(AD53="Alta",AF53="Leve"),AND(AD53="Alta",AF53="Menor")),"Moderado",IF(OR(AND(AD53="Muy Baja",AF53="Mayor"),AND(AD53="Baja",AF53="Mayor"),AND(AD53="Media",AF53="Mayor"),AND(AD53="Alta",AF53="Moderado"),AND(AD53="Alta",AF53="Mayor"),AND(AD53="Muy Alta",AF53="Leve"),AND(AD53="Muy Alta",AF53="Menor"),AND(AD53="Muy Alta",AF53="Moderado"),AND(AD53="Muy Alta",AF53="Mayor")),"Alto",IF(OR(AND(AD53="Muy Baja",AF53="Catastrófico"),AND(AD53="Baja",AF53="Catastrófico"),AND(AD53="Media",AF53="Catastrófico"),AND(AD53="Alta",AF53="Catastrófico"),AND(AD53="Muy Alta",AF53="Catastrófico")),"Extremo","")))),"")</f>
        <v/>
      </c>
      <c r="AI53" s="323"/>
      <c r="AJ53" s="249"/>
      <c r="AK53" s="249"/>
      <c r="AL53" s="249"/>
      <c r="AM53" s="249"/>
      <c r="AN53" s="278"/>
      <c r="AO53" s="276"/>
      <c r="AP53" s="276"/>
      <c r="AQ53" s="278"/>
      <c r="AR53" s="211"/>
      <c r="AS53" s="211"/>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3"/>
      <c r="BR53" s="293"/>
      <c r="BS53" s="293"/>
      <c r="BT53" s="293"/>
      <c r="BU53" s="293"/>
      <c r="BV53" s="293"/>
      <c r="BW53" s="293"/>
      <c r="BX53" s="293"/>
      <c r="BY53" s="293"/>
      <c r="BZ53" s="293"/>
    </row>
    <row r="54" spans="1:78" s="295" customFormat="1" ht="9.75" customHeight="1" x14ac:dyDescent="0.2">
      <c r="A54" s="458"/>
      <c r="B54" s="451"/>
      <c r="C54" s="452"/>
      <c r="D54" s="453"/>
      <c r="E54" s="454"/>
      <c r="F54" s="446"/>
      <c r="G54" s="446"/>
      <c r="H54" s="446"/>
      <c r="I54" s="446"/>
      <c r="J54" s="446"/>
      <c r="K54" s="457"/>
      <c r="L54" s="447"/>
      <c r="M54" s="445"/>
      <c r="N54" s="455"/>
      <c r="O54" s="285">
        <f ca="1">IF(NOT(ISERROR(MATCH(N54,_xlfn.ANCHORARRAY(#REF!),0))),M25&amp;"Por favor no seleccionar los criterios de impacto",N54)</f>
        <v>0</v>
      </c>
      <c r="P54" s="447"/>
      <c r="Q54" s="445"/>
      <c r="R54" s="459"/>
      <c r="S54" s="248">
        <v>6</v>
      </c>
      <c r="T54" s="330"/>
      <c r="U54" s="245"/>
      <c r="V54" s="322" t="str">
        <f t="shared" si="76"/>
        <v/>
      </c>
      <c r="W54" s="323"/>
      <c r="X54" s="323"/>
      <c r="Y54" s="324" t="str">
        <f t="shared" si="83"/>
        <v/>
      </c>
      <c r="Z54" s="323"/>
      <c r="AA54" s="323"/>
      <c r="AB54" s="323"/>
      <c r="AC54" s="325" t="str">
        <f t="shared" si="81"/>
        <v/>
      </c>
      <c r="AD54" s="326" t="str">
        <f t="shared" si="78"/>
        <v/>
      </c>
      <c r="AE54" s="324" t="str">
        <f t="shared" si="82"/>
        <v/>
      </c>
      <c r="AF54" s="326" t="str">
        <f t="shared" si="79"/>
        <v/>
      </c>
      <c r="AG54" s="324" t="str">
        <f>IFERROR(IF(AND(V53="Impacto",V54="Impacto"),(AG53-(+AG53*Y54)),IF(V54="Impacto",(#REF!-(+#REF!*Y54)),IF(V54="Probabilidad",AG53,""))),"")</f>
        <v/>
      </c>
      <c r="AH54" s="328" t="str">
        <f t="shared" si="84"/>
        <v/>
      </c>
      <c r="AI54" s="323"/>
      <c r="AJ54" s="249"/>
      <c r="AK54" s="249"/>
      <c r="AL54" s="249"/>
      <c r="AM54" s="249"/>
      <c r="AN54" s="278"/>
      <c r="AO54" s="276"/>
      <c r="AP54" s="276"/>
      <c r="AQ54" s="278"/>
      <c r="AR54" s="211"/>
      <c r="AS54" s="211"/>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row>
    <row r="55" spans="1:78" s="294" customFormat="1" ht="138.75" customHeight="1" x14ac:dyDescent="0.2">
      <c r="A55" s="458" t="s">
        <v>976</v>
      </c>
      <c r="B55" s="451" t="s">
        <v>830</v>
      </c>
      <c r="C55" s="452" t="s">
        <v>596</v>
      </c>
      <c r="D55" s="453" t="s">
        <v>618</v>
      </c>
      <c r="E55" s="454" t="s">
        <v>109</v>
      </c>
      <c r="F55" s="454" t="s">
        <v>977</v>
      </c>
      <c r="G55" s="446" t="s">
        <v>675</v>
      </c>
      <c r="H55" s="446" t="s">
        <v>978</v>
      </c>
      <c r="I55" s="446" t="s">
        <v>657</v>
      </c>
      <c r="J55" s="446" t="s">
        <v>979</v>
      </c>
      <c r="K55" s="457">
        <v>365</v>
      </c>
      <c r="L55" s="447" t="str">
        <f t="shared" ref="L55" si="85">IF(K55&lt;=0,"",IF(K55&lt;=2,"Muy Baja",IF(K55&lt;=24,"Baja",IF(K55&lt;=500,"Media",IF(K55&lt;=5000,"Alta","Muy Alta")))))</f>
        <v>Media</v>
      </c>
      <c r="M55" s="445">
        <f>IF(L55="","",IF(L55="Muy Baja",0.2,IF(L55="Baja",0.4,IF(L55="Media",0.6,IF(L55="Alta",0.8,IF(L55="Muy Alta",1,))))))</f>
        <v>0.6</v>
      </c>
      <c r="N55" s="455" t="s">
        <v>117</v>
      </c>
      <c r="O55" s="285" t="str">
        <f ca="1">IF(NOT(ISERROR(MATCH(N55,'Tabla Impacto'!$B$221:$B$223,0))),'Tabla Impacto'!$F$223&amp;"Por favor no seleccionar los criterios de impacto(Afectación Económica o presupuestal y Pérdida Reputacional)",N55)</f>
        <v xml:space="preserve">     Entre 100 y 500 SMLMV </v>
      </c>
      <c r="P55" s="447" t="str">
        <f ca="1">IF(OR(O55='Tabla Impacto'!$C$11,O55='Tabla Impacto'!$D$11),"Leve",IF(OR(O55='Tabla Impacto'!$C$12,O55='Tabla Impacto'!$D$12),"Menor",IF(OR(O55='Tabla Impacto'!$C$13,O55='Tabla Impacto'!$D$13),"Moderado",IF(OR(O55='Tabla Impacto'!$C$14,O55='Tabla Impacto'!$D$14),"Mayor",IF(OR(O55='Tabla Impacto'!$C$15,O55='Tabla Impacto'!$D$15),"Catastrófico","")))))</f>
        <v>Mayor</v>
      </c>
      <c r="Q55" s="445">
        <f ca="1">IF(P55="","",IF(P55="Leve",0.2,IF(P55="Menor",0.4,IF(P55="Moderado",0.6,IF(P55="Mayor",0.8,IF(P55="Catastrófico",1,))))))</f>
        <v>0.8</v>
      </c>
      <c r="R55" s="459" t="str">
        <f ca="1">IF(OR(AND(L55="Muy Baja",P55="Leve"),AND(L55="Muy Baja",P55="Menor"),AND(L55="Baja",P55="Leve")),"Bajo",IF(OR(AND(L55="Muy baja",P55="Moderado"),AND(L55="Baja",P55="Menor"),AND(L55="Baja",P55="Moderado"),AND(L55="Media",P55="Leve"),AND(L55="Media",P55="Menor"),AND(L55="Media",P55="Moderado"),AND(L55="Alta",P55="Leve"),AND(L55="Alta",P55="Menor")),"Moderado",IF(OR(AND(L55="Muy Baja",P55="Mayor"),AND(L55="Baja",P55="Mayor"),AND(L55="Media",P55="Mayor"),AND(L55="Alta",P55="Moderado"),AND(L55="Alta",P55="Mayor"),AND(L55="Muy Alta",P55="Leve"),AND(L55="Muy Alta",P55="Menor"),AND(L55="Muy Alta",P55="Moderado"),AND(L55="Muy Alta",P55="Mayor")),"Alto",IF(OR(AND(L55="Muy Baja",P55="Catastrófico"),AND(L55="Baja",P55="Catastrófico"),AND(L55="Media",P55="Catastrófico"),AND(L55="Alta",P55="Catastrófico"),AND(L55="Muy Alta",P55="Catastrófico")),"Extremo",""))))</f>
        <v>Alto</v>
      </c>
      <c r="S55" s="248">
        <v>1</v>
      </c>
      <c r="T55" s="321" t="s">
        <v>980</v>
      </c>
      <c r="U55" s="245" t="s">
        <v>293</v>
      </c>
      <c r="V55" s="322" t="str">
        <f t="shared" ref="V55:V60" si="86">IF(OR(W55="Preventivo",W55="Detectivo"),"Probabilidad",IF(W55="Correctivo","Impacto",""))</f>
        <v>Probabilidad</v>
      </c>
      <c r="W55" s="323" t="s">
        <v>14</v>
      </c>
      <c r="X55" s="323" t="s">
        <v>8</v>
      </c>
      <c r="Y55" s="324" t="str">
        <f>IF(AND(W55="Preventivo",X55="Automático"),"50%",IF(AND(W55="Preventivo",X55="Manual"),"40%",IF(AND(W55="Detectivo",X55="Automático"),"40%",IF(AND(W55="Detectivo",X55="Manual"),"30%",IF(AND(W55="Correctivo",X55="Automático"),"35%",IF(AND(W55="Correctivo",X55="Manual"),"25%",""))))))</f>
        <v>30%</v>
      </c>
      <c r="Z55" s="323" t="s">
        <v>19</v>
      </c>
      <c r="AA55" s="323" t="s">
        <v>21</v>
      </c>
      <c r="AB55" s="323" t="s">
        <v>103</v>
      </c>
      <c r="AC55" s="325">
        <f>IFERROR(IF(V55="Probabilidad",(M55-(+M55*Y55)),IF(V55="Impacto",M55,"")),"")</f>
        <v>0.42</v>
      </c>
      <c r="AD55" s="326" t="str">
        <f>IFERROR(IF(AC55="","",IF(AC55&lt;=0.2,"Muy Baja",IF(AC55&lt;=0.4,"Baja",IF(AC55&lt;=0.6,"Media",IF(AC55&lt;=0.8,"Alta","Muy Alta"))))),"")</f>
        <v>Media</v>
      </c>
      <c r="AE55" s="324">
        <f>+AC55</f>
        <v>0.42</v>
      </c>
      <c r="AF55" s="326" t="str">
        <f ca="1">IFERROR(IF(AG55="","",IF(AG55&lt;=0.2,"Leve",IF(AG55&lt;=0.4,"Menor",IF(AG55&lt;=0.6,"Moderado",IF(AG55&lt;=0.8,"Mayor","Catastrófico"))))),"")</f>
        <v>Mayor</v>
      </c>
      <c r="AG55" s="324">
        <f ca="1">IFERROR(IF(V55="Impacto",(Q55-(+Q55*Y55)),IF(V55="Probabilidad",Q55,"")),"")</f>
        <v>0.8</v>
      </c>
      <c r="AH55" s="328" t="str">
        <f ca="1">IFERROR(IF(OR(AND(AD55="Muy Baja",AF55="Leve"),AND(AD55="Muy Baja",AF55="Menor"),AND(AD55="Baja",AF55="Leve")),"Bajo",IF(OR(AND(AD55="Muy baja",AF55="Moderado"),AND(AD55="Baja",AF55="Menor"),AND(AD55="Baja",AF55="Moderado"),AND(AD55="Media",AF55="Leve"),AND(AD55="Media",AF55="Menor"),AND(AD55="Media",AF55="Moderado"),AND(AD55="Alta",AF55="Leve"),AND(AD55="Alta",AF55="Menor")),"Moderado",IF(OR(AND(AD55="Muy Baja",AF55="Mayor"),AND(AD55="Baja",AF55="Mayor"),AND(AD55="Media",AF55="Mayor"),AND(AD55="Alta",AF55="Moderado"),AND(AD55="Alta",AF55="Mayor"),AND(AD55="Muy Alta",AF55="Leve"),AND(AD55="Muy Alta",AF55="Menor"),AND(AD55="Muy Alta",AF55="Moderado"),AND(AD55="Muy Alta",AF55="Mayor")),"Alto",IF(OR(AND(AD55="Muy Baja",AF55="Catastrófico"),AND(AD55="Baja",AF55="Catastrófico"),AND(AD55="Media",AF55="Catastrófico"),AND(AD55="Alta",AF55="Catastrófico"),AND(AD55="Muy Alta",AF55="Catastrófico")),"Extremo","")))),"")</f>
        <v>Alto</v>
      </c>
      <c r="AI55" s="323" t="s">
        <v>26</v>
      </c>
      <c r="AJ55" s="249">
        <v>4</v>
      </c>
      <c r="AK55" s="249">
        <v>1</v>
      </c>
      <c r="AL55" s="249">
        <v>1</v>
      </c>
      <c r="AM55" s="249">
        <v>2</v>
      </c>
      <c r="AN55" s="282"/>
      <c r="AO55" s="259"/>
      <c r="AP55" s="259"/>
      <c r="AQ55" s="239"/>
      <c r="AR55" s="264"/>
      <c r="AS55" s="265"/>
      <c r="AT55" s="293"/>
      <c r="AU55" s="293"/>
      <c r="AV55" s="293"/>
      <c r="AW55" s="293"/>
      <c r="AX55" s="293"/>
      <c r="AY55" s="293"/>
      <c r="AZ55" s="293"/>
      <c r="BA55" s="293"/>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row>
    <row r="56" spans="1:78" s="295" customFormat="1" ht="111.75" customHeight="1" x14ac:dyDescent="0.2">
      <c r="A56" s="458"/>
      <c r="B56" s="451"/>
      <c r="C56" s="452"/>
      <c r="D56" s="453"/>
      <c r="E56" s="454"/>
      <c r="F56" s="454"/>
      <c r="G56" s="446"/>
      <c r="H56" s="446"/>
      <c r="I56" s="446"/>
      <c r="J56" s="446"/>
      <c r="K56" s="457"/>
      <c r="L56" s="447"/>
      <c r="M56" s="445"/>
      <c r="N56" s="455"/>
      <c r="O56" s="285">
        <f ca="1">IF(NOT(ISERROR(MATCH(N56,_xlfn.ANCHORARRAY(H25),0))),M27&amp;"Por favor no seleccionar los criterios de impacto",N56)</f>
        <v>0</v>
      </c>
      <c r="P56" s="447"/>
      <c r="Q56" s="445"/>
      <c r="R56" s="459"/>
      <c r="S56" s="248">
        <v>2</v>
      </c>
      <c r="T56" s="321" t="s">
        <v>981</v>
      </c>
      <c r="U56" s="245" t="s">
        <v>293</v>
      </c>
      <c r="V56" s="322" t="str">
        <f t="shared" si="86"/>
        <v>Probabilidad</v>
      </c>
      <c r="W56" s="323" t="s">
        <v>13</v>
      </c>
      <c r="X56" s="323" t="s">
        <v>8</v>
      </c>
      <c r="Y56" s="324" t="str">
        <f>IF(AND(W56="Preventivo",X56="Automático"),"50%",IF(AND(W56="Preventivo",X56="Manual"),"40%",IF(AND(W56="Detectivo",X56="Automático"),"40%",IF(AND(W56="Detectivo",X56="Manual"),"30%",IF(AND(W56="Correctivo",X56="Automático"),"35%",IF(AND(W56="Correctivo",X56="Manual"),"25%",""))))))</f>
        <v>40%</v>
      </c>
      <c r="Z56" s="323" t="s">
        <v>18</v>
      </c>
      <c r="AA56" s="323" t="s">
        <v>21</v>
      </c>
      <c r="AB56" s="323" t="s">
        <v>103</v>
      </c>
      <c r="AC56" s="325">
        <f t="shared" ref="AC56" si="87">IFERROR(IF(AND(V55="Probabilidad",V56="Probabilidad"),(AE55-(+AE55*Y56)),IF(V56="Probabilidad",(M55-(+M55*Y56)),IF(V56="Impacto",AE55,""))),"")</f>
        <v>0.252</v>
      </c>
      <c r="AD56" s="326" t="str">
        <f t="shared" ref="AD56:AD60" si="88">IFERROR(IF(AC56="","",IF(AC56&lt;=0.2,"Muy Baja",IF(AC56&lt;=0.4,"Baja",IF(AC56&lt;=0.6,"Media",IF(AC56&lt;=0.8,"Alta","Muy Alta"))))),"")</f>
        <v>Baja</v>
      </c>
      <c r="AE56" s="324">
        <f>+AC56</f>
        <v>0.252</v>
      </c>
      <c r="AF56" s="326" t="str">
        <f t="shared" ref="AF56:AF60" ca="1" si="89">IFERROR(IF(AG56="","",IF(AG56&lt;=0.2,"Leve",IF(AG56&lt;=0.4,"Menor",IF(AG56&lt;=0.6,"Moderado",IF(AG56&lt;=0.8,"Mayor","Catastrófico"))))),"")</f>
        <v>Mayor</v>
      </c>
      <c r="AG56" s="324">
        <f ca="1">IFERROR(IF(AND(V55="Impacto",V56="Impacto"),(AG55-(+AG55*Y56)),IF(V56="Impacto",(#REF!-(+#REF!*Y56)),IF(V56="Probabilidad",AG55,""))),"")</f>
        <v>0.8</v>
      </c>
      <c r="AH56" s="328" t="str">
        <f t="shared" ref="AH56:AH57" ca="1" si="90">IFERROR(IF(OR(AND(AD56="Muy Baja",AF56="Leve"),AND(AD56="Muy Baja",AF56="Menor"),AND(AD56="Baja",AF56="Leve")),"Bajo",IF(OR(AND(AD56="Muy baja",AF56="Moderado"),AND(AD56="Baja",AF56="Menor"),AND(AD56="Baja",AF56="Moderado"),AND(AD56="Media",AF56="Leve"),AND(AD56="Media",AF56="Menor"),AND(AD56="Media",AF56="Moderado"),AND(AD56="Alta",AF56="Leve"),AND(AD56="Alta",AF56="Menor")),"Moderado",IF(OR(AND(AD56="Muy Baja",AF56="Mayor"),AND(AD56="Baja",AF56="Mayor"),AND(AD56="Media",AF56="Mayor"),AND(AD56="Alta",AF56="Moderado"),AND(AD56="Alta",AF56="Mayor"),AND(AD56="Muy Alta",AF56="Leve"),AND(AD56="Muy Alta",AF56="Menor"),AND(AD56="Muy Alta",AF56="Moderado"),AND(AD56="Muy Alta",AF56="Mayor")),"Alto",IF(OR(AND(AD56="Muy Baja",AF56="Catastrófico"),AND(AD56="Baja",AF56="Catastrófico"),AND(AD56="Media",AF56="Catastrófico"),AND(AD56="Alta",AF56="Catastrófico"),AND(AD56="Muy Alta",AF56="Catastrófico")),"Extremo","")))),"")</f>
        <v>Alto</v>
      </c>
      <c r="AI56" s="323" t="s">
        <v>26</v>
      </c>
      <c r="AJ56" s="249">
        <v>1</v>
      </c>
      <c r="AK56" s="249">
        <v>0</v>
      </c>
      <c r="AL56" s="249">
        <v>0</v>
      </c>
      <c r="AM56" s="249">
        <v>1</v>
      </c>
      <c r="AN56" s="278"/>
      <c r="AO56" s="277"/>
      <c r="AP56" s="277"/>
      <c r="AQ56" s="276"/>
      <c r="AR56" s="263"/>
      <c r="AS56" s="277"/>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3"/>
      <c r="BR56" s="293"/>
      <c r="BS56" s="293"/>
      <c r="BT56" s="293"/>
      <c r="BU56" s="293"/>
      <c r="BV56" s="293"/>
      <c r="BW56" s="293"/>
      <c r="BX56" s="293"/>
      <c r="BY56" s="293"/>
      <c r="BZ56" s="293"/>
    </row>
    <row r="57" spans="1:78" s="295" customFormat="1" ht="75" x14ac:dyDescent="0.2">
      <c r="A57" s="458"/>
      <c r="B57" s="451"/>
      <c r="C57" s="452"/>
      <c r="D57" s="453"/>
      <c r="E57" s="454"/>
      <c r="F57" s="454"/>
      <c r="G57" s="446"/>
      <c r="H57" s="446"/>
      <c r="I57" s="446"/>
      <c r="J57" s="446"/>
      <c r="K57" s="457"/>
      <c r="L57" s="447"/>
      <c r="M57" s="445"/>
      <c r="N57" s="455"/>
      <c r="O57" s="285">
        <f ca="1">IF(NOT(ISERROR(MATCH(N57,_xlfn.ANCHORARRAY(H26),0))),M28&amp;"Por favor no seleccionar los criterios de impacto",N57)</f>
        <v>0</v>
      </c>
      <c r="P57" s="447"/>
      <c r="Q57" s="445"/>
      <c r="R57" s="459"/>
      <c r="S57" s="248">
        <v>3</v>
      </c>
      <c r="T57" s="321" t="s">
        <v>982</v>
      </c>
      <c r="U57" s="245" t="s">
        <v>293</v>
      </c>
      <c r="V57" s="322" t="str">
        <f t="shared" si="86"/>
        <v>Probabilidad</v>
      </c>
      <c r="W57" s="323" t="s">
        <v>13</v>
      </c>
      <c r="X57" s="323" t="s">
        <v>8</v>
      </c>
      <c r="Y57" s="324" t="str">
        <f>IF(AND(W57="Preventivo",X57="Automático"),"50%",IF(AND(W57="Preventivo",X57="Manual"),"40%",IF(AND(W57="Detectivo",X57="Automático"),"40%",IF(AND(W57="Detectivo",X57="Manual"),"30%",IF(AND(W57="Correctivo",X57="Automático"),"35%",IF(AND(W57="Correctivo",X57="Manual"),"25%",""))))))</f>
        <v>40%</v>
      </c>
      <c r="Z57" s="323" t="s">
        <v>18</v>
      </c>
      <c r="AA57" s="323" t="s">
        <v>21</v>
      </c>
      <c r="AB57" s="323" t="s">
        <v>103</v>
      </c>
      <c r="AC57" s="325">
        <f t="shared" ref="AC57:AC60" si="91">IFERROR(IF(AND(V56="Probabilidad",V57="Probabilidad"),(AE56-(+AE56*Y57)),IF(AND(V56="Impacto",V57="Probabilidad"),(AE55-(+AE55*Y57)),IF(V57="Impacto",AE56,""))),"")</f>
        <v>0.1512</v>
      </c>
      <c r="AD57" s="326" t="str">
        <f t="shared" si="88"/>
        <v>Muy Baja</v>
      </c>
      <c r="AE57" s="324">
        <f t="shared" ref="AE57:AE60" si="92">+AC57</f>
        <v>0.1512</v>
      </c>
      <c r="AF57" s="326" t="str">
        <f t="shared" ca="1" si="89"/>
        <v>Mayor</v>
      </c>
      <c r="AG57" s="324">
        <f ca="1">IFERROR(IF(AND(V56="Impacto",V57="Impacto"),(AG56-(+AG56*Y57)),IF(V57="Impacto",(#REF!-(+#REF!*Y57)),IF(V57="Probabilidad",AG56,""))),"")</f>
        <v>0.8</v>
      </c>
      <c r="AH57" s="328" t="str">
        <f t="shared" ca="1" si="90"/>
        <v>Alto</v>
      </c>
      <c r="AI57" s="323" t="s">
        <v>26</v>
      </c>
      <c r="AJ57" s="249">
        <v>2</v>
      </c>
      <c r="AK57" s="249">
        <v>0</v>
      </c>
      <c r="AL57" s="249">
        <v>1</v>
      </c>
      <c r="AM57" s="249">
        <v>1</v>
      </c>
      <c r="AN57" s="278"/>
      <c r="AO57" s="277"/>
      <c r="AP57" s="277"/>
      <c r="AQ57" s="276"/>
      <c r="AR57" s="263"/>
      <c r="AS57" s="277"/>
      <c r="AT57" s="293"/>
      <c r="AU57" s="293"/>
      <c r="AV57" s="293"/>
      <c r="AW57" s="293"/>
      <c r="AX57" s="293"/>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row>
    <row r="58" spans="1:78" s="295" customFormat="1" ht="9.75" customHeight="1" x14ac:dyDescent="0.2">
      <c r="A58" s="458"/>
      <c r="B58" s="451"/>
      <c r="C58" s="452"/>
      <c r="D58" s="453"/>
      <c r="E58" s="454"/>
      <c r="F58" s="454"/>
      <c r="G58" s="446"/>
      <c r="H58" s="446"/>
      <c r="I58" s="446"/>
      <c r="J58" s="446"/>
      <c r="K58" s="457"/>
      <c r="L58" s="447"/>
      <c r="M58" s="445"/>
      <c r="N58" s="455"/>
      <c r="O58" s="285">
        <f ca="1">IF(NOT(ISERROR(MATCH(N58,_xlfn.ANCHORARRAY(H27),0))),M29&amp;"Por favor no seleccionar los criterios de impacto",N58)</f>
        <v>0</v>
      </c>
      <c r="P58" s="447"/>
      <c r="Q58" s="445"/>
      <c r="R58" s="459"/>
      <c r="S58" s="248">
        <v>4</v>
      </c>
      <c r="T58" s="321"/>
      <c r="U58" s="245"/>
      <c r="V58" s="322" t="str">
        <f t="shared" si="86"/>
        <v/>
      </c>
      <c r="W58" s="323"/>
      <c r="X58" s="323"/>
      <c r="Y58" s="324" t="str">
        <f t="shared" ref="Y58:Y60" si="93">IF(AND(W58="Preventivo",X58="Automático"),"50%",IF(AND(W58="Preventivo",X58="Manual"),"40%",IF(AND(W58="Detectivo",X58="Automático"),"40%",IF(AND(W58="Detectivo",X58="Manual"),"30%",IF(AND(W58="Correctivo",X58="Automático"),"35%",IF(AND(W58="Correctivo",X58="Manual"),"25%",""))))))</f>
        <v/>
      </c>
      <c r="Z58" s="323"/>
      <c r="AA58" s="323"/>
      <c r="AB58" s="323"/>
      <c r="AC58" s="325" t="str">
        <f t="shared" si="91"/>
        <v/>
      </c>
      <c r="AD58" s="326" t="str">
        <f t="shared" si="88"/>
        <v/>
      </c>
      <c r="AE58" s="324" t="str">
        <f t="shared" si="92"/>
        <v/>
      </c>
      <c r="AF58" s="326" t="str">
        <f t="shared" si="89"/>
        <v/>
      </c>
      <c r="AG58" s="324" t="str">
        <f>IFERROR(IF(AND(V57="Impacto",V58="Impacto"),(AG57-(+AG57*Y58)),IF(V58="Impacto",(#REF!-(+#REF!*Y58)),IF(V58="Probabilidad",AG57,""))),"")</f>
        <v/>
      </c>
      <c r="AH58" s="328" t="str">
        <f>IFERROR(IF(OR(AND(AD58="Muy Baja",AF58="Leve"),AND(AD58="Muy Baja",AF58="Menor"),AND(AD58="Baja",AF58="Leve")),"Bajo",IF(OR(AND(AD58="Muy baja",AF58="Moderado"),AND(AD58="Baja",AF58="Menor"),AND(AD58="Baja",AF58="Moderado"),AND(AD58="Media",AF58="Leve"),AND(AD58="Media",AF58="Menor"),AND(AD58="Media",AF58="Moderado"),AND(AD58="Alta",AF58="Leve"),AND(AD58="Alta",AF58="Menor")),"Moderado",IF(OR(AND(AD58="Muy Baja",AF58="Mayor"),AND(AD58="Baja",AF58="Mayor"),AND(AD58="Media",AF58="Mayor"),AND(AD58="Alta",AF58="Moderado"),AND(AD58="Alta",AF58="Mayor"),AND(AD58="Muy Alta",AF58="Leve"),AND(AD58="Muy Alta",AF58="Menor"),AND(AD58="Muy Alta",AF58="Moderado"),AND(AD58="Muy Alta",AF58="Mayor")),"Alto",IF(OR(AND(AD58="Muy Baja",AF58="Catastrófico"),AND(AD58="Baja",AF58="Catastrófico"),AND(AD58="Media",AF58="Catastrófico"),AND(AD58="Alta",AF58="Catastrófico"),AND(AD58="Muy Alta",AF58="Catastrófico")),"Extremo","")))),"")</f>
        <v/>
      </c>
      <c r="AI58" s="323"/>
      <c r="AJ58" s="249"/>
      <c r="AK58" s="249"/>
      <c r="AL58" s="249"/>
      <c r="AM58" s="249"/>
      <c r="AN58" s="278"/>
      <c r="AO58" s="209"/>
      <c r="AP58" s="209"/>
      <c r="AQ58" s="244"/>
      <c r="AR58" s="263"/>
      <c r="AS58" s="209"/>
      <c r="AT58" s="293"/>
      <c r="AU58" s="293"/>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3"/>
      <c r="BR58" s="293"/>
      <c r="BS58" s="293"/>
      <c r="BT58" s="293"/>
      <c r="BU58" s="293"/>
      <c r="BV58" s="293"/>
      <c r="BW58" s="293"/>
      <c r="BX58" s="293"/>
      <c r="BY58" s="293"/>
      <c r="BZ58" s="293"/>
    </row>
    <row r="59" spans="1:78" s="295" customFormat="1" ht="9.75" customHeight="1" x14ac:dyDescent="0.2">
      <c r="A59" s="458"/>
      <c r="B59" s="451"/>
      <c r="C59" s="452"/>
      <c r="D59" s="453"/>
      <c r="E59" s="454"/>
      <c r="F59" s="454"/>
      <c r="G59" s="446"/>
      <c r="H59" s="446"/>
      <c r="I59" s="446"/>
      <c r="J59" s="446"/>
      <c r="K59" s="457"/>
      <c r="L59" s="447"/>
      <c r="M59" s="445"/>
      <c r="N59" s="455"/>
      <c r="O59" s="285">
        <f ca="1">IF(NOT(ISERROR(MATCH(N59,_xlfn.ANCHORARRAY(H28),0))),M30&amp;"Por favor no seleccionar los criterios de impacto",N59)</f>
        <v>0</v>
      </c>
      <c r="P59" s="447"/>
      <c r="Q59" s="445"/>
      <c r="R59" s="459"/>
      <c r="S59" s="248">
        <v>5</v>
      </c>
      <c r="T59" s="330"/>
      <c r="U59" s="245"/>
      <c r="V59" s="322" t="str">
        <f t="shared" si="86"/>
        <v/>
      </c>
      <c r="W59" s="323"/>
      <c r="X59" s="323"/>
      <c r="Y59" s="324" t="str">
        <f t="shared" si="93"/>
        <v/>
      </c>
      <c r="Z59" s="323"/>
      <c r="AA59" s="323"/>
      <c r="AB59" s="323"/>
      <c r="AC59" s="325" t="str">
        <f t="shared" si="91"/>
        <v/>
      </c>
      <c r="AD59" s="326" t="str">
        <f t="shared" si="88"/>
        <v/>
      </c>
      <c r="AE59" s="324" t="str">
        <f t="shared" si="92"/>
        <v/>
      </c>
      <c r="AF59" s="326" t="str">
        <f t="shared" si="89"/>
        <v/>
      </c>
      <c r="AG59" s="324" t="str">
        <f>IFERROR(IF(AND(V58="Impacto",V59="Impacto"),(AG58-(+AG58*Y59)),IF(V59="Impacto",(#REF!-(+#REF!*Y59)),IF(V59="Probabilidad",AG58,""))),"")</f>
        <v/>
      </c>
      <c r="AH59" s="328" t="str">
        <f t="shared" ref="AH59:AH60" si="94">IFERROR(IF(OR(AND(AD59="Muy Baja",AF59="Leve"),AND(AD59="Muy Baja",AF59="Menor"),AND(AD59="Baja",AF59="Leve")),"Bajo",IF(OR(AND(AD59="Muy baja",AF59="Moderado"),AND(AD59="Baja",AF59="Menor"),AND(AD59="Baja",AF59="Moderado"),AND(AD59="Media",AF59="Leve"),AND(AD59="Media",AF59="Menor"),AND(AD59="Media",AF59="Moderado"),AND(AD59="Alta",AF59="Leve"),AND(AD59="Alta",AF59="Menor")),"Moderado",IF(OR(AND(AD59="Muy Baja",AF59="Mayor"),AND(AD59="Baja",AF59="Mayor"),AND(AD59="Media",AF59="Mayor"),AND(AD59="Alta",AF59="Moderado"),AND(AD59="Alta",AF59="Mayor"),AND(AD59="Muy Alta",AF59="Leve"),AND(AD59="Muy Alta",AF59="Menor"),AND(AD59="Muy Alta",AF59="Moderado"),AND(AD59="Muy Alta",AF59="Mayor")),"Alto",IF(OR(AND(AD59="Muy Baja",AF59="Catastrófico"),AND(AD59="Baja",AF59="Catastrófico"),AND(AD59="Media",AF59="Catastrófico"),AND(AD59="Alta",AF59="Catastrófico"),AND(AD59="Muy Alta",AF59="Catastrófico")),"Extremo","")))),"")</f>
        <v/>
      </c>
      <c r="AI59" s="323"/>
      <c r="AJ59" s="249"/>
      <c r="AK59" s="249"/>
      <c r="AL59" s="249"/>
      <c r="AM59" s="249"/>
      <c r="AN59" s="278"/>
      <c r="AO59" s="276"/>
      <c r="AP59" s="276"/>
      <c r="AQ59" s="278"/>
      <c r="AR59" s="211"/>
      <c r="AS59" s="211"/>
      <c r="AT59" s="293"/>
      <c r="AU59" s="293"/>
      <c r="AV59" s="293"/>
      <c r="AW59" s="293"/>
      <c r="AX59" s="293"/>
      <c r="AY59" s="293"/>
      <c r="AZ59" s="293"/>
      <c r="BA59" s="293"/>
      <c r="BB59" s="293"/>
      <c r="BC59" s="293"/>
      <c r="BD59" s="293"/>
      <c r="BE59" s="293"/>
      <c r="BF59" s="293"/>
      <c r="BG59" s="293"/>
      <c r="BH59" s="293"/>
      <c r="BI59" s="293"/>
      <c r="BJ59" s="293"/>
      <c r="BK59" s="293"/>
      <c r="BL59" s="293"/>
      <c r="BM59" s="293"/>
      <c r="BN59" s="293"/>
      <c r="BO59" s="293"/>
      <c r="BP59" s="293"/>
      <c r="BQ59" s="293"/>
      <c r="BR59" s="293"/>
      <c r="BS59" s="293"/>
      <c r="BT59" s="293"/>
      <c r="BU59" s="293"/>
      <c r="BV59" s="293"/>
      <c r="BW59" s="293"/>
      <c r="BX59" s="293"/>
      <c r="BY59" s="293"/>
      <c r="BZ59" s="293"/>
    </row>
    <row r="60" spans="1:78" s="295" customFormat="1" ht="9.75" customHeight="1" x14ac:dyDescent="0.2">
      <c r="A60" s="458"/>
      <c r="B60" s="451"/>
      <c r="C60" s="452"/>
      <c r="D60" s="453"/>
      <c r="E60" s="454"/>
      <c r="F60" s="454"/>
      <c r="G60" s="446"/>
      <c r="H60" s="446"/>
      <c r="I60" s="446"/>
      <c r="J60" s="446"/>
      <c r="K60" s="457"/>
      <c r="L60" s="447"/>
      <c r="M60" s="445"/>
      <c r="N60" s="455"/>
      <c r="O60" s="285">
        <f ca="1">IF(NOT(ISERROR(MATCH(N60,_xlfn.ANCHORARRAY(H29),0))),M31&amp;"Por favor no seleccionar los criterios de impacto",N60)</f>
        <v>0</v>
      </c>
      <c r="P60" s="447"/>
      <c r="Q60" s="445"/>
      <c r="R60" s="459"/>
      <c r="S60" s="248">
        <v>6</v>
      </c>
      <c r="T60" s="330"/>
      <c r="U60" s="245"/>
      <c r="V60" s="322" t="str">
        <f t="shared" si="86"/>
        <v/>
      </c>
      <c r="W60" s="323"/>
      <c r="X60" s="323"/>
      <c r="Y60" s="324" t="str">
        <f t="shared" si="93"/>
        <v/>
      </c>
      <c r="Z60" s="323"/>
      <c r="AA60" s="323"/>
      <c r="AB60" s="323"/>
      <c r="AC60" s="325" t="str">
        <f t="shared" si="91"/>
        <v/>
      </c>
      <c r="AD60" s="326" t="str">
        <f t="shared" si="88"/>
        <v/>
      </c>
      <c r="AE60" s="324" t="str">
        <f t="shared" si="92"/>
        <v/>
      </c>
      <c r="AF60" s="326" t="str">
        <f t="shared" si="89"/>
        <v/>
      </c>
      <c r="AG60" s="324" t="str">
        <f>IFERROR(IF(AND(V59="Impacto",V60="Impacto"),(AG59-(+AG59*Y60)),IF(V60="Impacto",(#REF!-(+#REF!*Y60)),IF(V60="Probabilidad",AG59,""))),"")</f>
        <v/>
      </c>
      <c r="AH60" s="328" t="str">
        <f t="shared" si="94"/>
        <v/>
      </c>
      <c r="AI60" s="323"/>
      <c r="AJ60" s="249"/>
      <c r="AK60" s="249"/>
      <c r="AL60" s="249"/>
      <c r="AM60" s="249"/>
      <c r="AN60" s="278"/>
      <c r="AO60" s="276"/>
      <c r="AP60" s="276"/>
      <c r="AQ60" s="278"/>
      <c r="AR60" s="211"/>
      <c r="AS60" s="211"/>
      <c r="AT60" s="293"/>
      <c r="AU60" s="293"/>
      <c r="AV60" s="293"/>
      <c r="AW60" s="293"/>
      <c r="AX60" s="293"/>
      <c r="AY60" s="293"/>
      <c r="AZ60" s="293"/>
      <c r="BA60" s="293"/>
      <c r="BB60" s="293"/>
      <c r="BC60" s="293"/>
      <c r="BD60" s="293"/>
      <c r="BE60" s="293"/>
      <c r="BF60" s="293"/>
      <c r="BG60" s="293"/>
      <c r="BH60" s="293"/>
      <c r="BI60" s="293"/>
      <c r="BJ60" s="293"/>
      <c r="BK60" s="293"/>
      <c r="BL60" s="293"/>
      <c r="BM60" s="293"/>
      <c r="BN60" s="293"/>
      <c r="BO60" s="293"/>
      <c r="BP60" s="293"/>
      <c r="BQ60" s="293"/>
      <c r="BR60" s="293"/>
      <c r="BS60" s="293"/>
      <c r="BT60" s="293"/>
      <c r="BU60" s="293"/>
      <c r="BV60" s="293"/>
      <c r="BW60" s="293"/>
      <c r="BX60" s="293"/>
      <c r="BY60" s="293"/>
      <c r="BZ60" s="293"/>
    </row>
    <row r="61" spans="1:78" s="294" customFormat="1" ht="103.5" customHeight="1" x14ac:dyDescent="0.2">
      <c r="A61" s="458" t="s">
        <v>700</v>
      </c>
      <c r="B61" s="451" t="s">
        <v>830</v>
      </c>
      <c r="C61" s="452" t="s">
        <v>596</v>
      </c>
      <c r="D61" s="453" t="s">
        <v>618</v>
      </c>
      <c r="E61" s="454" t="s">
        <v>109</v>
      </c>
      <c r="F61" s="454" t="s">
        <v>1029</v>
      </c>
      <c r="G61" s="446" t="s">
        <v>959</v>
      </c>
      <c r="H61" s="456" t="s">
        <v>1030</v>
      </c>
      <c r="I61" s="446" t="s">
        <v>654</v>
      </c>
      <c r="J61" s="446" t="s">
        <v>1031</v>
      </c>
      <c r="K61" s="457">
        <v>286</v>
      </c>
      <c r="L61" s="447" t="str">
        <f t="shared" ref="L61" si="95">IF(K61&lt;=0,"",IF(K61&lt;=2,"Muy Baja",IF(K61&lt;=24,"Baja",IF(K61&lt;=500,"Media",IF(K61&lt;=5000,"Alta","Muy Alta")))))</f>
        <v>Media</v>
      </c>
      <c r="M61" s="445">
        <f>IF(L61="","",IF(L61="Muy Baja",0.2,IF(L61="Baja",0.4,IF(L61="Media",0.6,IF(L61="Alta",0.8,IF(L61="Muy Alta",1,))))))</f>
        <v>0.6</v>
      </c>
      <c r="N61" s="455" t="s">
        <v>1022</v>
      </c>
      <c r="O61" s="285" t="str">
        <f ca="1">IF(NOT(ISERROR(MATCH(N61,'Tabla Impacto'!$B$221:$B$223,0))),'Tabla Impacto'!$F$223&amp;"Por favor no seleccionar los criterios de impacto(Afectación Económica o presupuestal y Pérdida Reputacional)",N61)</f>
        <v xml:space="preserve">     El riesgo afecta la imagen de la entidad internamente, de conocimiento general, nivel interno, de junta directiva y accionistas y/o de proveedores</v>
      </c>
      <c r="P61" s="447" t="s">
        <v>1100</v>
      </c>
      <c r="Q61" s="445">
        <f>IF(P61="","",IF(P61="Leve",0.2,IF(P61="Menor",0.4,IF(P61="Moderado",0.6,IF(P61="Mayor",0.8,IF(P61="Catastrófico",1,))))))</f>
        <v>0.4</v>
      </c>
      <c r="R61" s="459" t="str">
        <f>IF(OR(AND(L61="Muy Baja",P61="Leve"),AND(L61="Muy Baja",P61="Menor"),AND(L61="Baja",P61="Leve")),"Bajo",IF(OR(AND(L61="Muy baja",P61="Moderado"),AND(L61="Baja",P61="Menor"),AND(L61="Baja",P61="Moderado"),AND(L61="Media",P61="Leve"),AND(L61="Media",P61="Menor"),AND(L61="Media",P61="Moderado"),AND(L61="Alta",P61="Leve"),AND(L61="Alta",P61="Menor")),"Moderado",IF(OR(AND(L61="Muy Baja",P61="Mayor"),AND(L61="Baja",P61="Mayor"),AND(L61="Media",P61="Mayor"),AND(L61="Alta",P61="Moderado"),AND(L61="Alta",P61="Mayor"),AND(L61="Muy Alta",P61="Leve"),AND(L61="Muy Alta",P61="Menor"),AND(L61="Muy Alta",P61="Moderado"),AND(L61="Muy Alta",P61="Mayor")),"Alto",IF(OR(AND(L61="Muy Baja",P61="Catastrófico"),AND(L61="Baja",P61="Catastrófico"),AND(L61="Media",P61="Catastrófico"),AND(L61="Alta",P61="Catastrófico"),AND(L61="Muy Alta",P61="Catastrófico")),"Extremo",""))))</f>
        <v>Moderado</v>
      </c>
      <c r="S61" s="248">
        <v>1</v>
      </c>
      <c r="T61" s="321" t="s">
        <v>948</v>
      </c>
      <c r="U61" s="245" t="s">
        <v>293</v>
      </c>
      <c r="V61" s="322" t="str">
        <f>IF(OR(W61="Preventivo",W61="Detectivo"),"Probabilidad",IF(W61="Correctivo","Impacto",""))</f>
        <v>Probabilidad</v>
      </c>
      <c r="W61" s="323" t="s">
        <v>13</v>
      </c>
      <c r="X61" s="323" t="s">
        <v>8</v>
      </c>
      <c r="Y61" s="324" t="str">
        <f>IF(AND(W61="Preventivo",X61="Automático"),"50%",IF(AND(W61="Preventivo",X61="Manual"),"40%",IF(AND(W61="Detectivo",X61="Automático"),"40%",IF(AND(W61="Detectivo",X61="Manual"),"30%",IF(AND(W61="Correctivo",X61="Automático"),"35%",IF(AND(W61="Correctivo",X61="Manual"),"25%",""))))))</f>
        <v>40%</v>
      </c>
      <c r="Z61" s="323" t="s">
        <v>19</v>
      </c>
      <c r="AA61" s="323" t="s">
        <v>21</v>
      </c>
      <c r="AB61" s="323" t="s">
        <v>103</v>
      </c>
      <c r="AC61" s="325">
        <f t="shared" ref="AC61" si="96">IFERROR(IF(V61="Probabilidad",(M61-(+M61*Y61)),IF(V61="Impacto",M61,"")),"")</f>
        <v>0.36</v>
      </c>
      <c r="AD61" s="326" t="str">
        <f>IFERROR(IF(AC61="","",IF(AC61&lt;=0.2,"Muy Baja",IF(AC61&lt;=0.4,"Baja",IF(AC61&lt;=0.6,"Media",IF(AC61&lt;=0.8,"Alta","Muy Alta"))))),"")</f>
        <v>Baja</v>
      </c>
      <c r="AE61" s="324">
        <f>+AC61</f>
        <v>0.36</v>
      </c>
      <c r="AF61" s="326" t="str">
        <f>IFERROR(IF(AG61="","",IF(AG61&lt;=0.2,"Leve",IF(AG61&lt;=0.4,"Menor",IF(AG61&lt;=0.6,"Moderado",IF(AG61&lt;=0.8,"Mayor","Catastrófico"))))),"")</f>
        <v>Menor</v>
      </c>
      <c r="AG61" s="324">
        <f>IFERROR(IF(V61="Impacto",(Q61-(+Q61*Y61)),IF(V61="Probabilidad",Q61,"")),"")</f>
        <v>0.4</v>
      </c>
      <c r="AH61" s="328" t="str">
        <f>IFERROR(IF(OR(AND(AD61="Muy Baja",AF61="Leve"),AND(AD61="Muy Baja",AF61="Menor"),AND(AD61="Baja",AF61="Leve")),"Bajo",IF(OR(AND(AD61="Muy baja",AF61="Moderado"),AND(AD61="Baja",AF61="Menor"),AND(AD61="Baja",AF61="Moderado"),AND(AD61="Media",AF61="Leve"),AND(AD61="Media",AF61="Menor"),AND(AD61="Media",AF61="Moderado"),AND(AD61="Alta",AF61="Leve"),AND(AD61="Alta",AF61="Menor")),"Moderado",IF(OR(AND(AD61="Muy Baja",AF61="Mayor"),AND(AD61="Baja",AF61="Mayor"),AND(AD61="Media",AF61="Mayor"),AND(AD61="Alta",AF61="Moderado"),AND(AD61="Alta",AF61="Mayor"),AND(AD61="Muy Alta",AF61="Leve"),AND(AD61="Muy Alta",AF61="Menor"),AND(AD61="Muy Alta",AF61="Moderado"),AND(AD61="Muy Alta",AF61="Mayor")),"Alto",IF(OR(AND(AD61="Muy Baja",AF61="Catastrófico"),AND(AD61="Baja",AF61="Catastrófico"),AND(AD61="Media",AF61="Catastrófico"),AND(AD61="Alta",AF61="Catastrófico"),AND(AD61="Muy Alta",AF61="Catastrófico")),"Extremo","")))),"")</f>
        <v>Moderado</v>
      </c>
      <c r="AI61" s="323" t="s">
        <v>26</v>
      </c>
      <c r="AJ61" s="249">
        <v>0</v>
      </c>
      <c r="AK61" s="249">
        <v>0</v>
      </c>
      <c r="AL61" s="249">
        <v>0</v>
      </c>
      <c r="AM61" s="249">
        <v>0</v>
      </c>
      <c r="AN61" s="240"/>
      <c r="AO61" s="259"/>
      <c r="AP61" s="259"/>
      <c r="AQ61" s="239"/>
      <c r="AR61" s="264"/>
      <c r="AS61" s="265"/>
      <c r="AT61" s="293"/>
      <c r="AU61" s="293"/>
      <c r="AV61" s="293"/>
      <c r="AW61" s="293"/>
      <c r="AX61" s="293"/>
      <c r="AY61" s="293"/>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row>
    <row r="62" spans="1:78" s="295" customFormat="1" ht="138" customHeight="1" x14ac:dyDescent="0.2">
      <c r="A62" s="458"/>
      <c r="B62" s="451"/>
      <c r="C62" s="452"/>
      <c r="D62" s="453"/>
      <c r="E62" s="454"/>
      <c r="F62" s="454"/>
      <c r="G62" s="446"/>
      <c r="H62" s="456"/>
      <c r="I62" s="446"/>
      <c r="J62" s="446"/>
      <c r="K62" s="457"/>
      <c r="L62" s="447"/>
      <c r="M62" s="445"/>
      <c r="N62" s="455"/>
      <c r="O62" s="285">
        <f ca="1">IF(NOT(ISERROR(MATCH(N62,_xlfn.ANCHORARRAY(#REF!),0))),#REF!&amp;"Por favor no seleccionar los criterios de impacto",N62)</f>
        <v>0</v>
      </c>
      <c r="P62" s="447"/>
      <c r="Q62" s="445"/>
      <c r="R62" s="459"/>
      <c r="S62" s="248">
        <v>2</v>
      </c>
      <c r="T62" s="336" t="s">
        <v>949</v>
      </c>
      <c r="U62" s="245" t="s">
        <v>293</v>
      </c>
      <c r="V62" s="322" t="str">
        <f>IF(OR(W62="Preventivo",W62="Detectivo"),"Probabilidad",IF(W62="Correctivo","Impacto",""))</f>
        <v>Probabilidad</v>
      </c>
      <c r="W62" s="323" t="s">
        <v>14</v>
      </c>
      <c r="X62" s="323" t="s">
        <v>8</v>
      </c>
      <c r="Y62" s="324" t="str">
        <f>IF(AND(W62="Preventivo",X62="Automático"),"50%",IF(AND(W62="Preventivo",X62="Manual"),"40%",IF(AND(W62="Detectivo",X62="Automático"),"40%",IF(AND(W62="Detectivo",X62="Manual"),"30%",IF(AND(W62="Correctivo",X62="Automático"),"35%",IF(AND(W62="Correctivo",X62="Manual"),"25%",""))))))</f>
        <v>30%</v>
      </c>
      <c r="Z62" s="323" t="s">
        <v>19</v>
      </c>
      <c r="AA62" s="323" t="s">
        <v>22</v>
      </c>
      <c r="AB62" s="323" t="s">
        <v>104</v>
      </c>
      <c r="AC62" s="325">
        <f t="shared" ref="AC62" si="97">IFERROR(IF(AND(V61="Probabilidad",V62="Probabilidad"),(AE61-(+AE61*Y62)),IF(V62="Probabilidad",(M61-(+M61*Y62)),IF(V62="Impacto",AE61,""))),"")</f>
        <v>0.252</v>
      </c>
      <c r="AD62" s="326" t="str">
        <f t="shared" ref="AD62:AD66" si="98">IFERROR(IF(AC62="","",IF(AC62&lt;=0.2,"Muy Baja",IF(AC62&lt;=0.4,"Baja",IF(AC62&lt;=0.6,"Media",IF(AC62&lt;=0.8,"Alta","Muy Alta"))))),"")</f>
        <v>Baja</v>
      </c>
      <c r="AE62" s="324">
        <f>+AC62</f>
        <v>0.252</v>
      </c>
      <c r="AF62" s="326" t="str">
        <f t="shared" ref="AF62:AF66" si="99">IFERROR(IF(AG62="","",IF(AG62&lt;=0.2,"Leve",IF(AG62&lt;=0.4,"Menor",IF(AG62&lt;=0.6,"Moderado",IF(AG62&lt;=0.8,"Mayor","Catastrófico"))))),"")</f>
        <v>Menor</v>
      </c>
      <c r="AG62" s="324">
        <f>IFERROR(IF(AND(V61="Impacto",V62="Impacto"),(AG61-(+AG61*Y62)),IF(V62="Impacto",($Q$61-(+$Q$61*Y62)),IF(V62="Probabilidad",AG61,""))),"")</f>
        <v>0.4</v>
      </c>
      <c r="AH62" s="328" t="str">
        <f t="shared" ref="AH62:AH63" si="100">IFERROR(IF(OR(AND(AD62="Muy Baja",AF62="Leve"),AND(AD62="Muy Baja",AF62="Menor"),AND(AD62="Baja",AF62="Leve")),"Bajo",IF(OR(AND(AD62="Muy baja",AF62="Moderado"),AND(AD62="Baja",AF62="Menor"),AND(AD62="Baja",AF62="Moderado"),AND(AD62="Media",AF62="Leve"),AND(AD62="Media",AF62="Menor"),AND(AD62="Media",AF62="Moderado"),AND(AD62="Alta",AF62="Leve"),AND(AD62="Alta",AF62="Menor")),"Moderado",IF(OR(AND(AD62="Muy Baja",AF62="Mayor"),AND(AD62="Baja",AF62="Mayor"),AND(AD62="Media",AF62="Mayor"),AND(AD62="Alta",AF62="Moderado"),AND(AD62="Alta",AF62="Mayor"),AND(AD62="Muy Alta",AF62="Leve"),AND(AD62="Muy Alta",AF62="Menor"),AND(AD62="Muy Alta",AF62="Moderado"),AND(AD62="Muy Alta",AF62="Mayor")),"Alto",IF(OR(AND(AD62="Muy Baja",AF62="Catastrófico"),AND(AD62="Baja",AF62="Catastrófico"),AND(AD62="Media",AF62="Catastrófico"),AND(AD62="Alta",AF62="Catastrófico"),AND(AD62="Muy Alta",AF62="Catastrófico")),"Extremo","")))),"")</f>
        <v>Moderado</v>
      </c>
      <c r="AI62" s="323" t="s">
        <v>26</v>
      </c>
      <c r="AJ62" s="249">
        <v>2</v>
      </c>
      <c r="AK62" s="249">
        <v>0</v>
      </c>
      <c r="AL62" s="249">
        <v>1</v>
      </c>
      <c r="AM62" s="249">
        <v>1</v>
      </c>
      <c r="AN62" s="278"/>
      <c r="AO62" s="277"/>
      <c r="AP62" s="277"/>
      <c r="AQ62" s="276"/>
      <c r="AR62" s="263"/>
      <c r="AS62" s="277"/>
      <c r="AT62" s="293"/>
      <c r="AU62" s="293"/>
      <c r="AV62" s="293"/>
      <c r="AW62" s="293"/>
      <c r="AX62" s="293"/>
      <c r="AY62" s="293"/>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row>
    <row r="63" spans="1:78" s="295" customFormat="1" ht="4.5" customHeight="1" x14ac:dyDescent="0.2">
      <c r="A63" s="458"/>
      <c r="B63" s="451"/>
      <c r="C63" s="452"/>
      <c r="D63" s="453"/>
      <c r="E63" s="454"/>
      <c r="F63" s="454"/>
      <c r="G63" s="446"/>
      <c r="H63" s="456"/>
      <c r="I63" s="446"/>
      <c r="J63" s="446"/>
      <c r="K63" s="457"/>
      <c r="L63" s="447"/>
      <c r="M63" s="445"/>
      <c r="N63" s="455"/>
      <c r="O63" s="285">
        <f ca="1">IF(NOT(ISERROR(MATCH(N63,_xlfn.ANCHORARRAY(#REF!),0))),#REF!&amp;"Por favor no seleccionar los criterios de impacto",N63)</f>
        <v>0</v>
      </c>
      <c r="P63" s="447"/>
      <c r="Q63" s="445"/>
      <c r="R63" s="459"/>
      <c r="S63" s="248">
        <v>3</v>
      </c>
      <c r="T63" s="330"/>
      <c r="U63" s="245"/>
      <c r="V63" s="322" t="str">
        <f>IF(OR(W63="Preventivo",W63="Detectivo"),"Probabilidad",IF(W63="Correctivo","Impacto",""))</f>
        <v/>
      </c>
      <c r="W63" s="323"/>
      <c r="X63" s="323"/>
      <c r="Y63" s="324" t="str">
        <f>IF(AND(W63="Preventivo",X63="Automático"),"50%",IF(AND(W63="Preventivo",X63="Manual"),"40%",IF(AND(W63="Detectivo",X63="Automático"),"40%",IF(AND(W63="Detectivo",X63="Manual"),"30%",IF(AND(W63="Correctivo",X63="Automático"),"35%",IF(AND(W63="Correctivo",X63="Manual"),"25%",""))))))</f>
        <v/>
      </c>
      <c r="Z63" s="323"/>
      <c r="AA63" s="323"/>
      <c r="AB63" s="323"/>
      <c r="AC63" s="325" t="str">
        <f t="shared" ref="AC63:AC66" si="101">IFERROR(IF(AND(V62="Probabilidad",V63="Probabilidad"),(AE62-(+AE62*Y63)),IF(AND(V62="Impacto",V63="Probabilidad"),(AE61-(+AE61*Y63)),IF(V63="Impacto",AE62,""))),"")</f>
        <v/>
      </c>
      <c r="AD63" s="326" t="str">
        <f t="shared" si="98"/>
        <v/>
      </c>
      <c r="AE63" s="324" t="str">
        <f t="shared" ref="AE63:AE66" si="102">+AC63</f>
        <v/>
      </c>
      <c r="AF63" s="326" t="str">
        <f t="shared" si="99"/>
        <v/>
      </c>
      <c r="AG63" s="324" t="str">
        <f t="shared" ref="AG63:AG66" si="103">IFERROR(IF(AND(V62="Impacto",V63="Impacto"),(AG62-(+AG62*Y63)),IF(V63="Impacto",($Q$61-(+$Q$61*Y63)),IF(V63="Probabilidad",AG62,""))),"")</f>
        <v/>
      </c>
      <c r="AH63" s="328" t="str">
        <f t="shared" si="100"/>
        <v/>
      </c>
      <c r="AI63" s="323"/>
      <c r="AJ63" s="249"/>
      <c r="AK63" s="249"/>
      <c r="AL63" s="249"/>
      <c r="AM63" s="249"/>
      <c r="AN63" s="278"/>
      <c r="AO63" s="277"/>
      <c r="AP63" s="277"/>
      <c r="AQ63" s="276"/>
      <c r="AR63" s="263"/>
      <c r="AS63" s="277"/>
      <c r="AT63" s="293"/>
      <c r="AU63" s="293"/>
      <c r="AV63" s="293"/>
      <c r="AW63" s="293"/>
      <c r="AX63" s="293"/>
      <c r="AY63" s="293"/>
      <c r="AZ63" s="293"/>
      <c r="BA63" s="293"/>
      <c r="BB63" s="293"/>
      <c r="BC63" s="293"/>
      <c r="BD63" s="293"/>
      <c r="BE63" s="293"/>
      <c r="BF63" s="293"/>
      <c r="BG63" s="293"/>
      <c r="BH63" s="293"/>
      <c r="BI63" s="293"/>
      <c r="BJ63" s="293"/>
      <c r="BK63" s="293"/>
      <c r="BL63" s="293"/>
      <c r="BM63" s="293"/>
      <c r="BN63" s="293"/>
      <c r="BO63" s="293"/>
      <c r="BP63" s="293"/>
      <c r="BQ63" s="293"/>
      <c r="BR63" s="293"/>
      <c r="BS63" s="293"/>
      <c r="BT63" s="293"/>
      <c r="BU63" s="293"/>
      <c r="BV63" s="293"/>
      <c r="BW63" s="293"/>
      <c r="BX63" s="293"/>
      <c r="BY63" s="293"/>
      <c r="BZ63" s="293"/>
    </row>
    <row r="64" spans="1:78" s="295" customFormat="1" ht="4.5" customHeight="1" x14ac:dyDescent="0.2">
      <c r="A64" s="458"/>
      <c r="B64" s="451"/>
      <c r="C64" s="452"/>
      <c r="D64" s="453"/>
      <c r="E64" s="454"/>
      <c r="F64" s="454"/>
      <c r="G64" s="446"/>
      <c r="H64" s="456"/>
      <c r="I64" s="446"/>
      <c r="J64" s="446"/>
      <c r="K64" s="457"/>
      <c r="L64" s="447"/>
      <c r="M64" s="445"/>
      <c r="N64" s="455"/>
      <c r="O64" s="285">
        <f ca="1">IF(NOT(ISERROR(MATCH(N64,_xlfn.ANCHORARRAY(#REF!),0))),#REF!&amp;"Por favor no seleccionar los criterios de impacto",N64)</f>
        <v>0</v>
      </c>
      <c r="P64" s="447"/>
      <c r="Q64" s="445"/>
      <c r="R64" s="459"/>
      <c r="S64" s="248">
        <v>4</v>
      </c>
      <c r="T64" s="330"/>
      <c r="U64" s="245"/>
      <c r="V64" s="322" t="str">
        <f t="shared" ref="V64:V66" si="104">IF(OR(W64="Preventivo",W64="Detectivo"),"Probabilidad",IF(W64="Correctivo","Impacto",""))</f>
        <v/>
      </c>
      <c r="W64" s="323"/>
      <c r="X64" s="323"/>
      <c r="Y64" s="324" t="str">
        <f t="shared" ref="Y64:Y66" si="105">IF(AND(W64="Preventivo",X64="Automático"),"50%",IF(AND(W64="Preventivo",X64="Manual"),"40%",IF(AND(W64="Detectivo",X64="Automático"),"40%",IF(AND(W64="Detectivo",X64="Manual"),"30%",IF(AND(W64="Correctivo",X64="Automático"),"35%",IF(AND(W64="Correctivo",X64="Manual"),"25%",""))))))</f>
        <v/>
      </c>
      <c r="Z64" s="323"/>
      <c r="AA64" s="323"/>
      <c r="AB64" s="323"/>
      <c r="AC64" s="325" t="str">
        <f t="shared" si="101"/>
        <v/>
      </c>
      <c r="AD64" s="326" t="str">
        <f t="shared" si="98"/>
        <v/>
      </c>
      <c r="AE64" s="324" t="str">
        <f t="shared" si="102"/>
        <v/>
      </c>
      <c r="AF64" s="326" t="str">
        <f t="shared" si="99"/>
        <v/>
      </c>
      <c r="AG64" s="324" t="str">
        <f t="shared" si="103"/>
        <v/>
      </c>
      <c r="AH64" s="328" t="str">
        <f>IFERROR(IF(OR(AND(AD64="Muy Baja",AF64="Leve"),AND(AD64="Muy Baja",AF64="Menor"),AND(AD64="Baja",AF64="Leve")),"Bajo",IF(OR(AND(AD64="Muy baja",AF64="Moderado"),AND(AD64="Baja",AF64="Menor"),AND(AD64="Baja",AF64="Moderado"),AND(AD64="Media",AF64="Leve"),AND(AD64="Media",AF64="Menor"),AND(AD64="Media",AF64="Moderado"),AND(AD64="Alta",AF64="Leve"),AND(AD64="Alta",AF64="Menor")),"Moderado",IF(OR(AND(AD64="Muy Baja",AF64="Mayor"),AND(AD64="Baja",AF64="Mayor"),AND(AD64="Media",AF64="Mayor"),AND(AD64="Alta",AF64="Moderado"),AND(AD64="Alta",AF64="Mayor"),AND(AD64="Muy Alta",AF64="Leve"),AND(AD64="Muy Alta",AF64="Menor"),AND(AD64="Muy Alta",AF64="Moderado"),AND(AD64="Muy Alta",AF64="Mayor")),"Alto",IF(OR(AND(AD64="Muy Baja",AF64="Catastrófico"),AND(AD64="Baja",AF64="Catastrófico"),AND(AD64="Media",AF64="Catastrófico"),AND(AD64="Alta",AF64="Catastrófico"),AND(AD64="Muy Alta",AF64="Catastrófico")),"Extremo","")))),"")</f>
        <v/>
      </c>
      <c r="AI64" s="323"/>
      <c r="AJ64" s="249"/>
      <c r="AK64" s="249"/>
      <c r="AL64" s="249"/>
      <c r="AM64" s="249"/>
      <c r="AN64" s="278"/>
      <c r="AO64" s="209"/>
      <c r="AP64" s="209"/>
      <c r="AQ64" s="244"/>
      <c r="AR64" s="263"/>
      <c r="AS64" s="209"/>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c r="BP64" s="293"/>
      <c r="BQ64" s="293"/>
      <c r="BR64" s="293"/>
      <c r="BS64" s="293"/>
      <c r="BT64" s="293"/>
      <c r="BU64" s="293"/>
      <c r="BV64" s="293"/>
      <c r="BW64" s="293"/>
      <c r="BX64" s="293"/>
      <c r="BY64" s="293"/>
      <c r="BZ64" s="293"/>
    </row>
    <row r="65" spans="1:78" s="295" customFormat="1" ht="4.5" customHeight="1" x14ac:dyDescent="0.2">
      <c r="A65" s="458"/>
      <c r="B65" s="451"/>
      <c r="C65" s="452"/>
      <c r="D65" s="453"/>
      <c r="E65" s="454"/>
      <c r="F65" s="454"/>
      <c r="G65" s="446"/>
      <c r="H65" s="456"/>
      <c r="I65" s="446"/>
      <c r="J65" s="446"/>
      <c r="K65" s="457"/>
      <c r="L65" s="447"/>
      <c r="M65" s="445"/>
      <c r="N65" s="455"/>
      <c r="O65" s="285">
        <f ca="1">IF(NOT(ISERROR(MATCH(N65,_xlfn.ANCHORARRAY(#REF!),0))),#REF!&amp;"Por favor no seleccionar los criterios de impacto",N65)</f>
        <v>0</v>
      </c>
      <c r="P65" s="447"/>
      <c r="Q65" s="445"/>
      <c r="R65" s="459"/>
      <c r="S65" s="248">
        <v>5</v>
      </c>
      <c r="T65" s="330"/>
      <c r="U65" s="245"/>
      <c r="V65" s="322" t="str">
        <f t="shared" si="104"/>
        <v/>
      </c>
      <c r="W65" s="323"/>
      <c r="X65" s="323"/>
      <c r="Y65" s="324" t="str">
        <f t="shared" si="105"/>
        <v/>
      </c>
      <c r="Z65" s="323"/>
      <c r="AA65" s="323"/>
      <c r="AB65" s="323"/>
      <c r="AC65" s="325" t="str">
        <f t="shared" si="101"/>
        <v/>
      </c>
      <c r="AD65" s="326" t="str">
        <f t="shared" si="98"/>
        <v/>
      </c>
      <c r="AE65" s="324" t="str">
        <f t="shared" si="102"/>
        <v/>
      </c>
      <c r="AF65" s="326" t="str">
        <f t="shared" si="99"/>
        <v/>
      </c>
      <c r="AG65" s="324" t="str">
        <f t="shared" si="103"/>
        <v/>
      </c>
      <c r="AH65" s="328" t="str">
        <f t="shared" ref="AH65:AH66" si="106">IFERROR(IF(OR(AND(AD65="Muy Baja",AF65="Leve"),AND(AD65="Muy Baja",AF65="Menor"),AND(AD65="Baja",AF65="Leve")),"Bajo",IF(OR(AND(AD65="Muy baja",AF65="Moderado"),AND(AD65="Baja",AF65="Menor"),AND(AD65="Baja",AF65="Moderado"),AND(AD65="Media",AF65="Leve"),AND(AD65="Media",AF65="Menor"),AND(AD65="Media",AF65="Moderado"),AND(AD65="Alta",AF65="Leve"),AND(AD65="Alta",AF65="Menor")),"Moderado",IF(OR(AND(AD65="Muy Baja",AF65="Mayor"),AND(AD65="Baja",AF65="Mayor"),AND(AD65="Media",AF65="Mayor"),AND(AD65="Alta",AF65="Moderado"),AND(AD65="Alta",AF65="Mayor"),AND(AD65="Muy Alta",AF65="Leve"),AND(AD65="Muy Alta",AF65="Menor"),AND(AD65="Muy Alta",AF65="Moderado"),AND(AD65="Muy Alta",AF65="Mayor")),"Alto",IF(OR(AND(AD65="Muy Baja",AF65="Catastrófico"),AND(AD65="Baja",AF65="Catastrófico"),AND(AD65="Media",AF65="Catastrófico"),AND(AD65="Alta",AF65="Catastrófico"),AND(AD65="Muy Alta",AF65="Catastrófico")),"Extremo","")))),"")</f>
        <v/>
      </c>
      <c r="AI65" s="323"/>
      <c r="AJ65" s="249"/>
      <c r="AK65" s="249"/>
      <c r="AL65" s="249"/>
      <c r="AM65" s="249"/>
      <c r="AN65" s="278"/>
      <c r="AO65" s="276"/>
      <c r="AP65" s="276"/>
      <c r="AQ65" s="278"/>
      <c r="AR65" s="211"/>
      <c r="AS65" s="211"/>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row>
    <row r="66" spans="1:78" s="295" customFormat="1" ht="4.5" customHeight="1" x14ac:dyDescent="0.2">
      <c r="A66" s="458"/>
      <c r="B66" s="451"/>
      <c r="C66" s="452"/>
      <c r="D66" s="453"/>
      <c r="E66" s="454"/>
      <c r="F66" s="454"/>
      <c r="G66" s="446"/>
      <c r="H66" s="456"/>
      <c r="I66" s="446"/>
      <c r="J66" s="446"/>
      <c r="K66" s="457"/>
      <c r="L66" s="447"/>
      <c r="M66" s="445"/>
      <c r="N66" s="455"/>
      <c r="O66" s="285">
        <f ca="1">IF(NOT(ISERROR(MATCH(N66,_xlfn.ANCHORARRAY(#REF!),0))),M19&amp;"Por favor no seleccionar los criterios de impacto",N66)</f>
        <v>0</v>
      </c>
      <c r="P66" s="447"/>
      <c r="Q66" s="445"/>
      <c r="R66" s="459"/>
      <c r="S66" s="248">
        <v>6</v>
      </c>
      <c r="T66" s="330"/>
      <c r="U66" s="245"/>
      <c r="V66" s="322" t="str">
        <f t="shared" si="104"/>
        <v/>
      </c>
      <c r="W66" s="323"/>
      <c r="X66" s="323"/>
      <c r="Y66" s="324" t="str">
        <f t="shared" si="105"/>
        <v/>
      </c>
      <c r="Z66" s="323"/>
      <c r="AA66" s="323"/>
      <c r="AB66" s="323"/>
      <c r="AC66" s="325" t="str">
        <f t="shared" si="101"/>
        <v/>
      </c>
      <c r="AD66" s="326" t="str">
        <f t="shared" si="98"/>
        <v/>
      </c>
      <c r="AE66" s="324" t="str">
        <f t="shared" si="102"/>
        <v/>
      </c>
      <c r="AF66" s="326" t="str">
        <f t="shared" si="99"/>
        <v/>
      </c>
      <c r="AG66" s="324" t="str">
        <f t="shared" si="103"/>
        <v/>
      </c>
      <c r="AH66" s="328" t="str">
        <f t="shared" si="106"/>
        <v/>
      </c>
      <c r="AI66" s="323"/>
      <c r="AJ66" s="249"/>
      <c r="AK66" s="249"/>
      <c r="AL66" s="249"/>
      <c r="AM66" s="249"/>
      <c r="AN66" s="278"/>
      <c r="AO66" s="276"/>
      <c r="AP66" s="276"/>
      <c r="AQ66" s="278"/>
      <c r="AR66" s="211"/>
      <c r="AS66" s="211"/>
      <c r="AT66" s="293"/>
      <c r="AU66" s="293"/>
      <c r="AV66" s="293"/>
      <c r="AW66" s="293"/>
      <c r="AX66" s="293"/>
      <c r="AY66" s="293"/>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row>
    <row r="67" spans="1:78" s="294" customFormat="1" ht="132" customHeight="1" x14ac:dyDescent="0.2">
      <c r="A67" s="458" t="s">
        <v>701</v>
      </c>
      <c r="B67" s="451" t="s">
        <v>830</v>
      </c>
      <c r="C67" s="452" t="s">
        <v>596</v>
      </c>
      <c r="D67" s="453" t="s">
        <v>622</v>
      </c>
      <c r="E67" s="454" t="s">
        <v>107</v>
      </c>
      <c r="F67" s="454" t="s">
        <v>960</v>
      </c>
      <c r="G67" s="446" t="s">
        <v>675</v>
      </c>
      <c r="H67" s="446" t="s">
        <v>920</v>
      </c>
      <c r="I67" s="446" t="s">
        <v>654</v>
      </c>
      <c r="J67" s="446" t="s">
        <v>921</v>
      </c>
      <c r="K67" s="457">
        <v>600</v>
      </c>
      <c r="L67" s="447" t="str">
        <f t="shared" ref="L67" si="107">IF(K67&lt;=0,"",IF(K67&lt;=2,"Muy Baja",IF(K67&lt;=24,"Baja",IF(K67&lt;=500,"Media",IF(K67&lt;=5000,"Alta","Muy Alta")))))</f>
        <v>Alta</v>
      </c>
      <c r="M67" s="445">
        <f>IF(L67="","",IF(L67="Muy Baja",0.2,IF(L67="Baja",0.4,IF(L67="Media",0.6,IF(L67="Alta",0.8,IF(L67="Muy Alta",1,))))))</f>
        <v>0.8</v>
      </c>
      <c r="N67" s="455" t="s">
        <v>123</v>
      </c>
      <c r="O67" s="285" t="str">
        <f ca="1">IF(NOT(ISERROR(MATCH(N67,'Tabla Impacto'!$B$221:$B$223,0))),'Tabla Impacto'!$F$223&amp;"Por favor no seleccionar los criterios de impacto(Afectación Económica o presupuestal y Pérdida Reputacional)",N67)</f>
        <v xml:space="preserve">     El riesgo afecta la imagen de la entidad a nivel nacional, con efecto publicitarios sostenible a nivel país</v>
      </c>
      <c r="P67" s="447" t="str">
        <f ca="1">IF(OR(O67='Tabla Impacto'!$C$11,O67='Tabla Impacto'!$D$11),"Leve",IF(OR(O67='Tabla Impacto'!$C$12,O67='Tabla Impacto'!$D$12),"Menor",IF(OR(O67='Tabla Impacto'!$C$13,O67='Tabla Impacto'!$D$13),"Moderado",IF(OR(O67='Tabla Impacto'!$C$14,O67='Tabla Impacto'!$D$14),"Mayor",IF(OR(O67='Tabla Impacto'!$C$15,O67='Tabla Impacto'!$D$15),"Catastrófico","")))))</f>
        <v>Catastrófico</v>
      </c>
      <c r="Q67" s="445">
        <f ca="1">IF(P67="","",IF(P67="Leve",0.2,IF(P67="Menor",0.4,IF(P67="Moderado",0.6,IF(P67="Mayor",0.8,IF(P67="Catastrófico",1,))))))</f>
        <v>1</v>
      </c>
      <c r="R67" s="459" t="str">
        <f ca="1">IF(OR(AND(L67="Muy Baja",P67="Leve"),AND(L67="Muy Baja",P67="Menor"),AND(L67="Baja",P67="Leve")),"Bajo",IF(OR(AND(L67="Muy baja",P67="Moderado"),AND(L67="Baja",P67="Menor"),AND(L67="Baja",P67="Moderado"),AND(L67="Media",P67="Leve"),AND(L67="Media",P67="Menor"),AND(L67="Media",P67="Moderado"),AND(L67="Alta",P67="Leve"),AND(L67="Alta",P67="Menor")),"Moderado",IF(OR(AND(L67="Muy Baja",P67="Mayor"),AND(L67="Baja",P67="Mayor"),AND(L67="Media",P67="Mayor"),AND(L67="Alta",P67="Moderado"),AND(L67="Alta",P67="Mayor"),AND(L67="Muy Alta",P67="Leve"),AND(L67="Muy Alta",P67="Menor"),AND(L67="Muy Alta",P67="Moderado"),AND(L67="Muy Alta",P67="Mayor")),"Alto",IF(OR(AND(L67="Muy Baja",P67="Catastrófico"),AND(L67="Baja",P67="Catastrófico"),AND(L67="Media",P67="Catastrófico"),AND(L67="Alta",P67="Catastrófico"),AND(L67="Muy Alta",P67="Catastrófico")),"Extremo",""))))</f>
        <v>Extremo</v>
      </c>
      <c r="S67" s="248">
        <v>1</v>
      </c>
      <c r="T67" s="321" t="s">
        <v>1032</v>
      </c>
      <c r="U67" s="245" t="s">
        <v>293</v>
      </c>
      <c r="V67" s="322" t="str">
        <f>IF(OR(W67="Preventivo",W67="Detectivo"),"Probabilidad",IF(W67="Correctivo","Impacto",""))</f>
        <v>Probabilidad</v>
      </c>
      <c r="W67" s="323" t="s">
        <v>13</v>
      </c>
      <c r="X67" s="323" t="s">
        <v>8</v>
      </c>
      <c r="Y67" s="324" t="str">
        <f>IF(AND(W67="Preventivo",X67="Automático"),"50%",IF(AND(W67="Preventivo",X67="Manual"),"40%",IF(AND(W67="Detectivo",X67="Automático"),"40%",IF(AND(W67="Detectivo",X67="Manual"),"30%",IF(AND(W67="Correctivo",X67="Automático"),"35%",IF(AND(W67="Correctivo",X67="Manual"),"25%",""))))))</f>
        <v>40%</v>
      </c>
      <c r="Z67" s="323" t="s">
        <v>18</v>
      </c>
      <c r="AA67" s="323" t="s">
        <v>21</v>
      </c>
      <c r="AB67" s="323" t="s">
        <v>103</v>
      </c>
      <c r="AC67" s="325">
        <f t="shared" ref="AC67" si="108">IFERROR(IF(V67="Probabilidad",(M67-(+M67*Y67)),IF(V67="Impacto",M67,"")),"")</f>
        <v>0.48</v>
      </c>
      <c r="AD67" s="326" t="str">
        <f>IFERROR(IF(AC67="","",IF(AC67&lt;=0.2,"Muy Baja",IF(AC67&lt;=0.4,"Baja",IF(AC67&lt;=0.6,"Media",IF(AC67&lt;=0.8,"Alta","Muy Alta"))))),"")</f>
        <v>Media</v>
      </c>
      <c r="AE67" s="324">
        <f>+AC67</f>
        <v>0.48</v>
      </c>
      <c r="AF67" s="326" t="str">
        <f ca="1">IFERROR(IF(AG67="","",IF(AG67&lt;=0.2,"Leve",IF(AG67&lt;=0.4,"Menor",IF(AG67&lt;=0.6,"Moderado",IF(AG67&lt;=0.8,"Mayor","Catastrófico"))))),"")</f>
        <v>Catastrófico</v>
      </c>
      <c r="AG67" s="324">
        <f ca="1">IFERROR(IF(V67="Impacto",(Q67-(+Q67*Y67)),IF(V67="Probabilidad",Q67,"")),"")</f>
        <v>1</v>
      </c>
      <c r="AH67" s="328" t="str">
        <f ca="1">IFERROR(IF(OR(AND(AD67="Muy Baja",AF67="Leve"),AND(AD67="Muy Baja",AF67="Menor"),AND(AD67="Baja",AF67="Leve")),"Bajo",IF(OR(AND(AD67="Muy baja",AF67="Moderado"),AND(AD67="Baja",AF67="Menor"),AND(AD67="Baja",AF67="Moderado"),AND(AD67="Media",AF67="Leve"),AND(AD67="Media",AF67="Menor"),AND(AD67="Media",AF67="Moderado"),AND(AD67="Alta",AF67="Leve"),AND(AD67="Alta",AF67="Menor")),"Moderado",IF(OR(AND(AD67="Muy Baja",AF67="Mayor"),AND(AD67="Baja",AF67="Mayor"),AND(AD67="Media",AF67="Mayor"),AND(AD67="Alta",AF67="Moderado"),AND(AD67="Alta",AF67="Mayor"),AND(AD67="Muy Alta",AF67="Leve"),AND(AD67="Muy Alta",AF67="Menor"),AND(AD67="Muy Alta",AF67="Moderado"),AND(AD67="Muy Alta",AF67="Mayor")),"Alto",IF(OR(AND(AD67="Muy Baja",AF67="Catastrófico"),AND(AD67="Baja",AF67="Catastrófico"),AND(AD67="Media",AF67="Catastrófico"),AND(AD67="Alta",AF67="Catastrófico"),AND(AD67="Muy Alta",AF67="Catastrófico")),"Extremo","")))),"")</f>
        <v>Extremo</v>
      </c>
      <c r="AI67" s="323" t="s">
        <v>26</v>
      </c>
      <c r="AJ67" s="249">
        <v>3</v>
      </c>
      <c r="AK67" s="249">
        <v>0</v>
      </c>
      <c r="AL67" s="249">
        <v>1</v>
      </c>
      <c r="AM67" s="249">
        <v>2</v>
      </c>
      <c r="AN67" s="240"/>
      <c r="AO67" s="259"/>
      <c r="AP67" s="259"/>
      <c r="AQ67" s="239"/>
      <c r="AR67" s="264"/>
      <c r="AS67" s="265"/>
      <c r="AT67" s="293"/>
      <c r="AU67" s="293"/>
      <c r="AV67" s="293"/>
      <c r="AW67" s="293"/>
      <c r="AX67" s="293"/>
      <c r="AY67" s="293"/>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row>
    <row r="68" spans="1:78" s="295" customFormat="1" ht="147.75" customHeight="1" x14ac:dyDescent="0.2">
      <c r="A68" s="458"/>
      <c r="B68" s="451"/>
      <c r="C68" s="452"/>
      <c r="D68" s="453"/>
      <c r="E68" s="454"/>
      <c r="F68" s="454"/>
      <c r="G68" s="446"/>
      <c r="H68" s="446"/>
      <c r="I68" s="446"/>
      <c r="J68" s="446"/>
      <c r="K68" s="457"/>
      <c r="L68" s="447"/>
      <c r="M68" s="445"/>
      <c r="N68" s="455"/>
      <c r="O68" s="285">
        <f ca="1">IF(NOT(ISERROR(MATCH(N68,_xlfn.ANCHORARRAY(H19),0))),M21&amp;"Por favor no seleccionar los criterios de impacto",N68)</f>
        <v>0</v>
      </c>
      <c r="P68" s="447"/>
      <c r="Q68" s="445"/>
      <c r="R68" s="459"/>
      <c r="S68" s="248">
        <v>2</v>
      </c>
      <c r="T68" s="321" t="s">
        <v>922</v>
      </c>
      <c r="U68" s="245" t="s">
        <v>293</v>
      </c>
      <c r="V68" s="322" t="str">
        <f>IF(OR(W68="Preventivo",W68="Detectivo"),"Probabilidad",IF(W68="Correctivo","Impacto",""))</f>
        <v>Probabilidad</v>
      </c>
      <c r="W68" s="323" t="s">
        <v>13</v>
      </c>
      <c r="X68" s="323" t="s">
        <v>8</v>
      </c>
      <c r="Y68" s="324" t="str">
        <f>IF(AND(W68="Preventivo",X68="Automático"),"50%",IF(AND(W68="Preventivo",X68="Manual"),"40%",IF(AND(W68="Detectivo",X68="Automático"),"40%",IF(AND(W68="Detectivo",X68="Manual"),"30%",IF(AND(W68="Correctivo",X68="Automático"),"35%",IF(AND(W68="Correctivo",X68="Manual"),"25%",""))))))</f>
        <v>40%</v>
      </c>
      <c r="Z68" s="323" t="s">
        <v>19</v>
      </c>
      <c r="AA68" s="323" t="s">
        <v>21</v>
      </c>
      <c r="AB68" s="323" t="s">
        <v>103</v>
      </c>
      <c r="AC68" s="325">
        <f t="shared" ref="AC68" si="109">IFERROR(IF(AND(V67="Probabilidad",V68="Probabilidad"),(AE67-(+AE67*Y68)),IF(V68="Probabilidad",(M67-(+M67*Y68)),IF(V68="Impacto",AE67,""))),"")</f>
        <v>0.28799999999999998</v>
      </c>
      <c r="AD68" s="326" t="str">
        <f t="shared" ref="AD68:AD72" si="110">IFERROR(IF(AC68="","",IF(AC68&lt;=0.2,"Muy Baja",IF(AC68&lt;=0.4,"Baja",IF(AC68&lt;=0.6,"Media",IF(AC68&lt;=0.8,"Alta","Muy Alta"))))),"")</f>
        <v>Baja</v>
      </c>
      <c r="AE68" s="324">
        <f>+AC68</f>
        <v>0.28799999999999998</v>
      </c>
      <c r="AF68" s="326" t="str">
        <f t="shared" ref="AF68:AF72" ca="1" si="111">IFERROR(IF(AG68="","",IF(AG68&lt;=0.2,"Leve",IF(AG68&lt;=0.4,"Menor",IF(AG68&lt;=0.6,"Moderado",IF(AG68&lt;=0.8,"Mayor","Catastrófico"))))),"")</f>
        <v>Catastrófico</v>
      </c>
      <c r="AG68" s="324">
        <f ca="1">IFERROR(IF(AND(V67="Impacto",V68="Impacto"),(AG67-(+AG67*Y68)),IF(V68="Impacto",($Q$67-(+$Q$67*Y68)),IF(V68="Probabilidad",AG67,""))),"")</f>
        <v>1</v>
      </c>
      <c r="AH68" s="328" t="str">
        <f t="shared" ref="AH68" ca="1" si="112">IFERROR(IF(OR(AND(AD68="Muy Baja",AF68="Leve"),AND(AD68="Muy Baja",AF68="Menor"),AND(AD68="Baja",AF68="Leve")),"Bajo",IF(OR(AND(AD68="Muy baja",AF68="Moderado"),AND(AD68="Baja",AF68="Menor"),AND(AD68="Baja",AF68="Moderado"),AND(AD68="Media",AF68="Leve"),AND(AD68="Media",AF68="Menor"),AND(AD68="Media",AF68="Moderado"),AND(AD68="Alta",AF68="Leve"),AND(AD68="Alta",AF68="Menor")),"Moderado",IF(OR(AND(AD68="Muy Baja",AF68="Mayor"),AND(AD68="Baja",AF68="Mayor"),AND(AD68="Media",AF68="Mayor"),AND(AD68="Alta",AF68="Moderado"),AND(AD68="Alta",AF68="Mayor"),AND(AD68="Muy Alta",AF68="Leve"),AND(AD68="Muy Alta",AF68="Menor"),AND(AD68="Muy Alta",AF68="Moderado"),AND(AD68="Muy Alta",AF68="Mayor")),"Alto",IF(OR(AND(AD68="Muy Baja",AF68="Catastrófico"),AND(AD68="Baja",AF68="Catastrófico"),AND(AD68="Media",AF68="Catastrófico"),AND(AD68="Alta",AF68="Catastrófico"),AND(AD68="Muy Alta",AF68="Catastrófico")),"Extremo","")))),"")</f>
        <v>Extremo</v>
      </c>
      <c r="AI68" s="323" t="s">
        <v>26</v>
      </c>
      <c r="AJ68" s="249">
        <v>1</v>
      </c>
      <c r="AK68" s="249">
        <v>1</v>
      </c>
      <c r="AL68" s="249">
        <v>0</v>
      </c>
      <c r="AM68" s="249">
        <v>0</v>
      </c>
      <c r="AN68" s="278"/>
      <c r="AO68" s="277"/>
      <c r="AP68" s="277"/>
      <c r="AQ68" s="276"/>
      <c r="AR68" s="263"/>
      <c r="AS68" s="277"/>
      <c r="AT68" s="293"/>
      <c r="AU68" s="293"/>
      <c r="AV68" s="293"/>
      <c r="AW68" s="293"/>
      <c r="AX68" s="293"/>
      <c r="AY68" s="293"/>
      <c r="AZ68" s="293"/>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row>
    <row r="69" spans="1:78" s="295" customFormat="1" ht="4.5" customHeight="1" x14ac:dyDescent="0.2">
      <c r="A69" s="458"/>
      <c r="B69" s="451"/>
      <c r="C69" s="452"/>
      <c r="D69" s="453"/>
      <c r="E69" s="454"/>
      <c r="F69" s="454"/>
      <c r="G69" s="446"/>
      <c r="H69" s="446"/>
      <c r="I69" s="446"/>
      <c r="J69" s="446"/>
      <c r="K69" s="457"/>
      <c r="L69" s="447"/>
      <c r="M69" s="445"/>
      <c r="N69" s="455"/>
      <c r="O69" s="285">
        <f ca="1">IF(NOT(ISERROR(MATCH(N69,_xlfn.ANCHORARRAY(H20),0))),M22&amp;"Por favor no seleccionar los criterios de impacto",N69)</f>
        <v>0</v>
      </c>
      <c r="P69" s="447"/>
      <c r="Q69" s="445"/>
      <c r="R69" s="459"/>
      <c r="S69" s="248">
        <v>3</v>
      </c>
      <c r="T69" s="332"/>
      <c r="U69" s="245"/>
      <c r="V69" s="322"/>
      <c r="W69" s="323"/>
      <c r="X69" s="323"/>
      <c r="Y69" s="324"/>
      <c r="Z69" s="323"/>
      <c r="AA69" s="323"/>
      <c r="AB69" s="323"/>
      <c r="AC69" s="325"/>
      <c r="AD69" s="326"/>
      <c r="AE69" s="324"/>
      <c r="AF69" s="326"/>
      <c r="AG69" s="324"/>
      <c r="AH69" s="328"/>
      <c r="AI69" s="323"/>
      <c r="AJ69" s="249"/>
      <c r="AK69" s="249"/>
      <c r="AL69" s="249"/>
      <c r="AM69" s="249"/>
      <c r="AN69" s="278"/>
      <c r="AO69" s="277"/>
      <c r="AP69" s="277"/>
      <c r="AQ69" s="276"/>
      <c r="AR69" s="263"/>
      <c r="AS69" s="277"/>
      <c r="AT69" s="293"/>
      <c r="AU69" s="293"/>
      <c r="AV69" s="293"/>
      <c r="AW69" s="293"/>
      <c r="AX69" s="293"/>
      <c r="AY69" s="293"/>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row>
    <row r="70" spans="1:78" s="295" customFormat="1" ht="4.5" customHeight="1" x14ac:dyDescent="0.2">
      <c r="A70" s="458"/>
      <c r="B70" s="451"/>
      <c r="C70" s="452"/>
      <c r="D70" s="453"/>
      <c r="E70" s="454"/>
      <c r="F70" s="454"/>
      <c r="G70" s="446"/>
      <c r="H70" s="446"/>
      <c r="I70" s="446"/>
      <c r="J70" s="446"/>
      <c r="K70" s="457"/>
      <c r="L70" s="447"/>
      <c r="M70" s="445"/>
      <c r="N70" s="455"/>
      <c r="O70" s="285">
        <f ca="1">IF(NOT(ISERROR(MATCH(N70,_xlfn.ANCHORARRAY(H21),0))),M23&amp;"Por favor no seleccionar los criterios de impacto",N70)</f>
        <v>0</v>
      </c>
      <c r="P70" s="447"/>
      <c r="Q70" s="445"/>
      <c r="R70" s="459"/>
      <c r="S70" s="248">
        <v>4</v>
      </c>
      <c r="T70" s="330"/>
      <c r="U70" s="245"/>
      <c r="V70" s="322" t="str">
        <f t="shared" ref="V70:V72" si="113">IF(OR(W70="Preventivo",W70="Detectivo"),"Probabilidad",IF(W70="Correctivo","Impacto",""))</f>
        <v/>
      </c>
      <c r="W70" s="323"/>
      <c r="X70" s="323"/>
      <c r="Y70" s="324" t="str">
        <f t="shared" ref="Y70:Y72" si="114">IF(AND(W70="Preventivo",X70="Automático"),"50%",IF(AND(W70="Preventivo",X70="Manual"),"40%",IF(AND(W70="Detectivo",X70="Automático"),"40%",IF(AND(W70="Detectivo",X70="Manual"),"30%",IF(AND(W70="Correctivo",X70="Automático"),"35%",IF(AND(W70="Correctivo",X70="Manual"),"25%",""))))))</f>
        <v/>
      </c>
      <c r="Z70" s="323"/>
      <c r="AA70" s="323"/>
      <c r="AB70" s="323"/>
      <c r="AC70" s="325" t="str">
        <f t="shared" ref="AC70:AC72" si="115">IFERROR(IF(AND(V69="Probabilidad",V70="Probabilidad"),(AE69-(+AE69*Y70)),IF(AND(V69="Impacto",V70="Probabilidad"),(AE68-(+AE68*Y70)),IF(V70="Impacto",AE69,""))),"")</f>
        <v/>
      </c>
      <c r="AD70" s="326" t="str">
        <f t="shared" si="110"/>
        <v/>
      </c>
      <c r="AE70" s="324" t="str">
        <f t="shared" ref="AE70:AE72" si="116">+AC70</f>
        <v/>
      </c>
      <c r="AF70" s="326" t="str">
        <f t="shared" si="111"/>
        <v/>
      </c>
      <c r="AG70" s="324" t="str">
        <f t="shared" ref="AG70:AG72" si="117">IFERROR(IF(AND(V69="Impacto",V70="Impacto"),(AG69-(+AG69*Y70)),IF(V70="Impacto",($Q$67-(+$Q$67*Y70)),IF(V70="Probabilidad",AG69,""))),"")</f>
        <v/>
      </c>
      <c r="AH70" s="328" t="str">
        <f>IFERROR(IF(OR(AND(AD70="Muy Baja",AF70="Leve"),AND(AD70="Muy Baja",AF70="Menor"),AND(AD70="Baja",AF70="Leve")),"Bajo",IF(OR(AND(AD70="Muy baja",AF70="Moderado"),AND(AD70="Baja",AF70="Menor"),AND(AD70="Baja",AF70="Moderado"),AND(AD70="Media",AF70="Leve"),AND(AD70="Media",AF70="Menor"),AND(AD70="Media",AF70="Moderado"),AND(AD70="Alta",AF70="Leve"),AND(AD70="Alta",AF70="Menor")),"Moderado",IF(OR(AND(AD70="Muy Baja",AF70="Mayor"),AND(AD70="Baja",AF70="Mayor"),AND(AD70="Media",AF70="Mayor"),AND(AD70="Alta",AF70="Moderado"),AND(AD70="Alta",AF70="Mayor"),AND(AD70="Muy Alta",AF70="Leve"),AND(AD70="Muy Alta",AF70="Menor"),AND(AD70="Muy Alta",AF70="Moderado"),AND(AD70="Muy Alta",AF70="Mayor")),"Alto",IF(OR(AND(AD70="Muy Baja",AF70="Catastrófico"),AND(AD70="Baja",AF70="Catastrófico"),AND(AD70="Media",AF70="Catastrófico"),AND(AD70="Alta",AF70="Catastrófico"),AND(AD70="Muy Alta",AF70="Catastrófico")),"Extremo","")))),"")</f>
        <v/>
      </c>
      <c r="AI70" s="323"/>
      <c r="AJ70" s="249"/>
      <c r="AK70" s="249"/>
      <c r="AL70" s="249"/>
      <c r="AM70" s="249"/>
      <c r="AN70" s="278"/>
      <c r="AO70" s="209"/>
      <c r="AP70" s="209"/>
      <c r="AQ70" s="244"/>
      <c r="AR70" s="263"/>
      <c r="AS70" s="209"/>
      <c r="AT70" s="293"/>
      <c r="AU70" s="293"/>
      <c r="AV70" s="293"/>
      <c r="AW70" s="293"/>
      <c r="AX70" s="293"/>
      <c r="AY70" s="293"/>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row>
    <row r="71" spans="1:78" s="295" customFormat="1" ht="4.5" customHeight="1" x14ac:dyDescent="0.2">
      <c r="A71" s="458"/>
      <c r="B71" s="451"/>
      <c r="C71" s="452"/>
      <c r="D71" s="453"/>
      <c r="E71" s="454"/>
      <c r="F71" s="454"/>
      <c r="G71" s="446"/>
      <c r="H71" s="446"/>
      <c r="I71" s="446"/>
      <c r="J71" s="446"/>
      <c r="K71" s="457"/>
      <c r="L71" s="447"/>
      <c r="M71" s="445"/>
      <c r="N71" s="455"/>
      <c r="O71" s="285">
        <f ca="1">IF(NOT(ISERROR(MATCH(N71,_xlfn.ANCHORARRAY(H22),0))),M24&amp;"Por favor no seleccionar los criterios de impacto",N71)</f>
        <v>0</v>
      </c>
      <c r="P71" s="447"/>
      <c r="Q71" s="445"/>
      <c r="R71" s="459"/>
      <c r="S71" s="248">
        <v>5</v>
      </c>
      <c r="T71" s="330"/>
      <c r="U71" s="245"/>
      <c r="V71" s="322" t="str">
        <f t="shared" si="113"/>
        <v/>
      </c>
      <c r="W71" s="323"/>
      <c r="X71" s="323"/>
      <c r="Y71" s="324" t="str">
        <f t="shared" si="114"/>
        <v/>
      </c>
      <c r="Z71" s="323"/>
      <c r="AA71" s="323"/>
      <c r="AB71" s="323"/>
      <c r="AC71" s="325" t="str">
        <f t="shared" si="115"/>
        <v/>
      </c>
      <c r="AD71" s="326" t="str">
        <f t="shared" si="110"/>
        <v/>
      </c>
      <c r="AE71" s="324" t="str">
        <f t="shared" si="116"/>
        <v/>
      </c>
      <c r="AF71" s="326" t="str">
        <f t="shared" si="111"/>
        <v/>
      </c>
      <c r="AG71" s="324" t="str">
        <f t="shared" si="117"/>
        <v/>
      </c>
      <c r="AH71" s="328" t="str">
        <f t="shared" ref="AH71:AH72" si="118">IFERROR(IF(OR(AND(AD71="Muy Baja",AF71="Leve"),AND(AD71="Muy Baja",AF71="Menor"),AND(AD71="Baja",AF71="Leve")),"Bajo",IF(OR(AND(AD71="Muy baja",AF71="Moderado"),AND(AD71="Baja",AF71="Menor"),AND(AD71="Baja",AF71="Moderado"),AND(AD71="Media",AF71="Leve"),AND(AD71="Media",AF71="Menor"),AND(AD71="Media",AF71="Moderado"),AND(AD71="Alta",AF71="Leve"),AND(AD71="Alta",AF71="Menor")),"Moderado",IF(OR(AND(AD71="Muy Baja",AF71="Mayor"),AND(AD71="Baja",AF71="Mayor"),AND(AD71="Media",AF71="Mayor"),AND(AD71="Alta",AF71="Moderado"),AND(AD71="Alta",AF71="Mayor"),AND(AD71="Muy Alta",AF71="Leve"),AND(AD71="Muy Alta",AF71="Menor"),AND(AD71="Muy Alta",AF71="Moderado"),AND(AD71="Muy Alta",AF71="Mayor")),"Alto",IF(OR(AND(AD71="Muy Baja",AF71="Catastrófico"),AND(AD71="Baja",AF71="Catastrófico"),AND(AD71="Media",AF71="Catastrófico"),AND(AD71="Alta",AF71="Catastrófico"),AND(AD71="Muy Alta",AF71="Catastrófico")),"Extremo","")))),"")</f>
        <v/>
      </c>
      <c r="AI71" s="323"/>
      <c r="AJ71" s="249"/>
      <c r="AK71" s="249"/>
      <c r="AL71" s="249"/>
      <c r="AM71" s="249"/>
      <c r="AN71" s="278"/>
      <c r="AO71" s="276"/>
      <c r="AP71" s="276"/>
      <c r="AQ71" s="278"/>
      <c r="AR71" s="211"/>
      <c r="AS71" s="211"/>
      <c r="AT71" s="293"/>
      <c r="AU71" s="293"/>
      <c r="AV71" s="293"/>
      <c r="AW71" s="293"/>
      <c r="AX71" s="293"/>
      <c r="AY71" s="293"/>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row>
    <row r="72" spans="1:78" s="295" customFormat="1" ht="4.5" customHeight="1" x14ac:dyDescent="0.2">
      <c r="A72" s="458"/>
      <c r="B72" s="451"/>
      <c r="C72" s="452"/>
      <c r="D72" s="453"/>
      <c r="E72" s="454"/>
      <c r="F72" s="454"/>
      <c r="G72" s="446"/>
      <c r="H72" s="446"/>
      <c r="I72" s="446"/>
      <c r="J72" s="446"/>
      <c r="K72" s="457"/>
      <c r="L72" s="447"/>
      <c r="M72" s="445"/>
      <c r="N72" s="455"/>
      <c r="O72" s="285">
        <f ca="1">IF(NOT(ISERROR(MATCH(N72,_xlfn.ANCHORARRAY(H23),0))),#REF!&amp;"Por favor no seleccionar los criterios de impacto",N72)</f>
        <v>0</v>
      </c>
      <c r="P72" s="447"/>
      <c r="Q72" s="445"/>
      <c r="R72" s="459"/>
      <c r="S72" s="248">
        <v>6</v>
      </c>
      <c r="T72" s="330"/>
      <c r="U72" s="245"/>
      <c r="V72" s="322" t="str">
        <f t="shared" si="113"/>
        <v/>
      </c>
      <c r="W72" s="323"/>
      <c r="X72" s="323"/>
      <c r="Y72" s="324" t="str">
        <f t="shared" si="114"/>
        <v/>
      </c>
      <c r="Z72" s="323"/>
      <c r="AA72" s="323"/>
      <c r="AB72" s="323"/>
      <c r="AC72" s="325" t="str">
        <f t="shared" si="115"/>
        <v/>
      </c>
      <c r="AD72" s="326" t="str">
        <f t="shared" si="110"/>
        <v/>
      </c>
      <c r="AE72" s="324" t="str">
        <f t="shared" si="116"/>
        <v/>
      </c>
      <c r="AF72" s="326" t="str">
        <f t="shared" si="111"/>
        <v/>
      </c>
      <c r="AG72" s="324" t="str">
        <f t="shared" si="117"/>
        <v/>
      </c>
      <c r="AH72" s="328" t="str">
        <f t="shared" si="118"/>
        <v/>
      </c>
      <c r="AI72" s="323"/>
      <c r="AJ72" s="249"/>
      <c r="AK72" s="249"/>
      <c r="AL72" s="249"/>
      <c r="AM72" s="249"/>
      <c r="AN72" s="278"/>
      <c r="AO72" s="276"/>
      <c r="AP72" s="276"/>
      <c r="AQ72" s="278"/>
      <c r="AR72" s="211"/>
      <c r="AS72" s="211"/>
      <c r="AT72" s="293"/>
      <c r="AU72" s="293"/>
      <c r="AV72" s="293"/>
      <c r="AW72" s="293"/>
      <c r="AX72" s="293"/>
      <c r="AY72" s="293"/>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row>
    <row r="73" spans="1:78" s="294" customFormat="1" ht="185.25" x14ac:dyDescent="0.2">
      <c r="A73" s="458" t="s">
        <v>702</v>
      </c>
      <c r="B73" s="451" t="s">
        <v>830</v>
      </c>
      <c r="C73" s="452" t="s">
        <v>596</v>
      </c>
      <c r="D73" s="453" t="s">
        <v>618</v>
      </c>
      <c r="E73" s="454" t="s">
        <v>109</v>
      </c>
      <c r="F73" s="454" t="s">
        <v>961</v>
      </c>
      <c r="G73" s="446" t="s">
        <v>675</v>
      </c>
      <c r="H73" s="456" t="s">
        <v>942</v>
      </c>
      <c r="I73" s="446" t="s">
        <v>654</v>
      </c>
      <c r="J73" s="446" t="s">
        <v>943</v>
      </c>
      <c r="K73" s="457">
        <v>4650</v>
      </c>
      <c r="L73" s="447" t="str">
        <f t="shared" ref="L73" si="119">IF(K73&lt;=0,"",IF(K73&lt;=2,"Muy Baja",IF(K73&lt;=24,"Baja",IF(K73&lt;=500,"Media",IF(K73&lt;=5000,"Alta","Muy Alta")))))</f>
        <v>Alta</v>
      </c>
      <c r="M73" s="445">
        <f>IF(L73="","",IF(L73="Muy Baja",0.2,IF(L73="Baja",0.4,IF(L73="Media",0.6,IF(L73="Alta",0.8,IF(L73="Muy Alta",1,))))))</f>
        <v>0.8</v>
      </c>
      <c r="N73" s="455" t="s">
        <v>116</v>
      </c>
      <c r="O73" s="285" t="str">
        <f ca="1">IF(NOT(ISERROR(MATCH(N73,'Tabla Impacto'!$B$221:$B$223,0))),'Tabla Impacto'!$F$223&amp;"Por favor no seleccionar los criterios de impacto(Afectación Económica o presupuestal y Pérdida Reputacional)",N73)</f>
        <v xml:space="preserve">     Entre 10 y 50 SMLMV </v>
      </c>
      <c r="P73" s="447" t="str">
        <f ca="1">IF(OR(O73='Tabla Impacto'!$C$11,O73='Tabla Impacto'!$D$11),"Leve",IF(OR(O73='Tabla Impacto'!$C$12,O73='Tabla Impacto'!$D$12),"Menor",IF(OR(O73='Tabla Impacto'!$C$13,O73='Tabla Impacto'!$D$13),"Moderado",IF(OR(O73='Tabla Impacto'!$C$14,O73='Tabla Impacto'!$D$14),"Mayor",IF(OR(O73='Tabla Impacto'!$C$15,O73='Tabla Impacto'!$D$15),"Catastrófico","")))))</f>
        <v>Menor</v>
      </c>
      <c r="Q73" s="445">
        <f ca="1">IF(P73="","",IF(P73="Leve",0.2,IF(P73="Menor",0.4,IF(P73="Moderado",0.6,IF(P73="Mayor",0.8,IF(P73="Catastrófico",1,))))))</f>
        <v>0.4</v>
      </c>
      <c r="R73" s="459" t="str">
        <f ca="1">IF(OR(AND(L73="Muy Baja",P73="Leve"),AND(L73="Muy Baja",P73="Menor"),AND(L73="Baja",P73="Leve")),"Bajo",IF(OR(AND(L73="Muy baja",P73="Moderado"),AND(L73="Baja",P73="Menor"),AND(L73="Baja",P73="Moderado"),AND(L73="Media",P73="Leve"),AND(L73="Media",P73="Menor"),AND(L73="Media",P73="Moderado"),AND(L73="Alta",P73="Leve"),AND(L73="Alta",P73="Menor")),"Moderado",IF(OR(AND(L73="Muy Baja",P73="Mayor"),AND(L73="Baja",P73="Mayor"),AND(L73="Media",P73="Mayor"),AND(L73="Alta",P73="Moderado"),AND(L73="Alta",P73="Mayor"),AND(L73="Muy Alta",P73="Leve"),AND(L73="Muy Alta",P73="Menor"),AND(L73="Muy Alta",P73="Moderado"),AND(L73="Muy Alta",P73="Mayor")),"Alto",IF(OR(AND(L73="Muy Baja",P73="Catastrófico"),AND(L73="Baja",P73="Catastrófico"),AND(L73="Media",P73="Catastrófico"),AND(L73="Alta",P73="Catastrófico"),AND(L73="Muy Alta",P73="Catastrófico")),"Extremo",""))))</f>
        <v>Moderado</v>
      </c>
      <c r="S73" s="248">
        <v>1</v>
      </c>
      <c r="T73" s="321" t="s">
        <v>944</v>
      </c>
      <c r="U73" s="245" t="s">
        <v>293</v>
      </c>
      <c r="V73" s="322" t="str">
        <f>IF(OR(W73="Preventivo",W73="Detectivo"),"Probabilidad",IF(W73="Correctivo","Impacto",""))</f>
        <v>Probabilidad</v>
      </c>
      <c r="W73" s="323" t="s">
        <v>14</v>
      </c>
      <c r="X73" s="323" t="s">
        <v>8</v>
      </c>
      <c r="Y73" s="324" t="str">
        <f>IF(AND(W73="Preventivo",X73="Automático"),"50%",IF(AND(W73="Preventivo",X73="Manual"),"40%",IF(AND(W73="Detectivo",X73="Automático"),"40%",IF(AND(W73="Detectivo",X73="Manual"),"30%",IF(AND(W73="Correctivo",X73="Automático"),"35%",IF(AND(W73="Correctivo",X73="Manual"),"25%",""))))))</f>
        <v>30%</v>
      </c>
      <c r="Z73" s="323" t="s">
        <v>18</v>
      </c>
      <c r="AA73" s="323" t="s">
        <v>21</v>
      </c>
      <c r="AB73" s="323" t="s">
        <v>103</v>
      </c>
      <c r="AC73" s="325">
        <f t="shared" ref="AC73" si="120">IFERROR(IF(V73="Probabilidad",(M73-(+M73*Y73)),IF(V73="Impacto",M73,"")),"")</f>
        <v>0.56000000000000005</v>
      </c>
      <c r="AD73" s="326" t="str">
        <f>IFERROR(IF(AC73="","",IF(AC73&lt;=0.2,"Muy Baja",IF(AC73&lt;=0.4,"Baja",IF(AC73&lt;=0.6,"Media",IF(AC73&lt;=0.8,"Alta","Muy Alta"))))),"")</f>
        <v>Media</v>
      </c>
      <c r="AE73" s="324">
        <f>+AC73</f>
        <v>0.56000000000000005</v>
      </c>
      <c r="AF73" s="326" t="str">
        <f ca="1">IFERROR(IF(AG73="","",IF(AG73&lt;=0.2,"Leve",IF(AG73&lt;=0.4,"Menor",IF(AG73&lt;=0.6,"Moderado",IF(AG73&lt;=0.8,"Mayor","Catastrófico"))))),"")</f>
        <v>Menor</v>
      </c>
      <c r="AG73" s="324">
        <f ca="1">IFERROR(IF(V73="Impacto",(Q73-(+Q73*Y73)),IF(V73="Probabilidad",Q73,"")),"")</f>
        <v>0.4</v>
      </c>
      <c r="AH73" s="328" t="str">
        <f ca="1">IFERROR(IF(OR(AND(AD73="Muy Baja",AF73="Leve"),AND(AD73="Muy Baja",AF73="Menor"),AND(AD73="Baja",AF73="Leve")),"Bajo",IF(OR(AND(AD73="Muy baja",AF73="Moderado"),AND(AD73="Baja",AF73="Menor"),AND(AD73="Baja",AF73="Moderado"),AND(AD73="Media",AF73="Leve"),AND(AD73="Media",AF73="Menor"),AND(AD73="Media",AF73="Moderado"),AND(AD73="Alta",AF73="Leve"),AND(AD73="Alta",AF73="Menor")),"Moderado",IF(OR(AND(AD73="Muy Baja",AF73="Mayor"),AND(AD73="Baja",AF73="Mayor"),AND(AD73="Media",AF73="Mayor"),AND(AD73="Alta",AF73="Moderado"),AND(AD73="Alta",AF73="Mayor"),AND(AD73="Muy Alta",AF73="Leve"),AND(AD73="Muy Alta",AF73="Menor"),AND(AD73="Muy Alta",AF73="Moderado"),AND(AD73="Muy Alta",AF73="Mayor")),"Alto",IF(OR(AND(AD73="Muy Baja",AF73="Catastrófico"),AND(AD73="Baja",AF73="Catastrófico"),AND(AD73="Media",AF73="Catastrófico"),AND(AD73="Alta",AF73="Catastrófico"),AND(AD73="Muy Alta",AF73="Catastrófico")),"Extremo","")))),"")</f>
        <v>Moderado</v>
      </c>
      <c r="AI73" s="323" t="s">
        <v>26</v>
      </c>
      <c r="AJ73" s="249">
        <v>2</v>
      </c>
      <c r="AK73" s="249">
        <v>0</v>
      </c>
      <c r="AL73" s="249">
        <v>1</v>
      </c>
      <c r="AM73" s="249">
        <v>1</v>
      </c>
      <c r="AN73" s="240"/>
      <c r="AO73" s="259"/>
      <c r="AP73" s="259"/>
      <c r="AQ73" s="239"/>
      <c r="AR73" s="264"/>
      <c r="AS73" s="265"/>
      <c r="AT73" s="293"/>
      <c r="AU73" s="293"/>
      <c r="AV73" s="293"/>
      <c r="AW73" s="293"/>
      <c r="AX73" s="293"/>
      <c r="AY73" s="29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row>
    <row r="74" spans="1:78" s="295" customFormat="1" ht="174" customHeight="1" x14ac:dyDescent="0.2">
      <c r="A74" s="458"/>
      <c r="B74" s="451"/>
      <c r="C74" s="452"/>
      <c r="D74" s="453"/>
      <c r="E74" s="454"/>
      <c r="F74" s="454"/>
      <c r="G74" s="446"/>
      <c r="H74" s="456"/>
      <c r="I74" s="446"/>
      <c r="J74" s="446"/>
      <c r="K74" s="457"/>
      <c r="L74" s="447"/>
      <c r="M74" s="445"/>
      <c r="N74" s="455"/>
      <c r="O74" s="285">
        <f ca="1">IF(NOT(ISERROR(MATCH(N74,_xlfn.ANCHORARRAY(#REF!),0))),#REF!&amp;"Por favor no seleccionar los criterios de impacto",N74)</f>
        <v>0</v>
      </c>
      <c r="P74" s="447"/>
      <c r="Q74" s="445"/>
      <c r="R74" s="459"/>
      <c r="S74" s="248">
        <v>2</v>
      </c>
      <c r="T74" s="337" t="s">
        <v>945</v>
      </c>
      <c r="U74" s="245" t="s">
        <v>293</v>
      </c>
      <c r="V74" s="322" t="str">
        <f>IF(OR(W74="Preventivo",W74="Detectivo"),"Probabilidad",IF(W74="Correctivo","Impacto",""))</f>
        <v>Probabilidad</v>
      </c>
      <c r="W74" s="323" t="s">
        <v>14</v>
      </c>
      <c r="X74" s="323" t="s">
        <v>8</v>
      </c>
      <c r="Y74" s="324" t="str">
        <f>IF(AND(W74="Preventivo",X74="Automático"),"50%",IF(AND(W74="Preventivo",X74="Manual"),"40%",IF(AND(W74="Detectivo",X74="Automático"),"40%",IF(AND(W74="Detectivo",X74="Manual"),"30%",IF(AND(W74="Correctivo",X74="Automático"),"35%",IF(AND(W74="Correctivo",X74="Manual"),"25%",""))))))</f>
        <v>30%</v>
      </c>
      <c r="Z74" s="323" t="s">
        <v>19</v>
      </c>
      <c r="AA74" s="323" t="s">
        <v>21</v>
      </c>
      <c r="AB74" s="323" t="s">
        <v>103</v>
      </c>
      <c r="AC74" s="325">
        <f t="shared" ref="AC74" si="121">IFERROR(IF(AND(V73="Probabilidad",V74="Probabilidad"),(AE73-(+AE73*Y74)),IF(V74="Probabilidad",(M73-(+M73*Y74)),IF(V74="Impacto",AE73,""))),"")</f>
        <v>0.39200000000000002</v>
      </c>
      <c r="AD74" s="326" t="str">
        <f t="shared" ref="AD74:AD78" si="122">IFERROR(IF(AC74="","",IF(AC74&lt;=0.2,"Muy Baja",IF(AC74&lt;=0.4,"Baja",IF(AC74&lt;=0.6,"Media",IF(AC74&lt;=0.8,"Alta","Muy Alta"))))),"")</f>
        <v>Baja</v>
      </c>
      <c r="AE74" s="324">
        <f>+AC74</f>
        <v>0.39200000000000002</v>
      </c>
      <c r="AF74" s="326" t="str">
        <f t="shared" ref="AF74:AF78" ca="1" si="123">IFERROR(IF(AG74="","",IF(AG74&lt;=0.2,"Leve",IF(AG74&lt;=0.4,"Menor",IF(AG74&lt;=0.6,"Moderado",IF(AG74&lt;=0.8,"Mayor","Catastrófico"))))),"")</f>
        <v>Menor</v>
      </c>
      <c r="AG74" s="324">
        <f ca="1">IFERROR(IF(AND(V73="Impacto",V74="Impacto"),(AG73-(+AG73*Y74)),IF(V74="Impacto",($Q$73-(+$Q$73*Y74)),IF(V74="Probabilidad",AG73,""))),"")</f>
        <v>0.4</v>
      </c>
      <c r="AH74" s="328" t="str">
        <f t="shared" ref="AH74:AH75" ca="1" si="124">IFERROR(IF(OR(AND(AD74="Muy Baja",AF74="Leve"),AND(AD74="Muy Baja",AF74="Menor"),AND(AD74="Baja",AF74="Leve")),"Bajo",IF(OR(AND(AD74="Muy baja",AF74="Moderado"),AND(AD74="Baja",AF74="Menor"),AND(AD74="Baja",AF74="Moderado"),AND(AD74="Media",AF74="Leve"),AND(AD74="Media",AF74="Menor"),AND(AD74="Media",AF74="Moderado"),AND(AD74="Alta",AF74="Leve"),AND(AD74="Alta",AF74="Menor")),"Moderado",IF(OR(AND(AD74="Muy Baja",AF74="Mayor"),AND(AD74="Baja",AF74="Mayor"),AND(AD74="Media",AF74="Mayor"),AND(AD74="Alta",AF74="Moderado"),AND(AD74="Alta",AF74="Mayor"),AND(AD74="Muy Alta",AF74="Leve"),AND(AD74="Muy Alta",AF74="Menor"),AND(AD74="Muy Alta",AF74="Moderado"),AND(AD74="Muy Alta",AF74="Mayor")),"Alto",IF(OR(AND(AD74="Muy Baja",AF74="Catastrófico"),AND(AD74="Baja",AF74="Catastrófico"),AND(AD74="Media",AF74="Catastrófico"),AND(AD74="Alta",AF74="Catastrófico"),AND(AD74="Muy Alta",AF74="Catastrófico")),"Extremo","")))),"")</f>
        <v>Moderado</v>
      </c>
      <c r="AI74" s="323" t="s">
        <v>26</v>
      </c>
      <c r="AJ74" s="249">
        <v>0</v>
      </c>
      <c r="AK74" s="249">
        <v>0</v>
      </c>
      <c r="AL74" s="249">
        <v>0</v>
      </c>
      <c r="AM74" s="249">
        <v>0</v>
      </c>
      <c r="AN74" s="278"/>
      <c r="AO74" s="277"/>
      <c r="AP74" s="277"/>
      <c r="AQ74" s="276"/>
      <c r="AR74" s="263"/>
      <c r="AS74" s="277"/>
      <c r="AT74" s="293"/>
      <c r="AU74" s="293"/>
      <c r="AV74" s="293"/>
      <c r="AW74" s="293"/>
      <c r="AX74" s="293"/>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c r="BW74" s="293"/>
      <c r="BX74" s="293"/>
      <c r="BY74" s="293"/>
      <c r="BZ74" s="293"/>
    </row>
    <row r="75" spans="1:78" s="295" customFormat="1" ht="6.75" customHeight="1" x14ac:dyDescent="0.2">
      <c r="A75" s="458"/>
      <c r="B75" s="451"/>
      <c r="C75" s="452"/>
      <c r="D75" s="453"/>
      <c r="E75" s="454"/>
      <c r="F75" s="454"/>
      <c r="G75" s="446"/>
      <c r="H75" s="456"/>
      <c r="I75" s="446"/>
      <c r="J75" s="446"/>
      <c r="K75" s="457"/>
      <c r="L75" s="447"/>
      <c r="M75" s="445"/>
      <c r="N75" s="455"/>
      <c r="O75" s="285">
        <f ca="1">IF(NOT(ISERROR(MATCH(N75,_xlfn.ANCHORARRAY(#REF!),0))),#REF!&amp;"Por favor no seleccionar los criterios de impacto",N75)</f>
        <v>0</v>
      </c>
      <c r="P75" s="447"/>
      <c r="Q75" s="445"/>
      <c r="R75" s="459"/>
      <c r="S75" s="248">
        <v>3</v>
      </c>
      <c r="T75" s="330"/>
      <c r="U75" s="245"/>
      <c r="V75" s="322" t="str">
        <f>IF(OR(W75="Preventivo",W75="Detectivo"),"Probabilidad",IF(W75="Correctivo","Impacto",""))</f>
        <v/>
      </c>
      <c r="W75" s="323"/>
      <c r="X75" s="323"/>
      <c r="Y75" s="324" t="str">
        <f>IF(AND(W75="Preventivo",X75="Automático"),"50%",IF(AND(W75="Preventivo",X75="Manual"),"40%",IF(AND(W75="Detectivo",X75="Automático"),"40%",IF(AND(W75="Detectivo",X75="Manual"),"30%",IF(AND(W75="Correctivo",X75="Automático"),"35%",IF(AND(W75="Correctivo",X75="Manual"),"25%",""))))))</f>
        <v/>
      </c>
      <c r="Z75" s="323"/>
      <c r="AA75" s="323"/>
      <c r="AB75" s="323"/>
      <c r="AC75" s="325" t="str">
        <f t="shared" ref="AC75:AC78" si="125">IFERROR(IF(AND(V74="Probabilidad",V75="Probabilidad"),(AE74-(+AE74*Y75)),IF(AND(V74="Impacto",V75="Probabilidad"),(AE73-(+AE73*Y75)),IF(V75="Impacto",AE74,""))),"")</f>
        <v/>
      </c>
      <c r="AD75" s="326" t="str">
        <f t="shared" si="122"/>
        <v/>
      </c>
      <c r="AE75" s="324" t="str">
        <f t="shared" ref="AE75:AE78" si="126">+AC75</f>
        <v/>
      </c>
      <c r="AF75" s="326" t="str">
        <f t="shared" si="123"/>
        <v/>
      </c>
      <c r="AG75" s="324" t="str">
        <f>IFERROR(IF(AND(V74="Impacto",V75="Impacto"),(AG74-(+AG74*Y75)),IF(V75="Impacto",($Q$73-(+$Q$73*Y75)),IF(V75="Probabilidad",AG74,""))),"")</f>
        <v/>
      </c>
      <c r="AH75" s="328" t="str">
        <f t="shared" si="124"/>
        <v/>
      </c>
      <c r="AI75" s="323"/>
      <c r="AJ75" s="249"/>
      <c r="AK75" s="249"/>
      <c r="AL75" s="249"/>
      <c r="AM75" s="249"/>
      <c r="AN75" s="278"/>
      <c r="AO75" s="277"/>
      <c r="AP75" s="277"/>
      <c r="AQ75" s="276"/>
      <c r="AR75" s="263"/>
      <c r="AS75" s="277"/>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row>
    <row r="76" spans="1:78" s="295" customFormat="1" ht="6.75" customHeight="1" x14ac:dyDescent="0.2">
      <c r="A76" s="458"/>
      <c r="B76" s="451"/>
      <c r="C76" s="452"/>
      <c r="D76" s="453"/>
      <c r="E76" s="454"/>
      <c r="F76" s="454"/>
      <c r="G76" s="446"/>
      <c r="H76" s="456"/>
      <c r="I76" s="446"/>
      <c r="J76" s="446"/>
      <c r="K76" s="457"/>
      <c r="L76" s="447"/>
      <c r="M76" s="445"/>
      <c r="N76" s="455"/>
      <c r="O76" s="285">
        <f ca="1">IF(NOT(ISERROR(MATCH(N76,_xlfn.ANCHORARRAY(#REF!),0))),#REF!&amp;"Por favor no seleccionar los criterios de impacto",N76)</f>
        <v>0</v>
      </c>
      <c r="P76" s="447"/>
      <c r="Q76" s="445"/>
      <c r="R76" s="459"/>
      <c r="S76" s="248">
        <v>4</v>
      </c>
      <c r="T76" s="330"/>
      <c r="U76" s="245"/>
      <c r="V76" s="322" t="str">
        <f t="shared" ref="V76:V78" si="127">IF(OR(W76="Preventivo",W76="Detectivo"),"Probabilidad",IF(W76="Correctivo","Impacto",""))</f>
        <v/>
      </c>
      <c r="W76" s="323"/>
      <c r="X76" s="323"/>
      <c r="Y76" s="324" t="str">
        <f t="shared" ref="Y76:Y78" si="128">IF(AND(W76="Preventivo",X76="Automático"),"50%",IF(AND(W76="Preventivo",X76="Manual"),"40%",IF(AND(W76="Detectivo",X76="Automático"),"40%",IF(AND(W76="Detectivo",X76="Manual"),"30%",IF(AND(W76="Correctivo",X76="Automático"),"35%",IF(AND(W76="Correctivo",X76="Manual"),"25%",""))))))</f>
        <v/>
      </c>
      <c r="Z76" s="323"/>
      <c r="AA76" s="323"/>
      <c r="AB76" s="323"/>
      <c r="AC76" s="325" t="str">
        <f t="shared" si="125"/>
        <v/>
      </c>
      <c r="AD76" s="326" t="str">
        <f t="shared" si="122"/>
        <v/>
      </c>
      <c r="AE76" s="324" t="str">
        <f t="shared" si="126"/>
        <v/>
      </c>
      <c r="AF76" s="326" t="str">
        <f t="shared" si="123"/>
        <v/>
      </c>
      <c r="AG76" s="324" t="str">
        <f t="shared" ref="AG76:AG78" si="129">IFERROR(IF(AND(V75="Impacto",V76="Impacto"),(AG75-(+AG75*Y76)),IF(V76="Impacto",($Q$73-(+$Q$73*Y76)),IF(V76="Probabilidad",AG75,""))),"")</f>
        <v/>
      </c>
      <c r="AH76" s="328" t="str">
        <f>IFERROR(IF(OR(AND(AD76="Muy Baja",AF76="Leve"),AND(AD76="Muy Baja",AF76="Menor"),AND(AD76="Baja",AF76="Leve")),"Bajo",IF(OR(AND(AD76="Muy baja",AF76="Moderado"),AND(AD76="Baja",AF76="Menor"),AND(AD76="Baja",AF76="Moderado"),AND(AD76="Media",AF76="Leve"),AND(AD76="Media",AF76="Menor"),AND(AD76="Media",AF76="Moderado"),AND(AD76="Alta",AF76="Leve"),AND(AD76="Alta",AF76="Menor")),"Moderado",IF(OR(AND(AD76="Muy Baja",AF76="Mayor"),AND(AD76="Baja",AF76="Mayor"),AND(AD76="Media",AF76="Mayor"),AND(AD76="Alta",AF76="Moderado"),AND(AD76="Alta",AF76="Mayor"),AND(AD76="Muy Alta",AF76="Leve"),AND(AD76="Muy Alta",AF76="Menor"),AND(AD76="Muy Alta",AF76="Moderado"),AND(AD76="Muy Alta",AF76="Mayor")),"Alto",IF(OR(AND(AD76="Muy Baja",AF76="Catastrófico"),AND(AD76="Baja",AF76="Catastrófico"),AND(AD76="Media",AF76="Catastrófico"),AND(AD76="Alta",AF76="Catastrófico"),AND(AD76="Muy Alta",AF76="Catastrófico")),"Extremo","")))),"")</f>
        <v/>
      </c>
      <c r="AI76" s="323"/>
      <c r="AJ76" s="249"/>
      <c r="AK76" s="249"/>
      <c r="AL76" s="249"/>
      <c r="AM76" s="249"/>
      <c r="AN76" s="278"/>
      <c r="AO76" s="209"/>
      <c r="AP76" s="209"/>
      <c r="AQ76" s="244"/>
      <c r="AR76" s="263"/>
      <c r="AS76" s="209"/>
      <c r="AT76" s="293"/>
      <c r="AU76" s="293"/>
      <c r="AV76" s="293"/>
      <c r="AW76" s="293"/>
      <c r="AX76" s="293"/>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c r="BW76" s="293"/>
      <c r="BX76" s="293"/>
      <c r="BY76" s="293"/>
      <c r="BZ76" s="293"/>
    </row>
    <row r="77" spans="1:78" s="295" customFormat="1" ht="6.75" customHeight="1" x14ac:dyDescent="0.2">
      <c r="A77" s="458"/>
      <c r="B77" s="451"/>
      <c r="C77" s="452"/>
      <c r="D77" s="453"/>
      <c r="E77" s="454"/>
      <c r="F77" s="454"/>
      <c r="G77" s="446"/>
      <c r="H77" s="456"/>
      <c r="I77" s="446"/>
      <c r="J77" s="446"/>
      <c r="K77" s="457"/>
      <c r="L77" s="447"/>
      <c r="M77" s="445"/>
      <c r="N77" s="455"/>
      <c r="O77" s="285">
        <f ca="1">IF(NOT(ISERROR(MATCH(N77,_xlfn.ANCHORARRAY(#REF!),0))),#REF!&amp;"Por favor no seleccionar los criterios de impacto",N77)</f>
        <v>0</v>
      </c>
      <c r="P77" s="447"/>
      <c r="Q77" s="445"/>
      <c r="R77" s="459"/>
      <c r="S77" s="248">
        <v>5</v>
      </c>
      <c r="T77" s="330"/>
      <c r="U77" s="245"/>
      <c r="V77" s="322" t="str">
        <f t="shared" si="127"/>
        <v/>
      </c>
      <c r="W77" s="323"/>
      <c r="X77" s="323"/>
      <c r="Y77" s="324" t="str">
        <f t="shared" si="128"/>
        <v/>
      </c>
      <c r="Z77" s="323"/>
      <c r="AA77" s="323"/>
      <c r="AB77" s="323"/>
      <c r="AC77" s="325" t="str">
        <f t="shared" si="125"/>
        <v/>
      </c>
      <c r="AD77" s="326" t="str">
        <f t="shared" si="122"/>
        <v/>
      </c>
      <c r="AE77" s="324" t="str">
        <f t="shared" si="126"/>
        <v/>
      </c>
      <c r="AF77" s="326" t="str">
        <f t="shared" si="123"/>
        <v/>
      </c>
      <c r="AG77" s="324" t="str">
        <f t="shared" si="129"/>
        <v/>
      </c>
      <c r="AH77" s="328" t="str">
        <f t="shared" ref="AH77:AH78" si="130">IFERROR(IF(OR(AND(AD77="Muy Baja",AF77="Leve"),AND(AD77="Muy Baja",AF77="Menor"),AND(AD77="Baja",AF77="Leve")),"Bajo",IF(OR(AND(AD77="Muy baja",AF77="Moderado"),AND(AD77="Baja",AF77="Menor"),AND(AD77="Baja",AF77="Moderado"),AND(AD77="Media",AF77="Leve"),AND(AD77="Media",AF77="Menor"),AND(AD77="Media",AF77="Moderado"),AND(AD77="Alta",AF77="Leve"),AND(AD77="Alta",AF77="Menor")),"Moderado",IF(OR(AND(AD77="Muy Baja",AF77="Mayor"),AND(AD77="Baja",AF77="Mayor"),AND(AD77="Media",AF77="Mayor"),AND(AD77="Alta",AF77="Moderado"),AND(AD77="Alta",AF77="Mayor"),AND(AD77="Muy Alta",AF77="Leve"),AND(AD77="Muy Alta",AF77="Menor"),AND(AD77="Muy Alta",AF77="Moderado"),AND(AD77="Muy Alta",AF77="Mayor")),"Alto",IF(OR(AND(AD77="Muy Baja",AF77="Catastrófico"),AND(AD77="Baja",AF77="Catastrófico"),AND(AD77="Media",AF77="Catastrófico"),AND(AD77="Alta",AF77="Catastrófico"),AND(AD77="Muy Alta",AF77="Catastrófico")),"Extremo","")))),"")</f>
        <v/>
      </c>
      <c r="AI77" s="323"/>
      <c r="AJ77" s="249"/>
      <c r="AK77" s="249"/>
      <c r="AL77" s="249"/>
      <c r="AM77" s="249"/>
      <c r="AN77" s="278"/>
      <c r="AO77" s="276"/>
      <c r="AP77" s="276"/>
      <c r="AQ77" s="278"/>
      <c r="AR77" s="211"/>
      <c r="AS77" s="211"/>
      <c r="AT77" s="293"/>
      <c r="AU77" s="293"/>
      <c r="AV77" s="293"/>
      <c r="AW77" s="293"/>
      <c r="AX77" s="293"/>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row>
    <row r="78" spans="1:78" s="295" customFormat="1" ht="6.75" customHeight="1" x14ac:dyDescent="0.2">
      <c r="A78" s="458"/>
      <c r="B78" s="451"/>
      <c r="C78" s="452"/>
      <c r="D78" s="453"/>
      <c r="E78" s="454"/>
      <c r="F78" s="454"/>
      <c r="G78" s="446"/>
      <c r="H78" s="456"/>
      <c r="I78" s="446"/>
      <c r="J78" s="446"/>
      <c r="K78" s="457"/>
      <c r="L78" s="447"/>
      <c r="M78" s="445"/>
      <c r="N78" s="455"/>
      <c r="O78" s="285">
        <f ca="1">IF(NOT(ISERROR(MATCH(N78,_xlfn.ANCHORARRAY(#REF!),0))),M25&amp;"Por favor no seleccionar los criterios de impacto",N78)</f>
        <v>0</v>
      </c>
      <c r="P78" s="447"/>
      <c r="Q78" s="445"/>
      <c r="R78" s="459"/>
      <c r="S78" s="248">
        <v>6</v>
      </c>
      <c r="T78" s="330"/>
      <c r="U78" s="245"/>
      <c r="V78" s="322" t="str">
        <f t="shared" si="127"/>
        <v/>
      </c>
      <c r="W78" s="323"/>
      <c r="X78" s="323"/>
      <c r="Y78" s="324" t="str">
        <f t="shared" si="128"/>
        <v/>
      </c>
      <c r="Z78" s="323"/>
      <c r="AA78" s="323"/>
      <c r="AB78" s="323"/>
      <c r="AC78" s="325" t="str">
        <f t="shared" si="125"/>
        <v/>
      </c>
      <c r="AD78" s="326" t="str">
        <f t="shared" si="122"/>
        <v/>
      </c>
      <c r="AE78" s="324" t="str">
        <f t="shared" si="126"/>
        <v/>
      </c>
      <c r="AF78" s="326" t="str">
        <f t="shared" si="123"/>
        <v/>
      </c>
      <c r="AG78" s="324" t="str">
        <f t="shared" si="129"/>
        <v/>
      </c>
      <c r="AH78" s="328" t="str">
        <f t="shared" si="130"/>
        <v/>
      </c>
      <c r="AI78" s="323"/>
      <c r="AJ78" s="249"/>
      <c r="AK78" s="249"/>
      <c r="AL78" s="249"/>
      <c r="AM78" s="249"/>
      <c r="AN78" s="278"/>
      <c r="AO78" s="276"/>
      <c r="AP78" s="276"/>
      <c r="AQ78" s="278"/>
      <c r="AR78" s="211"/>
      <c r="AS78" s="211"/>
      <c r="AT78" s="293"/>
      <c r="AU78" s="293"/>
      <c r="AV78" s="293"/>
      <c r="AW78" s="293"/>
      <c r="AX78" s="293"/>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row>
    <row r="79" spans="1:78" s="294" customFormat="1" ht="157.5" customHeight="1" x14ac:dyDescent="0.2">
      <c r="A79" s="458" t="s">
        <v>703</v>
      </c>
      <c r="B79" s="451" t="s">
        <v>830</v>
      </c>
      <c r="C79" s="452" t="s">
        <v>596</v>
      </c>
      <c r="D79" s="453" t="s">
        <v>618</v>
      </c>
      <c r="E79" s="454" t="s">
        <v>107</v>
      </c>
      <c r="F79" s="454" t="s">
        <v>923</v>
      </c>
      <c r="G79" s="446" t="s">
        <v>675</v>
      </c>
      <c r="H79" s="456" t="s">
        <v>950</v>
      </c>
      <c r="I79" s="446" t="s">
        <v>654</v>
      </c>
      <c r="J79" s="446" t="s">
        <v>924</v>
      </c>
      <c r="K79" s="457">
        <v>1000</v>
      </c>
      <c r="L79" s="447" t="str">
        <f t="shared" ref="L79" si="131">IF(K79&lt;=0,"",IF(K79&lt;=2,"Muy Baja",IF(K79&lt;=24,"Baja",IF(K79&lt;=500,"Media",IF(K79&lt;=5000,"Alta","Muy Alta")))))</f>
        <v>Alta</v>
      </c>
      <c r="M79" s="445">
        <f>IF(L79="","",IF(L79="Muy Baja",0.2,IF(L79="Baja",0.4,IF(L79="Media",0.6,IF(L79="Alta",0.8,IF(L79="Muy Alta",1,))))))</f>
        <v>0.8</v>
      </c>
      <c r="N79" s="455" t="s">
        <v>1022</v>
      </c>
      <c r="O79" s="285" t="str">
        <f ca="1">IF(NOT(ISERROR(MATCH(N79,'Tabla Impacto'!$B$221:$B$223,0))),'Tabla Impacto'!$F$223&amp;"Por favor no seleccionar los criterios de impacto(Afectación Económica o presupuestal y Pérdida Reputacional)",N79)</f>
        <v xml:space="preserve">     El riesgo afecta la imagen de la entidad internamente, de conocimiento general, nivel interno, de junta directiva y accionistas y/o de proveedores</v>
      </c>
      <c r="P79" s="447" t="s">
        <v>1100</v>
      </c>
      <c r="Q79" s="445">
        <f>IF(P79="","",IF(P79="Leve",0.2,IF(P79="Menor",0.4,IF(P79="Moderado",0.6,IF(P79="Mayor",0.8,IF(P79="Catastrófico",1,))))))</f>
        <v>0.4</v>
      </c>
      <c r="R79" s="459" t="str">
        <f>IF(OR(AND(L79="Muy Baja",P79="Leve"),AND(L79="Muy Baja",P79="Menor"),AND(L79="Baja",P79="Leve")),"Bajo",IF(OR(AND(L79="Muy baja",P79="Moderado"),AND(L79="Baja",P79="Menor"),AND(L79="Baja",P79="Moderado"),AND(L79="Media",P79="Leve"),AND(L79="Media",P79="Menor"),AND(L79="Media",P79="Moderado"),AND(L79="Alta",P79="Leve"),AND(L79="Alta",P79="Menor")),"Moderado",IF(OR(AND(L79="Muy Baja",P79="Mayor"),AND(L79="Baja",P79="Mayor"),AND(L79="Media",P79="Mayor"),AND(L79="Alta",P79="Moderado"),AND(L79="Alta",P79="Mayor"),AND(L79="Muy Alta",P79="Leve"),AND(L79="Muy Alta",P79="Menor"),AND(L79="Muy Alta",P79="Moderado"),AND(L79="Muy Alta",P79="Mayor")),"Alto",IF(OR(AND(L79="Muy Baja",P79="Catastrófico"),AND(L79="Baja",P79="Catastrófico"),AND(L79="Media",P79="Catastrófico"),AND(L79="Alta",P79="Catastrófico"),AND(L79="Muy Alta",P79="Catastrófico")),"Extremo",""))))</f>
        <v>Moderado</v>
      </c>
      <c r="S79" s="248">
        <v>1</v>
      </c>
      <c r="T79" s="321" t="s">
        <v>925</v>
      </c>
      <c r="U79" s="245" t="s">
        <v>293</v>
      </c>
      <c r="V79" s="322" t="str">
        <f>IF(OR(W79="Preventivo",W79="Detectivo"),"Probabilidad",IF(W79="Correctivo","Impacto",""))</f>
        <v>Probabilidad</v>
      </c>
      <c r="W79" s="323" t="s">
        <v>13</v>
      </c>
      <c r="X79" s="323" t="s">
        <v>8</v>
      </c>
      <c r="Y79" s="324" t="str">
        <f>IF(AND(W79="Preventivo",X79="Automático"),"50%",IF(AND(W79="Preventivo",X79="Manual"),"40%",IF(AND(W79="Detectivo",X79="Automático"),"40%",IF(AND(W79="Detectivo",X79="Manual"),"30%",IF(AND(W79="Correctivo",X79="Automático"),"35%",IF(AND(W79="Correctivo",X79="Manual"),"25%",""))))))</f>
        <v>40%</v>
      </c>
      <c r="Z79" s="323" t="s">
        <v>19</v>
      </c>
      <c r="AA79" s="323" t="s">
        <v>21</v>
      </c>
      <c r="AB79" s="323" t="s">
        <v>103</v>
      </c>
      <c r="AC79" s="325">
        <f t="shared" ref="AC79" si="132">IFERROR(IF(V79="Probabilidad",(M79-(+M79*Y79)),IF(V79="Impacto",M79,"")),"")</f>
        <v>0.48</v>
      </c>
      <c r="AD79" s="326" t="str">
        <f>IFERROR(IF(AC79="","",IF(AC79&lt;=0.2,"Muy Baja",IF(AC79&lt;=0.4,"Baja",IF(AC79&lt;=0.6,"Media",IF(AC79&lt;=0.8,"Alta","Muy Alta"))))),"")</f>
        <v>Media</v>
      </c>
      <c r="AE79" s="324">
        <f>+AC79</f>
        <v>0.48</v>
      </c>
      <c r="AF79" s="326" t="str">
        <f>IFERROR(IF(AG79="","",IF(AG79&lt;=0.2,"Leve",IF(AG79&lt;=0.4,"Menor",IF(AG79&lt;=0.6,"Moderado",IF(AG79&lt;=0.8,"Mayor","Catastrófico"))))),"")</f>
        <v>Menor</v>
      </c>
      <c r="AG79" s="324">
        <f>IFERROR(IF(V79="Impacto",(Q79-(+Q79*Y79)),IF(V79="Probabilidad",Q79,"")),"")</f>
        <v>0.4</v>
      </c>
      <c r="AH79" s="328" t="str">
        <f>IFERROR(IF(OR(AND(AD79="Muy Baja",AF79="Leve"),AND(AD79="Muy Baja",AF79="Menor"),AND(AD79="Baja",AF79="Leve")),"Bajo",IF(OR(AND(AD79="Muy baja",AF79="Moderado"),AND(AD79="Baja",AF79="Menor"),AND(AD79="Baja",AF79="Moderado"),AND(AD79="Media",AF79="Leve"),AND(AD79="Media",AF79="Menor"),AND(AD79="Media",AF79="Moderado"),AND(AD79="Alta",AF79="Leve"),AND(AD79="Alta",AF79="Menor")),"Moderado",IF(OR(AND(AD79="Muy Baja",AF79="Mayor"),AND(AD79="Baja",AF79="Mayor"),AND(AD79="Media",AF79="Mayor"),AND(AD79="Alta",AF79="Moderado"),AND(AD79="Alta",AF79="Mayor"),AND(AD79="Muy Alta",AF79="Leve"),AND(AD79="Muy Alta",AF79="Menor"),AND(AD79="Muy Alta",AF79="Moderado"),AND(AD79="Muy Alta",AF79="Mayor")),"Alto",IF(OR(AND(AD79="Muy Baja",AF79="Catastrófico"),AND(AD79="Baja",AF79="Catastrófico"),AND(AD79="Media",AF79="Catastrófico"),AND(AD79="Alta",AF79="Catastrófico"),AND(AD79="Muy Alta",AF79="Catastrófico")),"Extremo","")))),"")</f>
        <v>Moderado</v>
      </c>
      <c r="AI79" s="323" t="s">
        <v>26</v>
      </c>
      <c r="AJ79" s="249">
        <v>4</v>
      </c>
      <c r="AK79" s="249">
        <v>1</v>
      </c>
      <c r="AL79" s="249">
        <v>1</v>
      </c>
      <c r="AM79" s="249">
        <v>2</v>
      </c>
      <c r="AN79" s="240"/>
      <c r="AO79" s="259"/>
      <c r="AP79" s="259"/>
      <c r="AQ79" s="239"/>
      <c r="AR79" s="264"/>
      <c r="AS79" s="265"/>
      <c r="AT79" s="293"/>
      <c r="AU79" s="293"/>
      <c r="AV79" s="293"/>
      <c r="AW79" s="293"/>
      <c r="AX79" s="293"/>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row>
    <row r="80" spans="1:78" s="295" customFormat="1" ht="8.25" customHeight="1" x14ac:dyDescent="0.2">
      <c r="A80" s="458"/>
      <c r="B80" s="451"/>
      <c r="C80" s="452"/>
      <c r="D80" s="453"/>
      <c r="E80" s="454"/>
      <c r="F80" s="454"/>
      <c r="G80" s="446"/>
      <c r="H80" s="456"/>
      <c r="I80" s="446"/>
      <c r="J80" s="446"/>
      <c r="K80" s="457"/>
      <c r="L80" s="447"/>
      <c r="M80" s="445"/>
      <c r="N80" s="455"/>
      <c r="O80" s="285">
        <f ca="1">IF(NOT(ISERROR(MATCH(N80,_xlfn.ANCHORARRAY(H25),0))),M27&amp;"Por favor no seleccionar los criterios de impacto",N80)</f>
        <v>0</v>
      </c>
      <c r="P80" s="447"/>
      <c r="Q80" s="445"/>
      <c r="R80" s="459"/>
      <c r="S80" s="248">
        <v>2</v>
      </c>
      <c r="T80" s="330"/>
      <c r="U80" s="245"/>
      <c r="V80" s="322" t="str">
        <f>IF(OR(W80="Preventivo",W80="Detectivo"),"Probabilidad",IF(W80="Correctivo","Impacto",""))</f>
        <v/>
      </c>
      <c r="W80" s="323"/>
      <c r="X80" s="323"/>
      <c r="Y80" s="324" t="str">
        <f>IF(AND(W80="Preventivo",X80="Automático"),"50%",IF(AND(W80="Preventivo",X80="Manual"),"40%",IF(AND(W80="Detectivo",X80="Automático"),"40%",IF(AND(W80="Detectivo",X80="Manual"),"30%",IF(AND(W80="Correctivo",X80="Automático"),"35%",IF(AND(W80="Correctivo",X80="Manual"),"25%",""))))))</f>
        <v/>
      </c>
      <c r="Z80" s="323"/>
      <c r="AA80" s="323"/>
      <c r="AB80" s="323"/>
      <c r="AC80" s="325" t="str">
        <f t="shared" ref="AC80" si="133">IFERROR(IF(AND(V79="Probabilidad",V80="Probabilidad"),(AE79-(+AE79*Y80)),IF(V80="Probabilidad",(M79-(+M79*Y80)),IF(V80="Impacto",AE79,""))),"")</f>
        <v/>
      </c>
      <c r="AD80" s="326" t="str">
        <f t="shared" ref="AD80:AD84" si="134">IFERROR(IF(AC80="","",IF(AC80&lt;=0.2,"Muy Baja",IF(AC80&lt;=0.4,"Baja",IF(AC80&lt;=0.6,"Media",IF(AC80&lt;=0.8,"Alta","Muy Alta"))))),"")</f>
        <v/>
      </c>
      <c r="AE80" s="324" t="str">
        <f>+AC80</f>
        <v/>
      </c>
      <c r="AF80" s="326" t="str">
        <f t="shared" ref="AF80:AF84" si="135">IFERROR(IF(AG80="","",IF(AG80&lt;=0.2,"Leve",IF(AG80&lt;=0.4,"Menor",IF(AG80&lt;=0.6,"Moderado",IF(AG80&lt;=0.8,"Mayor","Catastrófico"))))),"")</f>
        <v/>
      </c>
      <c r="AG80" s="324" t="str">
        <f>IFERROR(IF(AND(V79="Impacto",V80="Impacto"),(AG79-(+AG79*Y80)),IF(V80="Impacto",($Q$79-(+$Q$79*Y80)),IF(V80="Probabilidad",AG79,""))),"")</f>
        <v/>
      </c>
      <c r="AH80" s="328" t="str">
        <f t="shared" ref="AH80:AH81" si="136">IFERROR(IF(OR(AND(AD80="Muy Baja",AF80="Leve"),AND(AD80="Muy Baja",AF80="Menor"),AND(AD80="Baja",AF80="Leve")),"Bajo",IF(OR(AND(AD80="Muy baja",AF80="Moderado"),AND(AD80="Baja",AF80="Menor"),AND(AD80="Baja",AF80="Moderado"),AND(AD80="Media",AF80="Leve"),AND(AD80="Media",AF80="Menor"),AND(AD80="Media",AF80="Moderado"),AND(AD80="Alta",AF80="Leve"),AND(AD80="Alta",AF80="Menor")),"Moderado",IF(OR(AND(AD80="Muy Baja",AF80="Mayor"),AND(AD80="Baja",AF80="Mayor"),AND(AD80="Media",AF80="Mayor"),AND(AD80="Alta",AF80="Moderado"),AND(AD80="Alta",AF80="Mayor"),AND(AD80="Muy Alta",AF80="Leve"),AND(AD80="Muy Alta",AF80="Menor"),AND(AD80="Muy Alta",AF80="Moderado"),AND(AD80="Muy Alta",AF80="Mayor")),"Alto",IF(OR(AND(AD80="Muy Baja",AF80="Catastrófico"),AND(AD80="Baja",AF80="Catastrófico"),AND(AD80="Media",AF80="Catastrófico"),AND(AD80="Alta",AF80="Catastrófico"),AND(AD80="Muy Alta",AF80="Catastrófico")),"Extremo","")))),"")</f>
        <v/>
      </c>
      <c r="AI80" s="323"/>
      <c r="AJ80" s="249"/>
      <c r="AK80" s="249"/>
      <c r="AL80" s="249"/>
      <c r="AM80" s="249"/>
      <c r="AN80" s="278"/>
      <c r="AO80" s="277"/>
      <c r="AP80" s="277"/>
      <c r="AQ80" s="276"/>
      <c r="AR80" s="263"/>
      <c r="AS80" s="277"/>
      <c r="AT80" s="293"/>
      <c r="AU80" s="293"/>
      <c r="AV80" s="293"/>
      <c r="AW80" s="293"/>
      <c r="AX80" s="293"/>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row>
    <row r="81" spans="1:78" s="295" customFormat="1" ht="8.25" customHeight="1" x14ac:dyDescent="0.2">
      <c r="A81" s="458"/>
      <c r="B81" s="451"/>
      <c r="C81" s="452"/>
      <c r="D81" s="453"/>
      <c r="E81" s="454"/>
      <c r="F81" s="454"/>
      <c r="G81" s="446"/>
      <c r="H81" s="456"/>
      <c r="I81" s="446"/>
      <c r="J81" s="446"/>
      <c r="K81" s="457"/>
      <c r="L81" s="447"/>
      <c r="M81" s="445"/>
      <c r="N81" s="455"/>
      <c r="O81" s="285">
        <f ca="1">IF(NOT(ISERROR(MATCH(N81,_xlfn.ANCHORARRAY(H26),0))),M28&amp;"Por favor no seleccionar los criterios de impacto",N81)</f>
        <v>0</v>
      </c>
      <c r="P81" s="447"/>
      <c r="Q81" s="445"/>
      <c r="R81" s="459"/>
      <c r="S81" s="248">
        <v>3</v>
      </c>
      <c r="T81" s="330"/>
      <c r="U81" s="245"/>
      <c r="V81" s="322" t="str">
        <f>IF(OR(W81="Preventivo",W81="Detectivo"),"Probabilidad",IF(W81="Correctivo","Impacto",""))</f>
        <v/>
      </c>
      <c r="W81" s="323"/>
      <c r="X81" s="323"/>
      <c r="Y81" s="324" t="str">
        <f>IF(AND(W81="Preventivo",X81="Automático"),"50%",IF(AND(W81="Preventivo",X81="Manual"),"40%",IF(AND(W81="Detectivo",X81="Automático"),"40%",IF(AND(W81="Detectivo",X81="Manual"),"30%",IF(AND(W81="Correctivo",X81="Automático"),"35%",IF(AND(W81="Correctivo",X81="Manual"),"25%",""))))))</f>
        <v/>
      </c>
      <c r="Z81" s="323"/>
      <c r="AA81" s="323"/>
      <c r="AB81" s="323"/>
      <c r="AC81" s="325" t="str">
        <f t="shared" ref="AC81:AC84" si="137">IFERROR(IF(AND(V80="Probabilidad",V81="Probabilidad"),(AE80-(+AE80*Y81)),IF(AND(V80="Impacto",V81="Probabilidad"),(AE79-(+AE79*Y81)),IF(V81="Impacto",AE80,""))),"")</f>
        <v/>
      </c>
      <c r="AD81" s="326" t="str">
        <f t="shared" si="134"/>
        <v/>
      </c>
      <c r="AE81" s="324" t="str">
        <f t="shared" ref="AE81:AE84" si="138">+AC81</f>
        <v/>
      </c>
      <c r="AF81" s="326" t="str">
        <f t="shared" si="135"/>
        <v/>
      </c>
      <c r="AG81" s="324" t="str">
        <f t="shared" ref="AG81:AG84" si="139">IFERROR(IF(AND(V80="Impacto",V81="Impacto"),(AG80-(+AG80*Y81)),IF(V81="Impacto",($Q$79-(+$Q$79*Y81)),IF(V81="Probabilidad",AG80,""))),"")</f>
        <v/>
      </c>
      <c r="AH81" s="328" t="str">
        <f t="shared" si="136"/>
        <v/>
      </c>
      <c r="AI81" s="323"/>
      <c r="AJ81" s="249"/>
      <c r="AK81" s="249"/>
      <c r="AL81" s="249"/>
      <c r="AM81" s="249"/>
      <c r="AN81" s="278"/>
      <c r="AO81" s="277"/>
      <c r="AP81" s="277"/>
      <c r="AQ81" s="276"/>
      <c r="AR81" s="263"/>
      <c r="AS81" s="277"/>
      <c r="AT81" s="293"/>
      <c r="AU81" s="293"/>
      <c r="AV81" s="293"/>
      <c r="AW81" s="293"/>
      <c r="AX81" s="293"/>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row>
    <row r="82" spans="1:78" s="295" customFormat="1" ht="8.25" customHeight="1" x14ac:dyDescent="0.2">
      <c r="A82" s="458"/>
      <c r="B82" s="451"/>
      <c r="C82" s="452"/>
      <c r="D82" s="453"/>
      <c r="E82" s="454"/>
      <c r="F82" s="454"/>
      <c r="G82" s="446"/>
      <c r="H82" s="456"/>
      <c r="I82" s="446"/>
      <c r="J82" s="446"/>
      <c r="K82" s="457"/>
      <c r="L82" s="447"/>
      <c r="M82" s="445"/>
      <c r="N82" s="455"/>
      <c r="O82" s="285">
        <f ca="1">IF(NOT(ISERROR(MATCH(N82,_xlfn.ANCHORARRAY(H27),0))),M29&amp;"Por favor no seleccionar los criterios de impacto",N82)</f>
        <v>0</v>
      </c>
      <c r="P82" s="447"/>
      <c r="Q82" s="445"/>
      <c r="R82" s="459"/>
      <c r="S82" s="248">
        <v>4</v>
      </c>
      <c r="T82" s="330"/>
      <c r="U82" s="245"/>
      <c r="V82" s="322" t="str">
        <f t="shared" ref="V82:V84" si="140">IF(OR(W82="Preventivo",W82="Detectivo"),"Probabilidad",IF(W82="Correctivo","Impacto",""))</f>
        <v/>
      </c>
      <c r="W82" s="323"/>
      <c r="X82" s="323"/>
      <c r="Y82" s="324" t="str">
        <f t="shared" ref="Y82:Y84" si="141">IF(AND(W82="Preventivo",X82="Automático"),"50%",IF(AND(W82="Preventivo",X82="Manual"),"40%",IF(AND(W82="Detectivo",X82="Automático"),"40%",IF(AND(W82="Detectivo",X82="Manual"),"30%",IF(AND(W82="Correctivo",X82="Automático"),"35%",IF(AND(W82="Correctivo",X82="Manual"),"25%",""))))))</f>
        <v/>
      </c>
      <c r="Z82" s="323"/>
      <c r="AA82" s="323"/>
      <c r="AB82" s="323"/>
      <c r="AC82" s="325" t="str">
        <f t="shared" si="137"/>
        <v/>
      </c>
      <c r="AD82" s="326" t="str">
        <f t="shared" si="134"/>
        <v/>
      </c>
      <c r="AE82" s="324" t="str">
        <f t="shared" si="138"/>
        <v/>
      </c>
      <c r="AF82" s="326" t="str">
        <f t="shared" si="135"/>
        <v/>
      </c>
      <c r="AG82" s="324" t="str">
        <f t="shared" si="139"/>
        <v/>
      </c>
      <c r="AH82" s="328" t="str">
        <f>IFERROR(IF(OR(AND(AD82="Muy Baja",AF82="Leve"),AND(AD82="Muy Baja",AF82="Menor"),AND(AD82="Baja",AF82="Leve")),"Bajo",IF(OR(AND(AD82="Muy baja",AF82="Moderado"),AND(AD82="Baja",AF82="Menor"),AND(AD82="Baja",AF82="Moderado"),AND(AD82="Media",AF82="Leve"),AND(AD82="Media",AF82="Menor"),AND(AD82="Media",AF82="Moderado"),AND(AD82="Alta",AF82="Leve"),AND(AD82="Alta",AF82="Menor")),"Moderado",IF(OR(AND(AD82="Muy Baja",AF82="Mayor"),AND(AD82="Baja",AF82="Mayor"),AND(AD82="Media",AF82="Mayor"),AND(AD82="Alta",AF82="Moderado"),AND(AD82="Alta",AF82="Mayor"),AND(AD82="Muy Alta",AF82="Leve"),AND(AD82="Muy Alta",AF82="Menor"),AND(AD82="Muy Alta",AF82="Moderado"),AND(AD82="Muy Alta",AF82="Mayor")),"Alto",IF(OR(AND(AD82="Muy Baja",AF82="Catastrófico"),AND(AD82="Baja",AF82="Catastrófico"),AND(AD82="Media",AF82="Catastrófico"),AND(AD82="Alta",AF82="Catastrófico"),AND(AD82="Muy Alta",AF82="Catastrófico")),"Extremo","")))),"")</f>
        <v/>
      </c>
      <c r="AI82" s="323"/>
      <c r="AJ82" s="249"/>
      <c r="AK82" s="249"/>
      <c r="AL82" s="249"/>
      <c r="AM82" s="249"/>
      <c r="AN82" s="278"/>
      <c r="AO82" s="209"/>
      <c r="AP82" s="209"/>
      <c r="AQ82" s="244"/>
      <c r="AR82" s="263"/>
      <c r="AS82" s="209"/>
      <c r="AT82" s="293"/>
      <c r="AU82" s="293"/>
      <c r="AV82" s="293"/>
      <c r="AW82" s="293"/>
      <c r="AX82" s="293"/>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row>
    <row r="83" spans="1:78" s="295" customFormat="1" ht="8.25" customHeight="1" x14ac:dyDescent="0.2">
      <c r="A83" s="458"/>
      <c r="B83" s="451"/>
      <c r="C83" s="452"/>
      <c r="D83" s="453"/>
      <c r="E83" s="454"/>
      <c r="F83" s="454"/>
      <c r="G83" s="446"/>
      <c r="H83" s="456"/>
      <c r="I83" s="446"/>
      <c r="J83" s="446"/>
      <c r="K83" s="457"/>
      <c r="L83" s="447"/>
      <c r="M83" s="445"/>
      <c r="N83" s="455"/>
      <c r="O83" s="285">
        <f ca="1">IF(NOT(ISERROR(MATCH(N83,_xlfn.ANCHORARRAY(H28),0))),M30&amp;"Por favor no seleccionar los criterios de impacto",N83)</f>
        <v>0</v>
      </c>
      <c r="P83" s="447"/>
      <c r="Q83" s="445"/>
      <c r="R83" s="459"/>
      <c r="S83" s="248">
        <v>5</v>
      </c>
      <c r="T83" s="330"/>
      <c r="U83" s="245"/>
      <c r="V83" s="322" t="str">
        <f t="shared" si="140"/>
        <v/>
      </c>
      <c r="W83" s="323"/>
      <c r="X83" s="323"/>
      <c r="Y83" s="324" t="str">
        <f t="shared" si="141"/>
        <v/>
      </c>
      <c r="Z83" s="323"/>
      <c r="AA83" s="323"/>
      <c r="AB83" s="323"/>
      <c r="AC83" s="325" t="str">
        <f t="shared" si="137"/>
        <v/>
      </c>
      <c r="AD83" s="326" t="str">
        <f t="shared" si="134"/>
        <v/>
      </c>
      <c r="AE83" s="324" t="str">
        <f t="shared" si="138"/>
        <v/>
      </c>
      <c r="AF83" s="326" t="str">
        <f t="shared" si="135"/>
        <v/>
      </c>
      <c r="AG83" s="324" t="str">
        <f t="shared" si="139"/>
        <v/>
      </c>
      <c r="AH83" s="328" t="str">
        <f t="shared" ref="AH83:AH84" si="142">IFERROR(IF(OR(AND(AD83="Muy Baja",AF83="Leve"),AND(AD83="Muy Baja",AF83="Menor"),AND(AD83="Baja",AF83="Leve")),"Bajo",IF(OR(AND(AD83="Muy baja",AF83="Moderado"),AND(AD83="Baja",AF83="Menor"),AND(AD83="Baja",AF83="Moderado"),AND(AD83="Media",AF83="Leve"),AND(AD83="Media",AF83="Menor"),AND(AD83="Media",AF83="Moderado"),AND(AD83="Alta",AF83="Leve"),AND(AD83="Alta",AF83="Menor")),"Moderado",IF(OR(AND(AD83="Muy Baja",AF83="Mayor"),AND(AD83="Baja",AF83="Mayor"),AND(AD83="Media",AF83="Mayor"),AND(AD83="Alta",AF83="Moderado"),AND(AD83="Alta",AF83="Mayor"),AND(AD83="Muy Alta",AF83="Leve"),AND(AD83="Muy Alta",AF83="Menor"),AND(AD83="Muy Alta",AF83="Moderado"),AND(AD83="Muy Alta",AF83="Mayor")),"Alto",IF(OR(AND(AD83="Muy Baja",AF83="Catastrófico"),AND(AD83="Baja",AF83="Catastrófico"),AND(AD83="Media",AF83="Catastrófico"),AND(AD83="Alta",AF83="Catastrófico"),AND(AD83="Muy Alta",AF83="Catastrófico")),"Extremo","")))),"")</f>
        <v/>
      </c>
      <c r="AI83" s="323"/>
      <c r="AJ83" s="249"/>
      <c r="AK83" s="249"/>
      <c r="AL83" s="249"/>
      <c r="AM83" s="249"/>
      <c r="AN83" s="278"/>
      <c r="AO83" s="276"/>
      <c r="AP83" s="276"/>
      <c r="AQ83" s="278"/>
      <c r="AR83" s="211"/>
      <c r="AS83" s="211"/>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row>
    <row r="84" spans="1:78" s="295" customFormat="1" ht="14.25" customHeight="1" x14ac:dyDescent="0.2">
      <c r="A84" s="458"/>
      <c r="B84" s="451"/>
      <c r="C84" s="452"/>
      <c r="D84" s="453"/>
      <c r="E84" s="454"/>
      <c r="F84" s="454"/>
      <c r="G84" s="446"/>
      <c r="H84" s="456"/>
      <c r="I84" s="446"/>
      <c r="J84" s="446"/>
      <c r="K84" s="457"/>
      <c r="L84" s="447"/>
      <c r="M84" s="445"/>
      <c r="N84" s="455"/>
      <c r="O84" s="285">
        <f ca="1">IF(NOT(ISERROR(MATCH(N84,_xlfn.ANCHORARRAY(H29),0))),M37&amp;"Por favor no seleccionar los criterios de impacto",N84)</f>
        <v>0</v>
      </c>
      <c r="P84" s="447"/>
      <c r="Q84" s="445"/>
      <c r="R84" s="459"/>
      <c r="S84" s="248">
        <v>6</v>
      </c>
      <c r="T84" s="330"/>
      <c r="U84" s="245"/>
      <c r="V84" s="322" t="str">
        <f t="shared" si="140"/>
        <v/>
      </c>
      <c r="W84" s="323"/>
      <c r="X84" s="323"/>
      <c r="Y84" s="324" t="str">
        <f t="shared" si="141"/>
        <v/>
      </c>
      <c r="Z84" s="323"/>
      <c r="AA84" s="323"/>
      <c r="AB84" s="323"/>
      <c r="AC84" s="325" t="str">
        <f t="shared" si="137"/>
        <v/>
      </c>
      <c r="AD84" s="326" t="str">
        <f t="shared" si="134"/>
        <v/>
      </c>
      <c r="AE84" s="324" t="str">
        <f t="shared" si="138"/>
        <v/>
      </c>
      <c r="AF84" s="326" t="str">
        <f t="shared" si="135"/>
        <v/>
      </c>
      <c r="AG84" s="324" t="str">
        <f t="shared" si="139"/>
        <v/>
      </c>
      <c r="AH84" s="328" t="str">
        <f t="shared" si="142"/>
        <v/>
      </c>
      <c r="AI84" s="323"/>
      <c r="AJ84" s="249"/>
      <c r="AK84" s="249"/>
      <c r="AL84" s="249"/>
      <c r="AM84" s="249"/>
      <c r="AN84" s="278"/>
      <c r="AO84" s="276"/>
      <c r="AP84" s="276"/>
      <c r="AQ84" s="278"/>
      <c r="AR84" s="211"/>
      <c r="AS84" s="211"/>
      <c r="AT84" s="293"/>
      <c r="AU84" s="293"/>
      <c r="AV84" s="293"/>
      <c r="AW84" s="293"/>
      <c r="AX84" s="293"/>
      <c r="AY84" s="29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row>
    <row r="85" spans="1:78" s="294" customFormat="1" ht="173.25" customHeight="1" x14ac:dyDescent="0.2">
      <c r="A85" s="458" t="s">
        <v>704</v>
      </c>
      <c r="B85" s="451" t="s">
        <v>830</v>
      </c>
      <c r="C85" s="452" t="s">
        <v>596</v>
      </c>
      <c r="D85" s="453" t="s">
        <v>618</v>
      </c>
      <c r="E85" s="454" t="s">
        <v>109</v>
      </c>
      <c r="F85" s="454" t="s">
        <v>946</v>
      </c>
      <c r="G85" s="446" t="s">
        <v>1003</v>
      </c>
      <c r="H85" s="446" t="s">
        <v>940</v>
      </c>
      <c r="I85" s="446" t="s">
        <v>654</v>
      </c>
      <c r="J85" s="446" t="s">
        <v>941</v>
      </c>
      <c r="K85" s="457">
        <v>400</v>
      </c>
      <c r="L85" s="447" t="str">
        <f t="shared" ref="L85" si="143">IF(K85&lt;=0,"",IF(K85&lt;=2,"Muy Baja",IF(K85&lt;=24,"Baja",IF(K85&lt;=500,"Media",IF(K85&lt;=5000,"Alta","Muy Alta")))))</f>
        <v>Media</v>
      </c>
      <c r="M85" s="445">
        <f>IF(L85="","",IF(L85="Muy Baja",0.2,IF(L85="Baja",0.4,IF(L85="Media",0.6,IF(L85="Alta",0.8,IF(L85="Muy Alta",1,))))))</f>
        <v>0.6</v>
      </c>
      <c r="N85" s="455" t="s">
        <v>121</v>
      </c>
      <c r="O85" s="285" t="str">
        <f ca="1">IF(NOT(ISERROR(MATCH(N85,'Tabla Impacto'!$B$221:$B$223,0))),'Tabla Impacto'!$F$223&amp;"Por favor no seleccionar los criterios de impacto(Afectación Económica o presupuestal y Pérdida Reputacional)",N85)</f>
        <v xml:space="preserve">     El riesgo afecta la imagen de la entidad con algunos usuarios de relevancia frente al logro de los objetivos</v>
      </c>
      <c r="P85" s="447" t="str">
        <f ca="1">IF(OR(O85='Tabla Impacto'!$C$11,O85='Tabla Impacto'!$D$11),"Leve",IF(OR(O85='Tabla Impacto'!$C$12,O85='Tabla Impacto'!$D$12),"Menor",IF(OR(O85='Tabla Impacto'!$C$13,O85='Tabla Impacto'!$D$13),"Moderado",IF(OR(O85='Tabla Impacto'!$C$14,O85='Tabla Impacto'!$D$14),"Mayor",IF(OR(O85='Tabla Impacto'!$C$15,O85='Tabla Impacto'!$D$15),"Catastrófico","")))))</f>
        <v>Moderado</v>
      </c>
      <c r="Q85" s="445">
        <f ca="1">IF(P85="","",IF(P85="Leve",0.2,IF(P85="Menor",0.4,IF(P85="Moderado",0.6,IF(P85="Mayor",0.8,IF(P85="Catastrófico",1,))))))</f>
        <v>0.6</v>
      </c>
      <c r="R85" s="459" t="str">
        <f ca="1">IF(OR(AND(L85="Muy Baja",P85="Leve"),AND(L85="Muy Baja",P85="Menor"),AND(L85="Baja",P85="Leve")),"Bajo",IF(OR(AND(L85="Muy baja",P85="Moderado"),AND(L85="Baja",P85="Menor"),AND(L85="Baja",P85="Moderado"),AND(L85="Media",P85="Leve"),AND(L85="Media",P85="Menor"),AND(L85="Media",P85="Moderado"),AND(L85="Alta",P85="Leve"),AND(L85="Alta",P85="Menor")),"Moderado",IF(OR(AND(L85="Muy Baja",P85="Mayor"),AND(L85="Baja",P85="Mayor"),AND(L85="Media",P85="Mayor"),AND(L85="Alta",P85="Moderado"),AND(L85="Alta",P85="Mayor"),AND(L85="Muy Alta",P85="Leve"),AND(L85="Muy Alta",P85="Menor"),AND(L85="Muy Alta",P85="Moderado"),AND(L85="Muy Alta",P85="Mayor")),"Alto",IF(OR(AND(L85="Muy Baja",P85="Catastrófico"),AND(L85="Baja",P85="Catastrófico"),AND(L85="Media",P85="Catastrófico"),AND(L85="Alta",P85="Catastrófico"),AND(L85="Muy Alta",P85="Catastrófico")),"Extremo",""))))</f>
        <v>Moderado</v>
      </c>
      <c r="S85" s="248">
        <v>1</v>
      </c>
      <c r="T85" s="321" t="s">
        <v>947</v>
      </c>
      <c r="U85" s="245" t="s">
        <v>293</v>
      </c>
      <c r="V85" s="322" t="str">
        <f>IF(OR(W85="Preventivo",W85="Detectivo"),"Probabilidad",IF(W85="Correctivo","Impacto",""))</f>
        <v>Probabilidad</v>
      </c>
      <c r="W85" s="323" t="s">
        <v>13</v>
      </c>
      <c r="X85" s="323" t="s">
        <v>8</v>
      </c>
      <c r="Y85" s="324" t="str">
        <f>IF(AND(W85="Preventivo",X85="Automático"),"50%",IF(AND(W85="Preventivo",X85="Manual"),"40%",IF(AND(W85="Detectivo",X85="Automático"),"40%",IF(AND(W85="Detectivo",X85="Manual"),"30%",IF(AND(W85="Correctivo",X85="Automático"),"35%",IF(AND(W85="Correctivo",X85="Manual"),"25%",""))))))</f>
        <v>40%</v>
      </c>
      <c r="Z85" s="323" t="s">
        <v>18</v>
      </c>
      <c r="AA85" s="323" t="s">
        <v>21</v>
      </c>
      <c r="AB85" s="323" t="s">
        <v>103</v>
      </c>
      <c r="AC85" s="325">
        <f t="shared" ref="AC85" si="144">IFERROR(IF(V85="Probabilidad",(M85-(+M85*Y85)),IF(V85="Impacto",M85,"")),"")</f>
        <v>0.36</v>
      </c>
      <c r="AD85" s="326" t="str">
        <f>IFERROR(IF(AC85="","",IF(AC85&lt;=0.2,"Muy Baja",IF(AC85&lt;=0.4,"Baja",IF(AC85&lt;=0.6,"Media",IF(AC85&lt;=0.8,"Alta","Muy Alta"))))),"")</f>
        <v>Baja</v>
      </c>
      <c r="AE85" s="324">
        <f>+AC85</f>
        <v>0.36</v>
      </c>
      <c r="AF85" s="326" t="str">
        <f ca="1">IFERROR(IF(AG85="","",IF(AG85&lt;=0.2,"Leve",IF(AG85&lt;=0.4,"Menor",IF(AG85&lt;=0.6,"Moderado",IF(AG85&lt;=0.8,"Mayor","Catastrófico"))))),"")</f>
        <v>Moderado</v>
      </c>
      <c r="AG85" s="324">
        <f ca="1">IFERROR(IF(V85="Impacto",(Q85-(+Q85*Y85)),IF(V85="Probabilidad",Q85,"")),"")</f>
        <v>0.6</v>
      </c>
      <c r="AH85" s="328" t="str">
        <f ca="1">IFERROR(IF(OR(AND(AD85="Muy Baja",AF85="Leve"),AND(AD85="Muy Baja",AF85="Menor"),AND(AD85="Baja",AF85="Leve")),"Bajo",IF(OR(AND(AD85="Muy baja",AF85="Moderado"),AND(AD85="Baja",AF85="Menor"),AND(AD85="Baja",AF85="Moderado"),AND(AD85="Media",AF85="Leve"),AND(AD85="Media",AF85="Menor"),AND(AD85="Media",AF85="Moderado"),AND(AD85="Alta",AF85="Leve"),AND(AD85="Alta",AF85="Menor")),"Moderado",IF(OR(AND(AD85="Muy Baja",AF85="Mayor"),AND(AD85="Baja",AF85="Mayor"),AND(AD85="Media",AF85="Mayor"),AND(AD85="Alta",AF85="Moderado"),AND(AD85="Alta",AF85="Mayor"),AND(AD85="Muy Alta",AF85="Leve"),AND(AD85="Muy Alta",AF85="Menor"),AND(AD85="Muy Alta",AF85="Moderado"),AND(AD85="Muy Alta",AF85="Mayor")),"Alto",IF(OR(AND(AD85="Muy Baja",AF85="Catastrófico"),AND(AD85="Baja",AF85="Catastrófico"),AND(AD85="Media",AF85="Catastrófico"),AND(AD85="Alta",AF85="Catastrófico"),AND(AD85="Muy Alta",AF85="Catastrófico")),"Extremo","")))),"")</f>
        <v>Moderado</v>
      </c>
      <c r="AI85" s="323" t="s">
        <v>26</v>
      </c>
      <c r="AJ85" s="249">
        <v>12</v>
      </c>
      <c r="AK85" s="249">
        <v>4</v>
      </c>
      <c r="AL85" s="249">
        <v>4</v>
      </c>
      <c r="AM85" s="249">
        <v>4</v>
      </c>
      <c r="AN85" s="240"/>
      <c r="AO85" s="259"/>
      <c r="AP85" s="259"/>
      <c r="AQ85" s="239"/>
      <c r="AR85" s="264"/>
      <c r="AS85" s="265"/>
      <c r="AT85" s="293"/>
      <c r="AU85" s="293"/>
      <c r="AV85" s="293"/>
      <c r="AW85" s="293"/>
      <c r="AX85" s="293"/>
      <c r="AY85" s="293"/>
      <c r="AZ85" s="293"/>
      <c r="BA85" s="293"/>
      <c r="BB85" s="293"/>
      <c r="BC85" s="293"/>
      <c r="BD85" s="293"/>
      <c r="BE85" s="293"/>
      <c r="BF85" s="293"/>
      <c r="BG85" s="293"/>
      <c r="BH85" s="293"/>
      <c r="BI85" s="293"/>
      <c r="BJ85" s="293"/>
      <c r="BK85" s="293"/>
      <c r="BL85" s="293"/>
      <c r="BM85" s="293"/>
      <c r="BN85" s="293"/>
      <c r="BO85" s="293"/>
      <c r="BP85" s="293"/>
      <c r="BQ85" s="293"/>
      <c r="BR85" s="293"/>
      <c r="BS85" s="293"/>
      <c r="BT85" s="293"/>
      <c r="BU85" s="293"/>
      <c r="BV85" s="293"/>
      <c r="BW85" s="293"/>
      <c r="BX85" s="293"/>
      <c r="BY85" s="293"/>
      <c r="BZ85" s="293"/>
    </row>
    <row r="86" spans="1:78" s="295" customFormat="1" ht="14.25" customHeight="1" x14ac:dyDescent="0.2">
      <c r="A86" s="458"/>
      <c r="B86" s="451"/>
      <c r="C86" s="452"/>
      <c r="D86" s="453"/>
      <c r="E86" s="454"/>
      <c r="F86" s="454"/>
      <c r="G86" s="446"/>
      <c r="H86" s="446"/>
      <c r="I86" s="446"/>
      <c r="J86" s="446"/>
      <c r="K86" s="457"/>
      <c r="L86" s="447"/>
      <c r="M86" s="445"/>
      <c r="N86" s="455"/>
      <c r="O86" s="285">
        <f ca="1">IF(NOT(ISERROR(MATCH(N86,_xlfn.ANCHORARRAY(H37),0))),M39&amp;"Por favor no seleccionar los criterios de impacto",N86)</f>
        <v>0</v>
      </c>
      <c r="P86" s="447"/>
      <c r="Q86" s="445"/>
      <c r="R86" s="459"/>
      <c r="S86" s="248">
        <v>2</v>
      </c>
      <c r="T86" s="321"/>
      <c r="U86" s="245"/>
      <c r="V86" s="322" t="str">
        <f>IF(OR(W86="Preventivo",W86="Detectivo"),"Probabilidad",IF(W86="Correctivo","Impacto",""))</f>
        <v/>
      </c>
      <c r="W86" s="323"/>
      <c r="X86" s="323"/>
      <c r="Y86" s="324" t="str">
        <f>IF(AND(W86="Preventivo",X86="Automático"),"50%",IF(AND(W86="Preventivo",X86="Manual"),"40%",IF(AND(W86="Detectivo",X86="Automático"),"40%",IF(AND(W86="Detectivo",X86="Manual"),"30%",IF(AND(W86="Correctivo",X86="Automático"),"35%",IF(AND(W86="Correctivo",X86="Manual"),"25%",""))))))</f>
        <v/>
      </c>
      <c r="Z86" s="323"/>
      <c r="AA86" s="323"/>
      <c r="AB86" s="323"/>
      <c r="AC86" s="325" t="str">
        <f t="shared" ref="AC86" si="145">IFERROR(IF(AND(V85="Probabilidad",V86="Probabilidad"),(AE85-(+AE85*Y86)),IF(V86="Probabilidad",(M85-(+M85*Y86)),IF(V86="Impacto",AE85,""))),"")</f>
        <v/>
      </c>
      <c r="AD86" s="326" t="str">
        <f t="shared" ref="AD86:AD90" si="146">IFERROR(IF(AC86="","",IF(AC86&lt;=0.2,"Muy Baja",IF(AC86&lt;=0.4,"Baja",IF(AC86&lt;=0.6,"Media",IF(AC86&lt;=0.8,"Alta","Muy Alta"))))),"")</f>
        <v/>
      </c>
      <c r="AE86" s="324" t="str">
        <f>+AC86</f>
        <v/>
      </c>
      <c r="AF86" s="326" t="str">
        <f t="shared" ref="AF86:AF90" si="147">IFERROR(IF(AG86="","",IF(AG86&lt;=0.2,"Leve",IF(AG86&lt;=0.4,"Menor",IF(AG86&lt;=0.6,"Moderado",IF(AG86&lt;=0.8,"Mayor","Catastrófico"))))),"")</f>
        <v/>
      </c>
      <c r="AG86" s="324" t="str">
        <f>IFERROR(IF(AND(V85="Impacto",V86="Impacto"),(AG85-(+AG85*Y86)),IF(V86="Impacto",($Q$85-(+$Q$85*Y86)),IF(V86="Probabilidad",AG85,""))),"")</f>
        <v/>
      </c>
      <c r="AH86" s="328" t="str">
        <f t="shared" ref="AH86:AH87" si="148">IFERROR(IF(OR(AND(AD86="Muy Baja",AF86="Leve"),AND(AD86="Muy Baja",AF86="Menor"),AND(AD86="Baja",AF86="Leve")),"Bajo",IF(OR(AND(AD86="Muy baja",AF86="Moderado"),AND(AD86="Baja",AF86="Menor"),AND(AD86="Baja",AF86="Moderado"),AND(AD86="Media",AF86="Leve"),AND(AD86="Media",AF86="Menor"),AND(AD86="Media",AF86="Moderado"),AND(AD86="Alta",AF86="Leve"),AND(AD86="Alta",AF86="Menor")),"Moderado",IF(OR(AND(AD86="Muy Baja",AF86="Mayor"),AND(AD86="Baja",AF86="Mayor"),AND(AD86="Media",AF86="Mayor"),AND(AD86="Alta",AF86="Moderado"),AND(AD86="Alta",AF86="Mayor"),AND(AD86="Muy Alta",AF86="Leve"),AND(AD86="Muy Alta",AF86="Menor"),AND(AD86="Muy Alta",AF86="Moderado"),AND(AD86="Muy Alta",AF86="Mayor")),"Alto",IF(OR(AND(AD86="Muy Baja",AF86="Catastrófico"),AND(AD86="Baja",AF86="Catastrófico"),AND(AD86="Media",AF86="Catastrófico"),AND(AD86="Alta",AF86="Catastrófico"),AND(AD86="Muy Alta",AF86="Catastrófico")),"Extremo","")))),"")</f>
        <v/>
      </c>
      <c r="AI86" s="323"/>
      <c r="AJ86" s="249"/>
      <c r="AK86" s="249"/>
      <c r="AL86" s="249"/>
      <c r="AM86" s="249"/>
      <c r="AN86" s="278"/>
      <c r="AO86" s="277"/>
      <c r="AP86" s="277"/>
      <c r="AQ86" s="276"/>
      <c r="AR86" s="263"/>
      <c r="AS86" s="277"/>
      <c r="AT86" s="293"/>
      <c r="AU86" s="293"/>
      <c r="AV86" s="293"/>
      <c r="AW86" s="293"/>
      <c r="AX86" s="293"/>
      <c r="AY86" s="293"/>
      <c r="AZ86" s="293"/>
      <c r="BA86" s="293"/>
      <c r="BB86" s="293"/>
      <c r="BC86" s="293"/>
      <c r="BD86" s="293"/>
      <c r="BE86" s="293"/>
      <c r="BF86" s="293"/>
      <c r="BG86" s="293"/>
      <c r="BH86" s="293"/>
      <c r="BI86" s="293"/>
      <c r="BJ86" s="293"/>
      <c r="BK86" s="293"/>
      <c r="BL86" s="293"/>
      <c r="BM86" s="293"/>
      <c r="BN86" s="293"/>
      <c r="BO86" s="293"/>
      <c r="BP86" s="293"/>
      <c r="BQ86" s="293"/>
      <c r="BR86" s="293"/>
      <c r="BS86" s="293"/>
      <c r="BT86" s="293"/>
      <c r="BU86" s="293"/>
      <c r="BV86" s="293"/>
      <c r="BW86" s="293"/>
      <c r="BX86" s="293"/>
      <c r="BY86" s="293"/>
      <c r="BZ86" s="293"/>
    </row>
    <row r="87" spans="1:78" s="295" customFormat="1" ht="14.25" customHeight="1" x14ac:dyDescent="0.2">
      <c r="A87" s="458"/>
      <c r="B87" s="451"/>
      <c r="C87" s="452"/>
      <c r="D87" s="453"/>
      <c r="E87" s="454"/>
      <c r="F87" s="454"/>
      <c r="G87" s="446"/>
      <c r="H87" s="446"/>
      <c r="I87" s="446"/>
      <c r="J87" s="446"/>
      <c r="K87" s="457"/>
      <c r="L87" s="447"/>
      <c r="M87" s="445"/>
      <c r="N87" s="455"/>
      <c r="O87" s="285">
        <f ca="1">IF(NOT(ISERROR(MATCH(N87,_xlfn.ANCHORARRAY(H38),0))),M40&amp;"Por favor no seleccionar los criterios de impacto",N87)</f>
        <v>0</v>
      </c>
      <c r="P87" s="447"/>
      <c r="Q87" s="445"/>
      <c r="R87" s="459"/>
      <c r="S87" s="248">
        <v>3</v>
      </c>
      <c r="T87" s="330"/>
      <c r="U87" s="245"/>
      <c r="V87" s="322" t="str">
        <f>IF(OR(W87="Preventivo",W87="Detectivo"),"Probabilidad",IF(W87="Correctivo","Impacto",""))</f>
        <v/>
      </c>
      <c r="W87" s="323"/>
      <c r="X87" s="323"/>
      <c r="Y87" s="324" t="str">
        <f>IF(AND(W87="Preventivo",X87="Automático"),"50%",IF(AND(W87="Preventivo",X87="Manual"),"40%",IF(AND(W87="Detectivo",X87="Automático"),"40%",IF(AND(W87="Detectivo",X87="Manual"),"30%",IF(AND(W87="Correctivo",X87="Automático"),"35%",IF(AND(W87="Correctivo",X87="Manual"),"25%",""))))))</f>
        <v/>
      </c>
      <c r="Z87" s="323"/>
      <c r="AA87" s="323"/>
      <c r="AB87" s="323"/>
      <c r="AC87" s="325" t="str">
        <f t="shared" ref="AC87:AC90" si="149">IFERROR(IF(AND(V86="Probabilidad",V87="Probabilidad"),(AE86-(+AE86*Y87)),IF(AND(V86="Impacto",V87="Probabilidad"),(AE85-(+AE85*Y87)),IF(V87="Impacto",AE86,""))),"")</f>
        <v/>
      </c>
      <c r="AD87" s="326" t="str">
        <f t="shared" si="146"/>
        <v/>
      </c>
      <c r="AE87" s="324" t="str">
        <f t="shared" ref="AE87:AE90" si="150">+AC87</f>
        <v/>
      </c>
      <c r="AF87" s="326" t="str">
        <f t="shared" si="147"/>
        <v/>
      </c>
      <c r="AG87" s="324" t="str">
        <f t="shared" ref="AG87:AG90" si="151">IFERROR(IF(AND(V86="Impacto",V87="Impacto"),(AG86-(+AG86*Y87)),IF(V87="Impacto",($Q$85-(+$Q$85*Y87)),IF(V87="Probabilidad",AG86,""))),"")</f>
        <v/>
      </c>
      <c r="AH87" s="328" t="str">
        <f t="shared" si="148"/>
        <v/>
      </c>
      <c r="AI87" s="323"/>
      <c r="AJ87" s="249"/>
      <c r="AK87" s="249"/>
      <c r="AL87" s="249"/>
      <c r="AM87" s="249"/>
      <c r="AN87" s="278"/>
      <c r="AO87" s="277"/>
      <c r="AP87" s="277"/>
      <c r="AQ87" s="276"/>
      <c r="AR87" s="263"/>
      <c r="AS87" s="277"/>
      <c r="AT87" s="293"/>
      <c r="AU87" s="293"/>
      <c r="AV87" s="293"/>
      <c r="AW87" s="293"/>
      <c r="AX87" s="293"/>
      <c r="AY87" s="293"/>
      <c r="AZ87" s="293"/>
      <c r="BA87" s="293"/>
      <c r="BB87" s="293"/>
      <c r="BC87" s="293"/>
      <c r="BD87" s="293"/>
      <c r="BE87" s="293"/>
      <c r="BF87" s="293"/>
      <c r="BG87" s="293"/>
      <c r="BH87" s="293"/>
      <c r="BI87" s="293"/>
      <c r="BJ87" s="293"/>
      <c r="BK87" s="293"/>
      <c r="BL87" s="293"/>
      <c r="BM87" s="293"/>
      <c r="BN87" s="293"/>
      <c r="BO87" s="293"/>
      <c r="BP87" s="293"/>
      <c r="BQ87" s="293"/>
      <c r="BR87" s="293"/>
      <c r="BS87" s="293"/>
      <c r="BT87" s="293"/>
      <c r="BU87" s="293"/>
      <c r="BV87" s="293"/>
      <c r="BW87" s="293"/>
      <c r="BX87" s="293"/>
      <c r="BY87" s="293"/>
      <c r="BZ87" s="293"/>
    </row>
    <row r="88" spans="1:78" s="295" customFormat="1" ht="14.25" customHeight="1" x14ac:dyDescent="0.2">
      <c r="A88" s="458"/>
      <c r="B88" s="451"/>
      <c r="C88" s="452"/>
      <c r="D88" s="453"/>
      <c r="E88" s="454"/>
      <c r="F88" s="454"/>
      <c r="G88" s="446"/>
      <c r="H88" s="446"/>
      <c r="I88" s="446"/>
      <c r="J88" s="446"/>
      <c r="K88" s="457"/>
      <c r="L88" s="447"/>
      <c r="M88" s="445"/>
      <c r="N88" s="455"/>
      <c r="O88" s="285">
        <f ca="1">IF(NOT(ISERROR(MATCH(N88,_xlfn.ANCHORARRAY(H39),0))),M41&amp;"Por favor no seleccionar los criterios de impacto",N88)</f>
        <v>0</v>
      </c>
      <c r="P88" s="447"/>
      <c r="Q88" s="445"/>
      <c r="R88" s="459"/>
      <c r="S88" s="248">
        <v>4</v>
      </c>
      <c r="T88" s="330"/>
      <c r="U88" s="245"/>
      <c r="V88" s="322" t="str">
        <f t="shared" ref="V88:V90" si="152">IF(OR(W88="Preventivo",W88="Detectivo"),"Probabilidad",IF(W88="Correctivo","Impacto",""))</f>
        <v/>
      </c>
      <c r="W88" s="323"/>
      <c r="X88" s="323"/>
      <c r="Y88" s="324" t="str">
        <f t="shared" ref="Y88:Y90" si="153">IF(AND(W88="Preventivo",X88="Automático"),"50%",IF(AND(W88="Preventivo",X88="Manual"),"40%",IF(AND(W88="Detectivo",X88="Automático"),"40%",IF(AND(W88="Detectivo",X88="Manual"),"30%",IF(AND(W88="Correctivo",X88="Automático"),"35%",IF(AND(W88="Correctivo",X88="Manual"),"25%",""))))))</f>
        <v/>
      </c>
      <c r="Z88" s="323"/>
      <c r="AA88" s="323"/>
      <c r="AB88" s="323"/>
      <c r="AC88" s="325" t="str">
        <f t="shared" si="149"/>
        <v/>
      </c>
      <c r="AD88" s="326" t="str">
        <f t="shared" si="146"/>
        <v/>
      </c>
      <c r="AE88" s="324" t="str">
        <f t="shared" si="150"/>
        <v/>
      </c>
      <c r="AF88" s="326" t="str">
        <f t="shared" si="147"/>
        <v/>
      </c>
      <c r="AG88" s="324" t="str">
        <f t="shared" si="151"/>
        <v/>
      </c>
      <c r="AH88" s="328" t="str">
        <f>IFERROR(IF(OR(AND(AD88="Muy Baja",AF88="Leve"),AND(AD88="Muy Baja",AF88="Menor"),AND(AD88="Baja",AF88="Leve")),"Bajo",IF(OR(AND(AD88="Muy baja",AF88="Moderado"),AND(AD88="Baja",AF88="Menor"),AND(AD88="Baja",AF88="Moderado"),AND(AD88="Media",AF88="Leve"),AND(AD88="Media",AF88="Menor"),AND(AD88="Media",AF88="Moderado"),AND(AD88="Alta",AF88="Leve"),AND(AD88="Alta",AF88="Menor")),"Moderado",IF(OR(AND(AD88="Muy Baja",AF88="Mayor"),AND(AD88="Baja",AF88="Mayor"),AND(AD88="Media",AF88="Mayor"),AND(AD88="Alta",AF88="Moderado"),AND(AD88="Alta",AF88="Mayor"),AND(AD88="Muy Alta",AF88="Leve"),AND(AD88="Muy Alta",AF88="Menor"),AND(AD88="Muy Alta",AF88="Moderado"),AND(AD88="Muy Alta",AF88="Mayor")),"Alto",IF(OR(AND(AD88="Muy Baja",AF88="Catastrófico"),AND(AD88="Baja",AF88="Catastrófico"),AND(AD88="Media",AF88="Catastrófico"),AND(AD88="Alta",AF88="Catastrófico"),AND(AD88="Muy Alta",AF88="Catastrófico")),"Extremo","")))),"")</f>
        <v/>
      </c>
      <c r="AI88" s="323"/>
      <c r="AJ88" s="249"/>
      <c r="AK88" s="249"/>
      <c r="AL88" s="249"/>
      <c r="AM88" s="249"/>
      <c r="AN88" s="278"/>
      <c r="AO88" s="209"/>
      <c r="AP88" s="209"/>
      <c r="AQ88" s="244"/>
      <c r="AR88" s="263"/>
      <c r="AS88" s="209"/>
      <c r="AT88" s="293"/>
      <c r="AU88" s="293"/>
      <c r="AV88" s="293"/>
      <c r="AW88" s="293"/>
      <c r="AX88" s="293"/>
      <c r="AY88" s="293"/>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row>
    <row r="89" spans="1:78" s="295" customFormat="1" ht="14.25" customHeight="1" x14ac:dyDescent="0.2">
      <c r="A89" s="458"/>
      <c r="B89" s="451"/>
      <c r="C89" s="452"/>
      <c r="D89" s="453"/>
      <c r="E89" s="454"/>
      <c r="F89" s="454"/>
      <c r="G89" s="446"/>
      <c r="H89" s="446"/>
      <c r="I89" s="446"/>
      <c r="J89" s="446"/>
      <c r="K89" s="457"/>
      <c r="L89" s="447"/>
      <c r="M89" s="445"/>
      <c r="N89" s="455"/>
      <c r="O89" s="285">
        <f ca="1">IF(NOT(ISERROR(MATCH(N89,_xlfn.ANCHORARRAY(H40),0))),M42&amp;"Por favor no seleccionar los criterios de impacto",N89)</f>
        <v>0</v>
      </c>
      <c r="P89" s="447"/>
      <c r="Q89" s="445"/>
      <c r="R89" s="459"/>
      <c r="S89" s="248">
        <v>5</v>
      </c>
      <c r="T89" s="330"/>
      <c r="U89" s="245"/>
      <c r="V89" s="322" t="str">
        <f t="shared" si="152"/>
        <v/>
      </c>
      <c r="W89" s="323"/>
      <c r="X89" s="323"/>
      <c r="Y89" s="324" t="str">
        <f t="shared" si="153"/>
        <v/>
      </c>
      <c r="Z89" s="323"/>
      <c r="AA89" s="323"/>
      <c r="AB89" s="323"/>
      <c r="AC89" s="325" t="str">
        <f t="shared" si="149"/>
        <v/>
      </c>
      <c r="AD89" s="326" t="str">
        <f t="shared" si="146"/>
        <v/>
      </c>
      <c r="AE89" s="324" t="str">
        <f t="shared" si="150"/>
        <v/>
      </c>
      <c r="AF89" s="326" t="str">
        <f t="shared" si="147"/>
        <v/>
      </c>
      <c r="AG89" s="324" t="str">
        <f t="shared" si="151"/>
        <v/>
      </c>
      <c r="AH89" s="328" t="str">
        <f t="shared" ref="AH89:AH90" si="154">IFERROR(IF(OR(AND(AD89="Muy Baja",AF89="Leve"),AND(AD89="Muy Baja",AF89="Menor"),AND(AD89="Baja",AF89="Leve")),"Bajo",IF(OR(AND(AD89="Muy baja",AF89="Moderado"),AND(AD89="Baja",AF89="Menor"),AND(AD89="Baja",AF89="Moderado"),AND(AD89="Media",AF89="Leve"),AND(AD89="Media",AF89="Menor"),AND(AD89="Media",AF89="Moderado"),AND(AD89="Alta",AF89="Leve"),AND(AD89="Alta",AF89="Menor")),"Moderado",IF(OR(AND(AD89="Muy Baja",AF89="Mayor"),AND(AD89="Baja",AF89="Mayor"),AND(AD89="Media",AF89="Mayor"),AND(AD89="Alta",AF89="Moderado"),AND(AD89="Alta",AF89="Mayor"),AND(AD89="Muy Alta",AF89="Leve"),AND(AD89="Muy Alta",AF89="Menor"),AND(AD89="Muy Alta",AF89="Moderado"),AND(AD89="Muy Alta",AF89="Mayor")),"Alto",IF(OR(AND(AD89="Muy Baja",AF89="Catastrófico"),AND(AD89="Baja",AF89="Catastrófico"),AND(AD89="Media",AF89="Catastrófico"),AND(AD89="Alta",AF89="Catastrófico"),AND(AD89="Muy Alta",AF89="Catastrófico")),"Extremo","")))),"")</f>
        <v/>
      </c>
      <c r="AI89" s="323"/>
      <c r="AJ89" s="249"/>
      <c r="AK89" s="249"/>
      <c r="AL89" s="249"/>
      <c r="AM89" s="249"/>
      <c r="AN89" s="278"/>
      <c r="AO89" s="276"/>
      <c r="AP89" s="276"/>
      <c r="AQ89" s="278"/>
      <c r="AR89" s="211"/>
      <c r="AS89" s="211"/>
      <c r="AT89" s="293"/>
      <c r="AU89" s="293"/>
      <c r="AV89" s="293"/>
      <c r="AW89" s="293"/>
      <c r="AX89" s="293"/>
      <c r="AY89" s="293"/>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row>
    <row r="90" spans="1:78" s="295" customFormat="1" ht="14.25" customHeight="1" x14ac:dyDescent="0.2">
      <c r="A90" s="458"/>
      <c r="B90" s="451"/>
      <c r="C90" s="452"/>
      <c r="D90" s="453"/>
      <c r="E90" s="454"/>
      <c r="F90" s="454"/>
      <c r="G90" s="446"/>
      <c r="H90" s="446"/>
      <c r="I90" s="446"/>
      <c r="J90" s="446"/>
      <c r="K90" s="457"/>
      <c r="L90" s="447"/>
      <c r="M90" s="445"/>
      <c r="N90" s="455"/>
      <c r="O90" s="285">
        <f ca="1">IF(NOT(ISERROR(MATCH(N90,_xlfn.ANCHORARRAY(H41),0))),#REF!&amp;"Por favor no seleccionar los criterios de impacto",N90)</f>
        <v>0</v>
      </c>
      <c r="P90" s="447"/>
      <c r="Q90" s="445"/>
      <c r="R90" s="459"/>
      <c r="S90" s="248">
        <v>6</v>
      </c>
      <c r="T90" s="330"/>
      <c r="U90" s="245"/>
      <c r="V90" s="322" t="str">
        <f t="shared" si="152"/>
        <v/>
      </c>
      <c r="W90" s="323"/>
      <c r="X90" s="323"/>
      <c r="Y90" s="324" t="str">
        <f t="shared" si="153"/>
        <v/>
      </c>
      <c r="Z90" s="323"/>
      <c r="AA90" s="323"/>
      <c r="AB90" s="323"/>
      <c r="AC90" s="325" t="str">
        <f t="shared" si="149"/>
        <v/>
      </c>
      <c r="AD90" s="326" t="str">
        <f t="shared" si="146"/>
        <v/>
      </c>
      <c r="AE90" s="324" t="str">
        <f t="shared" si="150"/>
        <v/>
      </c>
      <c r="AF90" s="326" t="str">
        <f t="shared" si="147"/>
        <v/>
      </c>
      <c r="AG90" s="324" t="str">
        <f t="shared" si="151"/>
        <v/>
      </c>
      <c r="AH90" s="328" t="str">
        <f t="shared" si="154"/>
        <v/>
      </c>
      <c r="AI90" s="323"/>
      <c r="AJ90" s="249"/>
      <c r="AK90" s="249"/>
      <c r="AL90" s="249"/>
      <c r="AM90" s="249"/>
      <c r="AN90" s="278"/>
      <c r="AO90" s="276"/>
      <c r="AP90" s="276"/>
      <c r="AQ90" s="278"/>
      <c r="AR90" s="211"/>
      <c r="AS90" s="211"/>
      <c r="AT90" s="293"/>
      <c r="AU90" s="293"/>
      <c r="AV90" s="293"/>
      <c r="AW90" s="293"/>
      <c r="AX90" s="293"/>
      <c r="AY90" s="293"/>
      <c r="AZ90" s="293"/>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row>
    <row r="91" spans="1:78" s="294" customFormat="1" ht="170.25" customHeight="1" x14ac:dyDescent="0.2">
      <c r="A91" s="458" t="s">
        <v>705</v>
      </c>
      <c r="B91" s="451" t="s">
        <v>830</v>
      </c>
      <c r="C91" s="452" t="s">
        <v>596</v>
      </c>
      <c r="D91" s="453" t="s">
        <v>618</v>
      </c>
      <c r="E91" s="454" t="s">
        <v>109</v>
      </c>
      <c r="F91" s="454" t="s">
        <v>926</v>
      </c>
      <c r="G91" s="446" t="s">
        <v>675</v>
      </c>
      <c r="H91" s="456" t="s">
        <v>927</v>
      </c>
      <c r="I91" s="446" t="s">
        <v>654</v>
      </c>
      <c r="J91" s="446" t="s">
        <v>1033</v>
      </c>
      <c r="K91" s="457">
        <v>1920</v>
      </c>
      <c r="L91" s="447" t="str">
        <f t="shared" ref="L91" si="155">IF(K91&lt;=0,"",IF(K91&lt;=2,"Muy Baja",IF(K91&lt;=24,"Baja",IF(K91&lt;=500,"Media",IF(K91&lt;=5000,"Alta","Muy Alta")))))</f>
        <v>Alta</v>
      </c>
      <c r="M91" s="445">
        <f>IF(L91="","",IF(L91="Muy Baja",0.2,IF(L91="Baja",0.4,IF(L91="Media",0.6,IF(L91="Alta",0.8,IF(L91="Muy Alta",1,))))))</f>
        <v>0.8</v>
      </c>
      <c r="N91" s="455" t="s">
        <v>122</v>
      </c>
      <c r="O91" s="285" t="str">
        <f ca="1">IF(NOT(ISERROR(MATCH(N91,'Tabla Impacto'!$B$221:$B$223,0))),'Tabla Impacto'!$F$223&amp;"Por favor no seleccionar los criterios de impacto(Afectación Económica o presupuestal y Pérdida Reputacional)",N91)</f>
        <v xml:space="preserve">     El riesgo afecta la imagen de de la entidad con efecto publicitario sostenido a nivel de sector administrativo, nivel departamental o municipal</v>
      </c>
      <c r="P91" s="447" t="str">
        <f ca="1">IF(OR(O91='Tabla Impacto'!$C$11,O91='Tabla Impacto'!$D$11),"Leve",IF(OR(O91='Tabla Impacto'!$C$12,O91='Tabla Impacto'!$D$12),"Menor",IF(OR(O91='Tabla Impacto'!$C$13,O91='Tabla Impacto'!$D$13),"Moderado",IF(OR(O91='Tabla Impacto'!$C$14,O91='Tabla Impacto'!$D$14),"Mayor",IF(OR(O91='Tabla Impacto'!$C$15,O91='Tabla Impacto'!$D$15),"Catastrófico","")))))</f>
        <v>Mayor</v>
      </c>
      <c r="Q91" s="445">
        <f ca="1">IF(P91="","",IF(P91="Leve",0.2,IF(P91="Menor",0.4,IF(P91="Moderado",0.6,IF(P91="Mayor",0.8,IF(P91="Catastrófico",1,))))))</f>
        <v>0.8</v>
      </c>
      <c r="R91" s="459" t="str">
        <f ca="1">IF(OR(AND(L91="Muy Baja",P91="Leve"),AND(L91="Muy Baja",P91="Menor"),AND(L91="Baja",P91="Leve")),"Bajo",IF(OR(AND(L91="Muy baja",P91="Moderado"),AND(L91="Baja",P91="Menor"),AND(L91="Baja",P91="Moderado"),AND(L91="Media",P91="Leve"),AND(L91="Media",P91="Menor"),AND(L91="Media",P91="Moderado"),AND(L91="Alta",P91="Leve"),AND(L91="Alta",P91="Menor")),"Moderado",IF(OR(AND(L91="Muy Baja",P91="Mayor"),AND(L91="Baja",P91="Mayor"),AND(L91="Media",P91="Mayor"),AND(L91="Alta",P91="Moderado"),AND(L91="Alta",P91="Mayor"),AND(L91="Muy Alta",P91="Leve"),AND(L91="Muy Alta",P91="Menor"),AND(L91="Muy Alta",P91="Moderado"),AND(L91="Muy Alta",P91="Mayor")),"Alto",IF(OR(AND(L91="Muy Baja",P91="Catastrófico"),AND(L91="Baja",P91="Catastrófico"),AND(L91="Media",P91="Catastrófico"),AND(L91="Alta",P91="Catastrófico"),AND(L91="Muy Alta",P91="Catastrófico")),"Extremo",""))))</f>
        <v>Alto</v>
      </c>
      <c r="S91" s="248">
        <v>1</v>
      </c>
      <c r="T91" s="321" t="s">
        <v>928</v>
      </c>
      <c r="U91" s="245" t="s">
        <v>293</v>
      </c>
      <c r="V91" s="322" t="str">
        <f>IF(OR(W91="Preventivo",W91="Detectivo"),"Probabilidad",IF(W91="Correctivo","Impacto",""))</f>
        <v>Probabilidad</v>
      </c>
      <c r="W91" s="323" t="s">
        <v>13</v>
      </c>
      <c r="X91" s="323" t="s">
        <v>8</v>
      </c>
      <c r="Y91" s="324" t="str">
        <f>IF(AND(W91="Preventivo",X91="Automático"),"50%",IF(AND(W91="Preventivo",X91="Manual"),"40%",IF(AND(W91="Detectivo",X91="Automático"),"40%",IF(AND(W91="Detectivo",X91="Manual"),"30%",IF(AND(W91="Correctivo",X91="Automático"),"35%",IF(AND(W91="Correctivo",X91="Manual"),"25%",""))))))</f>
        <v>40%</v>
      </c>
      <c r="Z91" s="323" t="s">
        <v>19</v>
      </c>
      <c r="AA91" s="323" t="s">
        <v>21</v>
      </c>
      <c r="AB91" s="323" t="s">
        <v>103</v>
      </c>
      <c r="AC91" s="325">
        <f t="shared" ref="AC91" si="156">IFERROR(IF(V91="Probabilidad",(M91-(+M91*Y91)),IF(V91="Impacto",M91,"")),"")</f>
        <v>0.48</v>
      </c>
      <c r="AD91" s="326" t="str">
        <f>IFERROR(IF(AC91="","",IF(AC91&lt;=0.2,"Muy Baja",IF(AC91&lt;=0.4,"Baja",IF(AC91&lt;=0.6,"Media",IF(AC91&lt;=0.8,"Alta","Muy Alta"))))),"")</f>
        <v>Media</v>
      </c>
      <c r="AE91" s="324">
        <f>+AC91</f>
        <v>0.48</v>
      </c>
      <c r="AF91" s="326" t="str">
        <f ca="1">IFERROR(IF(AG91="","",IF(AG91&lt;=0.2,"Leve",IF(AG91&lt;=0.4,"Menor",IF(AG91&lt;=0.6,"Moderado",IF(AG91&lt;=0.8,"Mayor","Catastrófico"))))),"")</f>
        <v>Mayor</v>
      </c>
      <c r="AG91" s="324">
        <f ca="1">IFERROR(IF(V91="Impacto",(Q91-(+Q91*Y91)),IF(V91="Probabilidad",Q91,"")),"")</f>
        <v>0.8</v>
      </c>
      <c r="AH91" s="328" t="str">
        <f ca="1">IFERROR(IF(OR(AND(AD91="Muy Baja",AF91="Leve"),AND(AD91="Muy Baja",AF91="Menor"),AND(AD91="Baja",AF91="Leve")),"Bajo",IF(OR(AND(AD91="Muy baja",AF91="Moderado"),AND(AD91="Baja",AF91="Menor"),AND(AD91="Baja",AF91="Moderado"),AND(AD91="Media",AF91="Leve"),AND(AD91="Media",AF91="Menor"),AND(AD91="Media",AF91="Moderado"),AND(AD91="Alta",AF91="Leve"),AND(AD91="Alta",AF91="Menor")),"Moderado",IF(OR(AND(AD91="Muy Baja",AF91="Mayor"),AND(AD91="Baja",AF91="Mayor"),AND(AD91="Media",AF91="Mayor"),AND(AD91="Alta",AF91="Moderado"),AND(AD91="Alta",AF91="Mayor"),AND(AD91="Muy Alta",AF91="Leve"),AND(AD91="Muy Alta",AF91="Menor"),AND(AD91="Muy Alta",AF91="Moderado"),AND(AD91="Muy Alta",AF91="Mayor")),"Alto",IF(OR(AND(AD91="Muy Baja",AF91="Catastrófico"),AND(AD91="Baja",AF91="Catastrófico"),AND(AD91="Media",AF91="Catastrófico"),AND(AD91="Alta",AF91="Catastrófico"),AND(AD91="Muy Alta",AF91="Catastrófico")),"Extremo","")))),"")</f>
        <v>Alto</v>
      </c>
      <c r="AI91" s="323" t="s">
        <v>26</v>
      </c>
      <c r="AJ91" s="249">
        <v>4</v>
      </c>
      <c r="AK91" s="249">
        <v>1</v>
      </c>
      <c r="AL91" s="249">
        <v>1</v>
      </c>
      <c r="AM91" s="249">
        <v>2</v>
      </c>
      <c r="AN91" s="240"/>
      <c r="AO91" s="259"/>
      <c r="AP91" s="259"/>
      <c r="AQ91" s="239"/>
      <c r="AR91" s="264"/>
      <c r="AS91" s="265"/>
      <c r="AT91" s="293"/>
      <c r="AU91" s="293"/>
      <c r="AV91" s="293"/>
      <c r="AW91" s="293"/>
      <c r="AX91" s="293"/>
      <c r="AY91" s="293"/>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row>
    <row r="92" spans="1:78" s="295" customFormat="1" ht="9.75" customHeight="1" x14ac:dyDescent="0.2">
      <c r="A92" s="458"/>
      <c r="B92" s="451"/>
      <c r="C92" s="452"/>
      <c r="D92" s="453"/>
      <c r="E92" s="454"/>
      <c r="F92" s="454"/>
      <c r="G92" s="446"/>
      <c r="H92" s="456"/>
      <c r="I92" s="446"/>
      <c r="J92" s="446"/>
      <c r="K92" s="457"/>
      <c r="L92" s="447"/>
      <c r="M92" s="445"/>
      <c r="N92" s="455"/>
      <c r="O92" s="285">
        <f ca="1">IF(NOT(ISERROR(MATCH(N92,_xlfn.ANCHORARRAY(#REF!),0))),#REF!&amp;"Por favor no seleccionar los criterios de impacto",N92)</f>
        <v>0</v>
      </c>
      <c r="P92" s="447"/>
      <c r="Q92" s="445"/>
      <c r="R92" s="459"/>
      <c r="S92" s="248">
        <v>2</v>
      </c>
      <c r="T92" s="330"/>
      <c r="U92" s="245"/>
      <c r="V92" s="322" t="str">
        <f>IF(OR(W92="Preventivo",W92="Detectivo"),"Probabilidad",IF(W92="Correctivo","Impacto",""))</f>
        <v/>
      </c>
      <c r="W92" s="323"/>
      <c r="X92" s="323"/>
      <c r="Y92" s="324" t="str">
        <f>IF(AND(W92="Preventivo",X92="Automático"),"50%",IF(AND(W92="Preventivo",X92="Manual"),"40%",IF(AND(W92="Detectivo",X92="Automático"),"40%",IF(AND(W92="Detectivo",X92="Manual"),"30%",IF(AND(W92="Correctivo",X92="Automático"),"35%",IF(AND(W92="Correctivo",X92="Manual"),"25%",""))))))</f>
        <v/>
      </c>
      <c r="Z92" s="323"/>
      <c r="AA92" s="323"/>
      <c r="AB92" s="323"/>
      <c r="AC92" s="325" t="str">
        <f t="shared" ref="AC92" si="157">IFERROR(IF(AND(V91="Probabilidad",V92="Probabilidad"),(AE91-(+AE91*Y92)),IF(V92="Probabilidad",(M91-(+M91*Y92)),IF(V92="Impacto",AE91,""))),"")</f>
        <v/>
      </c>
      <c r="AD92" s="326" t="str">
        <f t="shared" ref="AD92:AD96" si="158">IFERROR(IF(AC92="","",IF(AC92&lt;=0.2,"Muy Baja",IF(AC92&lt;=0.4,"Baja",IF(AC92&lt;=0.6,"Media",IF(AC92&lt;=0.8,"Alta","Muy Alta"))))),"")</f>
        <v/>
      </c>
      <c r="AE92" s="324" t="str">
        <f>+AC92</f>
        <v/>
      </c>
      <c r="AF92" s="326" t="str">
        <f t="shared" ref="AF92:AF96" si="159">IFERROR(IF(AG92="","",IF(AG92&lt;=0.2,"Leve",IF(AG92&lt;=0.4,"Menor",IF(AG92&lt;=0.6,"Moderado",IF(AG92&lt;=0.8,"Mayor","Catastrófico"))))),"")</f>
        <v/>
      </c>
      <c r="AG92" s="324" t="str">
        <f>IFERROR(IF(AND(V91="Impacto",V92="Impacto"),(AG91-(+AG91*Y92)),IF(V92="Impacto",($Q$91-(+$Q$91*Y92)),IF(V92="Probabilidad",AG91,""))),"")</f>
        <v/>
      </c>
      <c r="AH92" s="328" t="str">
        <f t="shared" ref="AH92:AH93" si="160">IFERROR(IF(OR(AND(AD92="Muy Baja",AF92="Leve"),AND(AD92="Muy Baja",AF92="Menor"),AND(AD92="Baja",AF92="Leve")),"Bajo",IF(OR(AND(AD92="Muy baja",AF92="Moderado"),AND(AD92="Baja",AF92="Menor"),AND(AD92="Baja",AF92="Moderado"),AND(AD92="Media",AF92="Leve"),AND(AD92="Media",AF92="Menor"),AND(AD92="Media",AF92="Moderado"),AND(AD92="Alta",AF92="Leve"),AND(AD92="Alta",AF92="Menor")),"Moderado",IF(OR(AND(AD92="Muy Baja",AF92="Mayor"),AND(AD92="Baja",AF92="Mayor"),AND(AD92="Media",AF92="Mayor"),AND(AD92="Alta",AF92="Moderado"),AND(AD92="Alta",AF92="Mayor"),AND(AD92="Muy Alta",AF92="Leve"),AND(AD92="Muy Alta",AF92="Menor"),AND(AD92="Muy Alta",AF92="Moderado"),AND(AD92="Muy Alta",AF92="Mayor")),"Alto",IF(OR(AND(AD92="Muy Baja",AF92="Catastrófico"),AND(AD92="Baja",AF92="Catastrófico"),AND(AD92="Media",AF92="Catastrófico"),AND(AD92="Alta",AF92="Catastrófico"),AND(AD92="Muy Alta",AF92="Catastrófico")),"Extremo","")))),"")</f>
        <v/>
      </c>
      <c r="AI92" s="323"/>
      <c r="AJ92" s="249"/>
      <c r="AK92" s="249"/>
      <c r="AL92" s="249"/>
      <c r="AM92" s="249"/>
      <c r="AN92" s="278"/>
      <c r="AO92" s="277"/>
      <c r="AP92" s="277"/>
      <c r="AQ92" s="276"/>
      <c r="AR92" s="263"/>
      <c r="AS92" s="277"/>
      <c r="AT92" s="293"/>
      <c r="AU92" s="293"/>
      <c r="AV92" s="293"/>
      <c r="AW92" s="293"/>
      <c r="AX92" s="293"/>
      <c r="AY92" s="293"/>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row>
    <row r="93" spans="1:78" s="295" customFormat="1" ht="9.75" customHeight="1" x14ac:dyDescent="0.2">
      <c r="A93" s="458"/>
      <c r="B93" s="451"/>
      <c r="C93" s="452"/>
      <c r="D93" s="453"/>
      <c r="E93" s="454"/>
      <c r="F93" s="454"/>
      <c r="G93" s="446"/>
      <c r="H93" s="456"/>
      <c r="I93" s="446"/>
      <c r="J93" s="446"/>
      <c r="K93" s="457"/>
      <c r="L93" s="447"/>
      <c r="M93" s="445"/>
      <c r="N93" s="455"/>
      <c r="O93" s="285">
        <f ca="1">IF(NOT(ISERROR(MATCH(N93,_xlfn.ANCHORARRAY(#REF!),0))),#REF!&amp;"Por favor no seleccionar los criterios de impacto",N93)</f>
        <v>0</v>
      </c>
      <c r="P93" s="447"/>
      <c r="Q93" s="445"/>
      <c r="R93" s="459"/>
      <c r="S93" s="248">
        <v>3</v>
      </c>
      <c r="T93" s="330"/>
      <c r="U93" s="245"/>
      <c r="V93" s="322" t="str">
        <f>IF(OR(W93="Preventivo",W93="Detectivo"),"Probabilidad",IF(W93="Correctivo","Impacto",""))</f>
        <v/>
      </c>
      <c r="W93" s="323"/>
      <c r="X93" s="323"/>
      <c r="Y93" s="324" t="str">
        <f>IF(AND(W93="Preventivo",X93="Automático"),"50%",IF(AND(W93="Preventivo",X93="Manual"),"40%",IF(AND(W93="Detectivo",X93="Automático"),"40%",IF(AND(W93="Detectivo",X93="Manual"),"30%",IF(AND(W93="Correctivo",X93="Automático"),"35%",IF(AND(W93="Correctivo",X93="Manual"),"25%",""))))))</f>
        <v/>
      </c>
      <c r="Z93" s="323"/>
      <c r="AA93" s="323"/>
      <c r="AB93" s="323"/>
      <c r="AC93" s="325" t="str">
        <f t="shared" ref="AC93:AC96" si="161">IFERROR(IF(AND(V92="Probabilidad",V93="Probabilidad"),(AE92-(+AE92*Y93)),IF(AND(V92="Impacto",V93="Probabilidad"),(AE91-(+AE91*Y93)),IF(V93="Impacto",AE92,""))),"")</f>
        <v/>
      </c>
      <c r="AD93" s="326" t="str">
        <f t="shared" si="158"/>
        <v/>
      </c>
      <c r="AE93" s="324" t="str">
        <f t="shared" ref="AE93:AE96" si="162">+AC93</f>
        <v/>
      </c>
      <c r="AF93" s="326" t="str">
        <f t="shared" si="159"/>
        <v/>
      </c>
      <c r="AG93" s="324" t="str">
        <f t="shared" ref="AG93:AG96" si="163">IFERROR(IF(AND(V92="Impacto",V93="Impacto"),(AG92-(+AG92*Y93)),IF(V93="Impacto",($Q$91-(+$Q$91*Y93)),IF(V93="Probabilidad",AG92,""))),"")</f>
        <v/>
      </c>
      <c r="AH93" s="328" t="str">
        <f t="shared" si="160"/>
        <v/>
      </c>
      <c r="AI93" s="323"/>
      <c r="AJ93" s="249"/>
      <c r="AK93" s="249"/>
      <c r="AL93" s="249"/>
      <c r="AM93" s="249"/>
      <c r="AN93" s="278"/>
      <c r="AO93" s="277"/>
      <c r="AP93" s="277"/>
      <c r="AQ93" s="276"/>
      <c r="AR93" s="263"/>
      <c r="AS93" s="277"/>
      <c r="AT93" s="293"/>
      <c r="AU93" s="293"/>
      <c r="AV93" s="293"/>
      <c r="AW93" s="293"/>
      <c r="AX93" s="293"/>
      <c r="AY93" s="293"/>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row>
    <row r="94" spans="1:78" s="295" customFormat="1" ht="9.75" customHeight="1" x14ac:dyDescent="0.2">
      <c r="A94" s="458"/>
      <c r="B94" s="451"/>
      <c r="C94" s="452"/>
      <c r="D94" s="453"/>
      <c r="E94" s="454"/>
      <c r="F94" s="454"/>
      <c r="G94" s="446"/>
      <c r="H94" s="456"/>
      <c r="I94" s="446"/>
      <c r="J94" s="446"/>
      <c r="K94" s="457"/>
      <c r="L94" s="447"/>
      <c r="M94" s="445"/>
      <c r="N94" s="455"/>
      <c r="O94" s="285">
        <f ca="1">IF(NOT(ISERROR(MATCH(N94,_xlfn.ANCHORARRAY(#REF!),0))),#REF!&amp;"Por favor no seleccionar los criterios de impacto",N94)</f>
        <v>0</v>
      </c>
      <c r="P94" s="447"/>
      <c r="Q94" s="445"/>
      <c r="R94" s="459"/>
      <c r="S94" s="248">
        <v>4</v>
      </c>
      <c r="T94" s="330"/>
      <c r="U94" s="245"/>
      <c r="V94" s="322" t="str">
        <f t="shared" ref="V94:V96" si="164">IF(OR(W94="Preventivo",W94="Detectivo"),"Probabilidad",IF(W94="Correctivo","Impacto",""))</f>
        <v/>
      </c>
      <c r="W94" s="323"/>
      <c r="X94" s="323"/>
      <c r="Y94" s="324" t="str">
        <f t="shared" ref="Y94:Y96" si="165">IF(AND(W94="Preventivo",X94="Automático"),"50%",IF(AND(W94="Preventivo",X94="Manual"),"40%",IF(AND(W94="Detectivo",X94="Automático"),"40%",IF(AND(W94="Detectivo",X94="Manual"),"30%",IF(AND(W94="Correctivo",X94="Automático"),"35%",IF(AND(W94="Correctivo",X94="Manual"),"25%",""))))))</f>
        <v/>
      </c>
      <c r="Z94" s="323"/>
      <c r="AA94" s="323"/>
      <c r="AB94" s="323"/>
      <c r="AC94" s="325" t="str">
        <f t="shared" si="161"/>
        <v/>
      </c>
      <c r="AD94" s="326" t="str">
        <f t="shared" si="158"/>
        <v/>
      </c>
      <c r="AE94" s="324" t="str">
        <f t="shared" si="162"/>
        <v/>
      </c>
      <c r="AF94" s="326" t="str">
        <f t="shared" si="159"/>
        <v/>
      </c>
      <c r="AG94" s="324" t="str">
        <f t="shared" si="163"/>
        <v/>
      </c>
      <c r="AH94" s="328" t="str">
        <f>IFERROR(IF(OR(AND(AD94="Muy Baja",AF94="Leve"),AND(AD94="Muy Baja",AF94="Menor"),AND(AD94="Baja",AF94="Leve")),"Bajo",IF(OR(AND(AD94="Muy baja",AF94="Moderado"),AND(AD94="Baja",AF94="Menor"),AND(AD94="Baja",AF94="Moderado"),AND(AD94="Media",AF94="Leve"),AND(AD94="Media",AF94="Menor"),AND(AD94="Media",AF94="Moderado"),AND(AD94="Alta",AF94="Leve"),AND(AD94="Alta",AF94="Menor")),"Moderado",IF(OR(AND(AD94="Muy Baja",AF94="Mayor"),AND(AD94="Baja",AF94="Mayor"),AND(AD94="Media",AF94="Mayor"),AND(AD94="Alta",AF94="Moderado"),AND(AD94="Alta",AF94="Mayor"),AND(AD94="Muy Alta",AF94="Leve"),AND(AD94="Muy Alta",AF94="Menor"),AND(AD94="Muy Alta",AF94="Moderado"),AND(AD94="Muy Alta",AF94="Mayor")),"Alto",IF(OR(AND(AD94="Muy Baja",AF94="Catastrófico"),AND(AD94="Baja",AF94="Catastrófico"),AND(AD94="Media",AF94="Catastrófico"),AND(AD94="Alta",AF94="Catastrófico"),AND(AD94="Muy Alta",AF94="Catastrófico")),"Extremo","")))),"")</f>
        <v/>
      </c>
      <c r="AI94" s="323"/>
      <c r="AJ94" s="249"/>
      <c r="AK94" s="249"/>
      <c r="AL94" s="249"/>
      <c r="AM94" s="249"/>
      <c r="AN94" s="278"/>
      <c r="AO94" s="209"/>
      <c r="AP94" s="209"/>
      <c r="AQ94" s="244"/>
      <c r="AR94" s="263"/>
      <c r="AS94" s="209"/>
      <c r="AT94" s="293"/>
      <c r="AU94" s="293"/>
      <c r="AV94" s="293"/>
      <c r="AW94" s="293"/>
      <c r="AX94" s="293"/>
      <c r="AY94" s="293"/>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row>
    <row r="95" spans="1:78" s="295" customFormat="1" ht="9.75" customHeight="1" x14ac:dyDescent="0.2">
      <c r="A95" s="458"/>
      <c r="B95" s="451"/>
      <c r="C95" s="452"/>
      <c r="D95" s="453"/>
      <c r="E95" s="454"/>
      <c r="F95" s="454"/>
      <c r="G95" s="446"/>
      <c r="H95" s="456"/>
      <c r="I95" s="446"/>
      <c r="J95" s="446"/>
      <c r="K95" s="457"/>
      <c r="L95" s="447"/>
      <c r="M95" s="445"/>
      <c r="N95" s="455"/>
      <c r="O95" s="285">
        <f ca="1">IF(NOT(ISERROR(MATCH(N95,_xlfn.ANCHORARRAY(#REF!),0))),#REF!&amp;"Por favor no seleccionar los criterios de impacto",N95)</f>
        <v>0</v>
      </c>
      <c r="P95" s="447"/>
      <c r="Q95" s="445"/>
      <c r="R95" s="459"/>
      <c r="S95" s="248">
        <v>5</v>
      </c>
      <c r="T95" s="330"/>
      <c r="U95" s="245"/>
      <c r="V95" s="322" t="str">
        <f t="shared" si="164"/>
        <v/>
      </c>
      <c r="W95" s="323"/>
      <c r="X95" s="323"/>
      <c r="Y95" s="324" t="str">
        <f t="shared" si="165"/>
        <v/>
      </c>
      <c r="Z95" s="323"/>
      <c r="AA95" s="323"/>
      <c r="AB95" s="323"/>
      <c r="AC95" s="325" t="str">
        <f t="shared" si="161"/>
        <v/>
      </c>
      <c r="AD95" s="326" t="str">
        <f t="shared" si="158"/>
        <v/>
      </c>
      <c r="AE95" s="324" t="str">
        <f t="shared" si="162"/>
        <v/>
      </c>
      <c r="AF95" s="326" t="str">
        <f t="shared" si="159"/>
        <v/>
      </c>
      <c r="AG95" s="324" t="str">
        <f t="shared" si="163"/>
        <v/>
      </c>
      <c r="AH95" s="328" t="str">
        <f t="shared" ref="AH95:AH96" si="166">IFERROR(IF(OR(AND(AD95="Muy Baja",AF95="Leve"),AND(AD95="Muy Baja",AF95="Menor"),AND(AD95="Baja",AF95="Leve")),"Bajo",IF(OR(AND(AD95="Muy baja",AF95="Moderado"),AND(AD95="Baja",AF95="Menor"),AND(AD95="Baja",AF95="Moderado"),AND(AD95="Media",AF95="Leve"),AND(AD95="Media",AF95="Menor"),AND(AD95="Media",AF95="Moderado"),AND(AD95="Alta",AF95="Leve"),AND(AD95="Alta",AF95="Menor")),"Moderado",IF(OR(AND(AD95="Muy Baja",AF95="Mayor"),AND(AD95="Baja",AF95="Mayor"),AND(AD95="Media",AF95="Mayor"),AND(AD95="Alta",AF95="Moderado"),AND(AD95="Alta",AF95="Mayor"),AND(AD95="Muy Alta",AF95="Leve"),AND(AD95="Muy Alta",AF95="Menor"),AND(AD95="Muy Alta",AF95="Moderado"),AND(AD95="Muy Alta",AF95="Mayor")),"Alto",IF(OR(AND(AD95="Muy Baja",AF95="Catastrófico"),AND(AD95="Baja",AF95="Catastrófico"),AND(AD95="Media",AF95="Catastrófico"),AND(AD95="Alta",AF95="Catastrófico"),AND(AD95="Muy Alta",AF95="Catastrófico")),"Extremo","")))),"")</f>
        <v/>
      </c>
      <c r="AI95" s="323"/>
      <c r="AJ95" s="249"/>
      <c r="AK95" s="249"/>
      <c r="AL95" s="249"/>
      <c r="AM95" s="249"/>
      <c r="AN95" s="278"/>
      <c r="AO95" s="276"/>
      <c r="AP95" s="276"/>
      <c r="AQ95" s="278"/>
      <c r="AR95" s="211"/>
      <c r="AS95" s="211"/>
      <c r="AT95" s="293"/>
      <c r="AU95" s="293"/>
      <c r="AV95" s="293"/>
      <c r="AW95" s="293"/>
      <c r="AX95" s="293"/>
      <c r="AY95" s="29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row>
    <row r="96" spans="1:78" s="295" customFormat="1" ht="12.75" customHeight="1" x14ac:dyDescent="0.2">
      <c r="A96" s="458"/>
      <c r="B96" s="451"/>
      <c r="C96" s="452"/>
      <c r="D96" s="453"/>
      <c r="E96" s="454"/>
      <c r="F96" s="454"/>
      <c r="G96" s="446"/>
      <c r="H96" s="456"/>
      <c r="I96" s="446"/>
      <c r="J96" s="446"/>
      <c r="K96" s="457"/>
      <c r="L96" s="447"/>
      <c r="M96" s="445"/>
      <c r="N96" s="455"/>
      <c r="O96" s="285">
        <f ca="1">IF(NOT(ISERROR(MATCH(N96,_xlfn.ANCHORARRAY(#REF!),0))),M49&amp;"Por favor no seleccionar los criterios de impacto",N96)</f>
        <v>0</v>
      </c>
      <c r="P96" s="447"/>
      <c r="Q96" s="445"/>
      <c r="R96" s="459"/>
      <c r="S96" s="248">
        <v>6</v>
      </c>
      <c r="T96" s="330"/>
      <c r="U96" s="245"/>
      <c r="V96" s="322" t="str">
        <f t="shared" si="164"/>
        <v/>
      </c>
      <c r="W96" s="323"/>
      <c r="X96" s="323"/>
      <c r="Y96" s="324" t="str">
        <f t="shared" si="165"/>
        <v/>
      </c>
      <c r="Z96" s="323"/>
      <c r="AA96" s="323"/>
      <c r="AB96" s="323"/>
      <c r="AC96" s="325" t="str">
        <f t="shared" si="161"/>
        <v/>
      </c>
      <c r="AD96" s="326" t="str">
        <f t="shared" si="158"/>
        <v/>
      </c>
      <c r="AE96" s="324" t="str">
        <f t="shared" si="162"/>
        <v/>
      </c>
      <c r="AF96" s="326" t="str">
        <f t="shared" si="159"/>
        <v/>
      </c>
      <c r="AG96" s="324" t="str">
        <f t="shared" si="163"/>
        <v/>
      </c>
      <c r="AH96" s="328" t="str">
        <f t="shared" si="166"/>
        <v/>
      </c>
      <c r="AI96" s="323"/>
      <c r="AJ96" s="249"/>
      <c r="AK96" s="249"/>
      <c r="AL96" s="249"/>
      <c r="AM96" s="249"/>
      <c r="AN96" s="278"/>
      <c r="AO96" s="276"/>
      <c r="AP96" s="276"/>
      <c r="AQ96" s="278"/>
      <c r="AR96" s="211"/>
      <c r="AS96" s="211"/>
      <c r="AT96" s="293"/>
      <c r="AU96" s="293"/>
      <c r="AV96" s="293"/>
      <c r="AW96" s="293"/>
      <c r="AX96" s="293"/>
      <c r="AY96" s="293"/>
      <c r="AZ96" s="293"/>
      <c r="BA96" s="293"/>
      <c r="BB96" s="293"/>
      <c r="BC96" s="293"/>
      <c r="BD96" s="293"/>
      <c r="BE96" s="293"/>
      <c r="BF96" s="293"/>
      <c r="BG96" s="293"/>
      <c r="BH96" s="293"/>
      <c r="BI96" s="293"/>
      <c r="BJ96" s="293"/>
      <c r="BK96" s="293"/>
      <c r="BL96" s="293"/>
      <c r="BM96" s="293"/>
      <c r="BN96" s="293"/>
      <c r="BO96" s="293"/>
      <c r="BP96" s="293"/>
      <c r="BQ96" s="293"/>
      <c r="BR96" s="293"/>
      <c r="BS96" s="293"/>
      <c r="BT96" s="293"/>
      <c r="BU96" s="293"/>
      <c r="BV96" s="293"/>
      <c r="BW96" s="293"/>
      <c r="BX96" s="293"/>
      <c r="BY96" s="293"/>
      <c r="BZ96" s="293"/>
    </row>
    <row r="97" spans="1:78" s="294" customFormat="1" ht="127.5" customHeight="1" x14ac:dyDescent="0.2">
      <c r="A97" s="458" t="s">
        <v>706</v>
      </c>
      <c r="B97" s="451" t="s">
        <v>830</v>
      </c>
      <c r="C97" s="452" t="s">
        <v>596</v>
      </c>
      <c r="D97" s="453" t="s">
        <v>618</v>
      </c>
      <c r="E97" s="454" t="s">
        <v>109</v>
      </c>
      <c r="F97" s="454" t="s">
        <v>962</v>
      </c>
      <c r="G97" s="446" t="s">
        <v>675</v>
      </c>
      <c r="H97" s="456" t="s">
        <v>917</v>
      </c>
      <c r="I97" s="446" t="s">
        <v>654</v>
      </c>
      <c r="J97" s="446" t="s">
        <v>1034</v>
      </c>
      <c r="K97" s="457">
        <v>13020</v>
      </c>
      <c r="L97" s="447" t="str">
        <f t="shared" ref="L97" si="167">IF(K97&lt;=0,"",IF(K97&lt;=2,"Muy Baja",IF(K97&lt;=24,"Baja",IF(K97&lt;=500,"Media",IF(K97&lt;=5000,"Alta","Muy Alta")))))</f>
        <v>Muy Alta</v>
      </c>
      <c r="M97" s="445">
        <f>IF(L97="","",IF(L97="Muy Baja",0.2,IF(L97="Baja",0.4,IF(L97="Media",0.6,IF(L97="Alta",0.8,IF(L97="Muy Alta",1,))))))</f>
        <v>1</v>
      </c>
      <c r="N97" s="455" t="s">
        <v>122</v>
      </c>
      <c r="O97" s="285" t="str">
        <f ca="1">IF(NOT(ISERROR(MATCH(N97,'Tabla Impacto'!$B$221:$B$223,0))),'Tabla Impacto'!$F$223&amp;"Por favor no seleccionar los criterios de impacto(Afectación Económica o presupuestal y Pérdida Reputacional)",N97)</f>
        <v xml:space="preserve">     El riesgo afecta la imagen de de la entidad con efecto publicitario sostenido a nivel de sector administrativo, nivel departamental o municipal</v>
      </c>
      <c r="P97" s="447" t="str">
        <f ca="1">IF(OR(O97='Tabla Impacto'!$C$11,O97='Tabla Impacto'!$D$11),"Leve",IF(OR(O97='Tabla Impacto'!$C$12,O97='Tabla Impacto'!$D$12),"Menor",IF(OR(O97='Tabla Impacto'!$C$13,O97='Tabla Impacto'!$D$13),"Moderado",IF(OR(O97='Tabla Impacto'!$C$14,O97='Tabla Impacto'!$D$14),"Mayor",IF(OR(O97='Tabla Impacto'!$C$15,O97='Tabla Impacto'!$D$15),"Catastrófico","")))))</f>
        <v>Mayor</v>
      </c>
      <c r="Q97" s="445">
        <f ca="1">IF(P97="","",IF(P97="Leve",0.2,IF(P97="Menor",0.4,IF(P97="Moderado",0.6,IF(P97="Mayor",0.8,IF(P97="Catastrófico",1,))))))</f>
        <v>0.8</v>
      </c>
      <c r="R97" s="459" t="str">
        <f ca="1">IF(OR(AND(L97="Muy Baja",P97="Leve"),AND(L97="Muy Baja",P97="Menor"),AND(L97="Baja",P97="Leve")),"Bajo",IF(OR(AND(L97="Muy baja",P97="Moderado"),AND(L97="Baja",P97="Menor"),AND(L97="Baja",P97="Moderado"),AND(L97="Media",P97="Leve"),AND(L97="Media",P97="Menor"),AND(L97="Media",P97="Moderado"),AND(L97="Alta",P97="Leve"),AND(L97="Alta",P97="Menor")),"Moderado",IF(OR(AND(L97="Muy Baja",P97="Mayor"),AND(L97="Baja",P97="Mayor"),AND(L97="Media",P97="Mayor"),AND(L97="Alta",P97="Moderado"),AND(L97="Alta",P97="Mayor"),AND(L97="Muy Alta",P97="Leve"),AND(L97="Muy Alta",P97="Menor"),AND(L97="Muy Alta",P97="Moderado"),AND(L97="Muy Alta",P97="Mayor")),"Alto",IF(OR(AND(L97="Muy Baja",P97="Catastrófico"),AND(L97="Baja",P97="Catastrófico"),AND(L97="Media",P97="Catastrófico"),AND(L97="Alta",P97="Catastrófico"),AND(L97="Muy Alta",P97="Catastrófico")),"Extremo",""))))</f>
        <v>Alto</v>
      </c>
      <c r="S97" s="248">
        <v>1</v>
      </c>
      <c r="T97" s="351" t="s">
        <v>918</v>
      </c>
      <c r="U97" s="350" t="s">
        <v>292</v>
      </c>
      <c r="V97" s="322" t="str">
        <f>IF(OR(W97="Preventivo",W97="Detectivo"),"Probabilidad",IF(W97="Correctivo","Impacto",""))</f>
        <v>Probabilidad</v>
      </c>
      <c r="W97" s="323" t="s">
        <v>14</v>
      </c>
      <c r="X97" s="323" t="s">
        <v>8</v>
      </c>
      <c r="Y97" s="324" t="str">
        <f>IF(AND(W97="Preventivo",X97="Automático"),"50%",IF(AND(W97="Preventivo",X97="Manual"),"40%",IF(AND(W97="Detectivo",X97="Automático"),"40%",IF(AND(W97="Detectivo",X97="Manual"),"30%",IF(AND(W97="Correctivo",X97="Automático"),"35%",IF(AND(W97="Correctivo",X97="Manual"),"25%",""))))))</f>
        <v>30%</v>
      </c>
      <c r="Z97" s="323" t="s">
        <v>19</v>
      </c>
      <c r="AA97" s="323" t="s">
        <v>21</v>
      </c>
      <c r="AB97" s="323" t="s">
        <v>103</v>
      </c>
      <c r="AC97" s="325">
        <f t="shared" ref="AC97" si="168">IFERROR(IF(V97="Probabilidad",(M97-(+M97*Y97)),IF(V97="Impacto",M97,"")),"")</f>
        <v>0.7</v>
      </c>
      <c r="AD97" s="326" t="str">
        <f>IFERROR(IF(AC97="","",IF(AC97&lt;=0.2,"Muy Baja",IF(AC97&lt;=0.4,"Baja",IF(AC97&lt;=0.6,"Media",IF(AC97&lt;=0.8,"Alta","Muy Alta"))))),"")</f>
        <v>Alta</v>
      </c>
      <c r="AE97" s="324">
        <f>+AC97</f>
        <v>0.7</v>
      </c>
      <c r="AF97" s="326" t="str">
        <f ca="1">IFERROR(IF(AG97="","",IF(AG97&lt;=0.2,"Leve",IF(AG97&lt;=0.4,"Menor",IF(AG97&lt;=0.6,"Moderado",IF(AG97&lt;=0.8,"Mayor","Catastrófico"))))),"")</f>
        <v>Mayor</v>
      </c>
      <c r="AG97" s="324">
        <f ca="1">IFERROR(IF(V97="Impacto",(Q97-(+Q97*Y97)),IF(V97="Probabilidad",Q97,"")),"")</f>
        <v>0.8</v>
      </c>
      <c r="AH97" s="328" t="str">
        <f ca="1">IFERROR(IF(OR(AND(AD97="Muy Baja",AF97="Leve"),AND(AD97="Muy Baja",AF97="Menor"),AND(AD97="Baja",AF97="Leve")),"Bajo",IF(OR(AND(AD97="Muy baja",AF97="Moderado"),AND(AD97="Baja",AF97="Menor"),AND(AD97="Baja",AF97="Moderado"),AND(AD97="Media",AF97="Leve"),AND(AD97="Media",AF97="Menor"),AND(AD97="Media",AF97="Moderado"),AND(AD97="Alta",AF97="Leve"),AND(AD97="Alta",AF97="Menor")),"Moderado",IF(OR(AND(AD97="Muy Baja",AF97="Mayor"),AND(AD97="Baja",AF97="Mayor"),AND(AD97="Media",AF97="Mayor"),AND(AD97="Alta",AF97="Moderado"),AND(AD97="Alta",AF97="Mayor"),AND(AD97="Muy Alta",AF97="Leve"),AND(AD97="Muy Alta",AF97="Menor"),AND(AD97="Muy Alta",AF97="Moderado"),AND(AD97="Muy Alta",AF97="Mayor")),"Alto",IF(OR(AND(AD97="Muy Baja",AF97="Catastrófico"),AND(AD97="Baja",AF97="Catastrófico"),AND(AD97="Media",AF97="Catastrófico"),AND(AD97="Alta",AF97="Catastrófico"),AND(AD97="Muy Alta",AF97="Catastrófico")),"Extremo","")))),"")</f>
        <v>Alto</v>
      </c>
      <c r="AI97" s="323" t="s">
        <v>26</v>
      </c>
      <c r="AJ97" s="249">
        <v>12</v>
      </c>
      <c r="AK97" s="249">
        <v>4</v>
      </c>
      <c r="AL97" s="249">
        <v>4</v>
      </c>
      <c r="AM97" s="249">
        <v>4</v>
      </c>
      <c r="AN97" s="240"/>
      <c r="AO97" s="259"/>
      <c r="AP97" s="259"/>
      <c r="AQ97" s="239"/>
      <c r="AR97" s="264"/>
      <c r="AS97" s="265"/>
      <c r="AT97" s="293"/>
      <c r="AU97" s="293"/>
      <c r="AV97" s="293"/>
      <c r="AW97" s="293"/>
      <c r="AX97" s="293"/>
      <c r="AY97" s="293"/>
      <c r="AZ97" s="293"/>
      <c r="BA97" s="293"/>
      <c r="BB97" s="293"/>
      <c r="BC97" s="293"/>
      <c r="BD97" s="293"/>
      <c r="BE97" s="293"/>
      <c r="BF97" s="293"/>
      <c r="BG97" s="293"/>
      <c r="BH97" s="293"/>
      <c r="BI97" s="293"/>
      <c r="BJ97" s="293"/>
      <c r="BK97" s="293"/>
      <c r="BL97" s="293"/>
      <c r="BM97" s="293"/>
      <c r="BN97" s="293"/>
      <c r="BO97" s="293"/>
      <c r="BP97" s="293"/>
      <c r="BQ97" s="293"/>
      <c r="BR97" s="293"/>
      <c r="BS97" s="293"/>
      <c r="BT97" s="293"/>
      <c r="BU97" s="293"/>
      <c r="BV97" s="293"/>
      <c r="BW97" s="293"/>
      <c r="BX97" s="293"/>
      <c r="BY97" s="293"/>
      <c r="BZ97" s="293"/>
    </row>
    <row r="98" spans="1:78" s="295" customFormat="1" ht="170.25" customHeight="1" x14ac:dyDescent="0.2">
      <c r="A98" s="458"/>
      <c r="B98" s="451"/>
      <c r="C98" s="452"/>
      <c r="D98" s="453"/>
      <c r="E98" s="454"/>
      <c r="F98" s="454"/>
      <c r="G98" s="446"/>
      <c r="H98" s="456"/>
      <c r="I98" s="446"/>
      <c r="J98" s="446"/>
      <c r="K98" s="457"/>
      <c r="L98" s="447"/>
      <c r="M98" s="445"/>
      <c r="N98" s="455"/>
      <c r="O98" s="285">
        <f ca="1">IF(NOT(ISERROR(MATCH(N98,_xlfn.ANCHORARRAY(H25),0))),M27&amp;"Por favor no seleccionar los criterios de impacto",N98)</f>
        <v>0</v>
      </c>
      <c r="P98" s="447"/>
      <c r="Q98" s="445"/>
      <c r="R98" s="459"/>
      <c r="S98" s="248">
        <v>2</v>
      </c>
      <c r="T98" s="351" t="s">
        <v>919</v>
      </c>
      <c r="U98" s="350" t="s">
        <v>292</v>
      </c>
      <c r="V98" s="322" t="str">
        <f>IF(OR(W98="Preventivo",W98="Detectivo"),"Probabilidad",IF(W98="Correctivo","Impacto",""))</f>
        <v>Probabilidad</v>
      </c>
      <c r="W98" s="323" t="s">
        <v>13</v>
      </c>
      <c r="X98" s="323" t="s">
        <v>8</v>
      </c>
      <c r="Y98" s="324" t="str">
        <f>IF(AND(W98="Preventivo",X98="Automático"),"50%",IF(AND(W98="Preventivo",X98="Manual"),"40%",IF(AND(W98="Detectivo",X98="Automático"),"40%",IF(AND(W98="Detectivo",X98="Manual"),"30%",IF(AND(W98="Correctivo",X98="Automático"),"35%",IF(AND(W98="Correctivo",X98="Manual"),"25%",""))))))</f>
        <v>40%</v>
      </c>
      <c r="Z98" s="323" t="s">
        <v>18</v>
      </c>
      <c r="AA98" s="323" t="s">
        <v>21</v>
      </c>
      <c r="AB98" s="323" t="s">
        <v>103</v>
      </c>
      <c r="AC98" s="325">
        <f t="shared" ref="AC98" si="169">IFERROR(IF(AND(V97="Probabilidad",V98="Probabilidad"),(AE97-(+AE97*Y98)),IF(V98="Probabilidad",(M97-(+M97*Y98)),IF(V98="Impacto",AE97,""))),"")</f>
        <v>0.42</v>
      </c>
      <c r="AD98" s="326" t="str">
        <f t="shared" ref="AD98:AD102" si="170">IFERROR(IF(AC98="","",IF(AC98&lt;=0.2,"Muy Baja",IF(AC98&lt;=0.4,"Baja",IF(AC98&lt;=0.6,"Media",IF(AC98&lt;=0.8,"Alta","Muy Alta"))))),"")</f>
        <v>Media</v>
      </c>
      <c r="AE98" s="324">
        <f>+AC98</f>
        <v>0.42</v>
      </c>
      <c r="AF98" s="326" t="str">
        <f t="shared" ref="AF98:AF102" ca="1" si="171">IFERROR(IF(AG98="","",IF(AG98&lt;=0.2,"Leve",IF(AG98&lt;=0.4,"Menor",IF(AG98&lt;=0.6,"Moderado",IF(AG98&lt;=0.8,"Mayor","Catastrófico"))))),"")</f>
        <v>Mayor</v>
      </c>
      <c r="AG98" s="324">
        <f ca="1">IFERROR(IF(AND(V97="Impacto",V98="Impacto"),(AG97-(+AG97*Y98)),IF(V98="Impacto",($Q$97-(+$Q$97*Y98)),IF(V98="Probabilidad",AG97,""))),"")</f>
        <v>0.8</v>
      </c>
      <c r="AH98" s="328" t="str">
        <f t="shared" ref="AH98:AH99" ca="1" si="172">IFERROR(IF(OR(AND(AD98="Muy Baja",AF98="Leve"),AND(AD98="Muy Baja",AF98="Menor"),AND(AD98="Baja",AF98="Leve")),"Bajo",IF(OR(AND(AD98="Muy baja",AF98="Moderado"),AND(AD98="Baja",AF98="Menor"),AND(AD98="Baja",AF98="Moderado"),AND(AD98="Media",AF98="Leve"),AND(AD98="Media",AF98="Menor"),AND(AD98="Media",AF98="Moderado"),AND(AD98="Alta",AF98="Leve"),AND(AD98="Alta",AF98="Menor")),"Moderado",IF(OR(AND(AD98="Muy Baja",AF98="Mayor"),AND(AD98="Baja",AF98="Mayor"),AND(AD98="Media",AF98="Mayor"),AND(AD98="Alta",AF98="Moderado"),AND(AD98="Alta",AF98="Mayor"),AND(AD98="Muy Alta",AF98="Leve"),AND(AD98="Muy Alta",AF98="Menor"),AND(AD98="Muy Alta",AF98="Moderado"),AND(AD98="Muy Alta",AF98="Mayor")),"Alto",IF(OR(AND(AD98="Muy Baja",AF98="Catastrófico"),AND(AD98="Baja",AF98="Catastrófico"),AND(AD98="Media",AF98="Catastrófico"),AND(AD98="Alta",AF98="Catastrófico"),AND(AD98="Muy Alta",AF98="Catastrófico")),"Extremo","")))),"")</f>
        <v>Alto</v>
      </c>
      <c r="AI98" s="323" t="s">
        <v>26</v>
      </c>
      <c r="AJ98" s="249">
        <v>12</v>
      </c>
      <c r="AK98" s="249">
        <v>4</v>
      </c>
      <c r="AL98" s="249">
        <v>4</v>
      </c>
      <c r="AM98" s="249">
        <v>4</v>
      </c>
      <c r="AN98" s="278"/>
      <c r="AO98" s="277"/>
      <c r="AP98" s="277"/>
      <c r="AQ98" s="276"/>
      <c r="AR98" s="263"/>
      <c r="AS98" s="277"/>
      <c r="AT98" s="293"/>
      <c r="AU98" s="293"/>
      <c r="AV98" s="293"/>
      <c r="AW98" s="293"/>
      <c r="AX98" s="293"/>
      <c r="AY98" s="293"/>
      <c r="AZ98" s="293"/>
      <c r="BA98" s="293"/>
      <c r="BB98" s="293"/>
      <c r="BC98" s="293"/>
      <c r="BD98" s="293"/>
      <c r="BE98" s="293"/>
      <c r="BF98" s="293"/>
      <c r="BG98" s="293"/>
      <c r="BH98" s="293"/>
      <c r="BI98" s="293"/>
      <c r="BJ98" s="293"/>
      <c r="BK98" s="293"/>
      <c r="BL98" s="293"/>
      <c r="BM98" s="293"/>
      <c r="BN98" s="293"/>
      <c r="BO98" s="293"/>
      <c r="BP98" s="293"/>
      <c r="BQ98" s="293"/>
      <c r="BR98" s="293"/>
      <c r="BS98" s="293"/>
      <c r="BT98" s="293"/>
      <c r="BU98" s="293"/>
      <c r="BV98" s="293"/>
      <c r="BW98" s="293"/>
      <c r="BX98" s="293"/>
      <c r="BY98" s="293"/>
      <c r="BZ98" s="293"/>
    </row>
    <row r="99" spans="1:78" s="295" customFormat="1" ht="8.25" customHeight="1" x14ac:dyDescent="0.2">
      <c r="A99" s="458"/>
      <c r="B99" s="451"/>
      <c r="C99" s="452"/>
      <c r="D99" s="453"/>
      <c r="E99" s="454"/>
      <c r="F99" s="454"/>
      <c r="G99" s="446"/>
      <c r="H99" s="456"/>
      <c r="I99" s="446"/>
      <c r="J99" s="446"/>
      <c r="K99" s="457"/>
      <c r="L99" s="447"/>
      <c r="M99" s="445"/>
      <c r="N99" s="455"/>
      <c r="O99" s="285">
        <f ca="1">IF(NOT(ISERROR(MATCH(N99,_xlfn.ANCHORARRAY(H26),0))),M28&amp;"Por favor no seleccionar los criterios de impacto",N99)</f>
        <v>0</v>
      </c>
      <c r="P99" s="447"/>
      <c r="Q99" s="445"/>
      <c r="R99" s="459"/>
      <c r="S99" s="248">
        <v>3</v>
      </c>
      <c r="T99" s="330"/>
      <c r="U99" s="245"/>
      <c r="V99" s="322" t="str">
        <f>IF(OR(W99="Preventivo",W99="Detectivo"),"Probabilidad",IF(W99="Correctivo","Impacto",""))</f>
        <v/>
      </c>
      <c r="W99" s="323"/>
      <c r="X99" s="323"/>
      <c r="Y99" s="324" t="str">
        <f>IF(AND(W99="Preventivo",X99="Automático"),"50%",IF(AND(W99="Preventivo",X99="Manual"),"40%",IF(AND(W99="Detectivo",X99="Automático"),"40%",IF(AND(W99="Detectivo",X99="Manual"),"30%",IF(AND(W99="Correctivo",X99="Automático"),"35%",IF(AND(W99="Correctivo",X99="Manual"),"25%",""))))))</f>
        <v/>
      </c>
      <c r="Z99" s="323"/>
      <c r="AA99" s="323"/>
      <c r="AB99" s="323"/>
      <c r="AC99" s="325" t="str">
        <f t="shared" ref="AC99:AC102" si="173">IFERROR(IF(AND(V98="Probabilidad",V99="Probabilidad"),(AE98-(+AE98*Y99)),IF(AND(V98="Impacto",V99="Probabilidad"),(AE97-(+AE97*Y99)),IF(V99="Impacto",AE98,""))),"")</f>
        <v/>
      </c>
      <c r="AD99" s="326" t="str">
        <f t="shared" si="170"/>
        <v/>
      </c>
      <c r="AE99" s="324" t="str">
        <f t="shared" ref="AE99:AE102" si="174">+AC99</f>
        <v/>
      </c>
      <c r="AF99" s="326" t="str">
        <f t="shared" si="171"/>
        <v/>
      </c>
      <c r="AG99" s="324" t="str">
        <f t="shared" ref="AG99:AG102" si="175">IFERROR(IF(AND(V98="Impacto",V99="Impacto"),(AG98-(+AG98*Y99)),IF(V99="Impacto",($Q$97-(+$Q$97*Y99)),IF(V99="Probabilidad",AG98,""))),"")</f>
        <v/>
      </c>
      <c r="AH99" s="328" t="str">
        <f t="shared" si="172"/>
        <v/>
      </c>
      <c r="AI99" s="323"/>
      <c r="AJ99" s="249"/>
      <c r="AK99" s="249"/>
      <c r="AL99" s="249"/>
      <c r="AM99" s="249"/>
      <c r="AN99" s="278"/>
      <c r="AO99" s="277"/>
      <c r="AP99" s="277"/>
      <c r="AQ99" s="276"/>
      <c r="AR99" s="263"/>
      <c r="AS99" s="277"/>
      <c r="AT99" s="293"/>
      <c r="AU99" s="293"/>
      <c r="AV99" s="293"/>
      <c r="AW99" s="293"/>
      <c r="AX99" s="293"/>
      <c r="AY99" s="293"/>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row>
    <row r="100" spans="1:78" s="295" customFormat="1" ht="8.25" customHeight="1" x14ac:dyDescent="0.2">
      <c r="A100" s="458"/>
      <c r="B100" s="451"/>
      <c r="C100" s="452"/>
      <c r="D100" s="453"/>
      <c r="E100" s="454"/>
      <c r="F100" s="454"/>
      <c r="G100" s="446"/>
      <c r="H100" s="456"/>
      <c r="I100" s="446"/>
      <c r="J100" s="446"/>
      <c r="K100" s="457"/>
      <c r="L100" s="447"/>
      <c r="M100" s="445"/>
      <c r="N100" s="455"/>
      <c r="O100" s="285">
        <f ca="1">IF(NOT(ISERROR(MATCH(N100,_xlfn.ANCHORARRAY(H27),0))),M29&amp;"Por favor no seleccionar los criterios de impacto",N100)</f>
        <v>0</v>
      </c>
      <c r="P100" s="447"/>
      <c r="Q100" s="445"/>
      <c r="R100" s="459"/>
      <c r="S100" s="248">
        <v>4</v>
      </c>
      <c r="T100" s="330"/>
      <c r="U100" s="245"/>
      <c r="V100" s="322" t="str">
        <f t="shared" ref="V100:V102" si="176">IF(OR(W100="Preventivo",W100="Detectivo"),"Probabilidad",IF(W100="Correctivo","Impacto",""))</f>
        <v/>
      </c>
      <c r="W100" s="323"/>
      <c r="X100" s="323"/>
      <c r="Y100" s="324" t="str">
        <f t="shared" ref="Y100:Y102" si="177">IF(AND(W100="Preventivo",X100="Automático"),"50%",IF(AND(W100="Preventivo",X100="Manual"),"40%",IF(AND(W100="Detectivo",X100="Automático"),"40%",IF(AND(W100="Detectivo",X100="Manual"),"30%",IF(AND(W100="Correctivo",X100="Automático"),"35%",IF(AND(W100="Correctivo",X100="Manual"),"25%",""))))))</f>
        <v/>
      </c>
      <c r="Z100" s="323"/>
      <c r="AA100" s="323"/>
      <c r="AB100" s="323"/>
      <c r="AC100" s="325" t="str">
        <f t="shared" si="173"/>
        <v/>
      </c>
      <c r="AD100" s="326" t="str">
        <f t="shared" si="170"/>
        <v/>
      </c>
      <c r="AE100" s="324" t="str">
        <f t="shared" si="174"/>
        <v/>
      </c>
      <c r="AF100" s="326" t="str">
        <f t="shared" si="171"/>
        <v/>
      </c>
      <c r="AG100" s="324" t="str">
        <f t="shared" si="175"/>
        <v/>
      </c>
      <c r="AH100" s="328" t="str">
        <f>IFERROR(IF(OR(AND(AD100="Muy Baja",AF100="Leve"),AND(AD100="Muy Baja",AF100="Menor"),AND(AD100="Baja",AF100="Leve")),"Bajo",IF(OR(AND(AD100="Muy baja",AF100="Moderado"),AND(AD100="Baja",AF100="Menor"),AND(AD100="Baja",AF100="Moderado"),AND(AD100="Media",AF100="Leve"),AND(AD100="Media",AF100="Menor"),AND(AD100="Media",AF100="Moderado"),AND(AD100="Alta",AF100="Leve"),AND(AD100="Alta",AF100="Menor")),"Moderado",IF(OR(AND(AD100="Muy Baja",AF100="Mayor"),AND(AD100="Baja",AF100="Mayor"),AND(AD100="Media",AF100="Mayor"),AND(AD100="Alta",AF100="Moderado"),AND(AD100="Alta",AF100="Mayor"),AND(AD100="Muy Alta",AF100="Leve"),AND(AD100="Muy Alta",AF100="Menor"),AND(AD100="Muy Alta",AF100="Moderado"),AND(AD100="Muy Alta",AF100="Mayor")),"Alto",IF(OR(AND(AD100="Muy Baja",AF100="Catastrófico"),AND(AD100="Baja",AF100="Catastrófico"),AND(AD100="Media",AF100="Catastrófico"),AND(AD100="Alta",AF100="Catastrófico"),AND(AD100="Muy Alta",AF100="Catastrófico")),"Extremo","")))),"")</f>
        <v/>
      </c>
      <c r="AI100" s="323"/>
      <c r="AJ100" s="249"/>
      <c r="AK100" s="249"/>
      <c r="AL100" s="249"/>
      <c r="AM100" s="249"/>
      <c r="AN100" s="278"/>
      <c r="AO100" s="209"/>
      <c r="AP100" s="209"/>
      <c r="AQ100" s="244"/>
      <c r="AR100" s="263"/>
      <c r="AS100" s="209"/>
      <c r="AT100" s="293"/>
      <c r="AU100" s="293"/>
      <c r="AV100" s="293"/>
      <c r="AW100" s="293"/>
      <c r="AX100" s="293"/>
      <c r="AY100" s="293"/>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row>
    <row r="101" spans="1:78" s="295" customFormat="1" ht="8.25" customHeight="1" x14ac:dyDescent="0.2">
      <c r="A101" s="458"/>
      <c r="B101" s="451"/>
      <c r="C101" s="452"/>
      <c r="D101" s="453"/>
      <c r="E101" s="454"/>
      <c r="F101" s="454"/>
      <c r="G101" s="446"/>
      <c r="H101" s="456"/>
      <c r="I101" s="446"/>
      <c r="J101" s="446"/>
      <c r="K101" s="457"/>
      <c r="L101" s="447"/>
      <c r="M101" s="445"/>
      <c r="N101" s="455"/>
      <c r="O101" s="285">
        <f ca="1">IF(NOT(ISERROR(MATCH(N101,_xlfn.ANCHORARRAY(H28),0))),M30&amp;"Por favor no seleccionar los criterios de impacto",N101)</f>
        <v>0</v>
      </c>
      <c r="P101" s="447"/>
      <c r="Q101" s="445"/>
      <c r="R101" s="459"/>
      <c r="S101" s="248">
        <v>5</v>
      </c>
      <c r="T101" s="330"/>
      <c r="U101" s="245"/>
      <c r="V101" s="322" t="str">
        <f t="shared" si="176"/>
        <v/>
      </c>
      <c r="W101" s="323"/>
      <c r="X101" s="323"/>
      <c r="Y101" s="324" t="str">
        <f t="shared" si="177"/>
        <v/>
      </c>
      <c r="Z101" s="323"/>
      <c r="AA101" s="323"/>
      <c r="AB101" s="323"/>
      <c r="AC101" s="325" t="str">
        <f t="shared" si="173"/>
        <v/>
      </c>
      <c r="AD101" s="326" t="str">
        <f t="shared" si="170"/>
        <v/>
      </c>
      <c r="AE101" s="324" t="str">
        <f t="shared" si="174"/>
        <v/>
      </c>
      <c r="AF101" s="326" t="str">
        <f t="shared" si="171"/>
        <v/>
      </c>
      <c r="AG101" s="324" t="str">
        <f t="shared" si="175"/>
        <v/>
      </c>
      <c r="AH101" s="328" t="str">
        <f t="shared" ref="AH101:AH102" si="178">IFERROR(IF(OR(AND(AD101="Muy Baja",AF101="Leve"),AND(AD101="Muy Baja",AF101="Menor"),AND(AD101="Baja",AF101="Leve")),"Bajo",IF(OR(AND(AD101="Muy baja",AF101="Moderado"),AND(AD101="Baja",AF101="Menor"),AND(AD101="Baja",AF101="Moderado"),AND(AD101="Media",AF101="Leve"),AND(AD101="Media",AF101="Menor"),AND(AD101="Media",AF101="Moderado"),AND(AD101="Alta",AF101="Leve"),AND(AD101="Alta",AF101="Menor")),"Moderado",IF(OR(AND(AD101="Muy Baja",AF101="Mayor"),AND(AD101="Baja",AF101="Mayor"),AND(AD101="Media",AF101="Mayor"),AND(AD101="Alta",AF101="Moderado"),AND(AD101="Alta",AF101="Mayor"),AND(AD101="Muy Alta",AF101="Leve"),AND(AD101="Muy Alta",AF101="Menor"),AND(AD101="Muy Alta",AF101="Moderado"),AND(AD101="Muy Alta",AF101="Mayor")),"Alto",IF(OR(AND(AD101="Muy Baja",AF101="Catastrófico"),AND(AD101="Baja",AF101="Catastrófico"),AND(AD101="Media",AF101="Catastrófico"),AND(AD101="Alta",AF101="Catastrófico"),AND(AD101="Muy Alta",AF101="Catastrófico")),"Extremo","")))),"")</f>
        <v/>
      </c>
      <c r="AI101" s="323"/>
      <c r="AJ101" s="249"/>
      <c r="AK101" s="249"/>
      <c r="AL101" s="249"/>
      <c r="AM101" s="249"/>
      <c r="AN101" s="278"/>
      <c r="AO101" s="276"/>
      <c r="AP101" s="276"/>
      <c r="AQ101" s="278"/>
      <c r="AR101" s="211"/>
      <c r="AS101" s="211"/>
      <c r="AT101" s="293"/>
      <c r="AU101" s="293"/>
      <c r="AV101" s="293"/>
      <c r="AW101" s="293"/>
      <c r="AX101" s="293"/>
      <c r="AY101" s="293"/>
      <c r="AZ101" s="293"/>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row>
    <row r="102" spans="1:78" s="295" customFormat="1" ht="8.25" customHeight="1" x14ac:dyDescent="0.2">
      <c r="A102" s="458"/>
      <c r="B102" s="451"/>
      <c r="C102" s="452"/>
      <c r="D102" s="453"/>
      <c r="E102" s="454"/>
      <c r="F102" s="454"/>
      <c r="G102" s="446"/>
      <c r="H102" s="456"/>
      <c r="I102" s="446"/>
      <c r="J102" s="446"/>
      <c r="K102" s="457"/>
      <c r="L102" s="447"/>
      <c r="M102" s="445"/>
      <c r="N102" s="455"/>
      <c r="O102" s="285">
        <f ca="1">IF(NOT(ISERROR(MATCH(N102,_xlfn.ANCHORARRAY(H29),0))),M37&amp;"Por favor no seleccionar los criterios de impacto",N102)</f>
        <v>0</v>
      </c>
      <c r="P102" s="447"/>
      <c r="Q102" s="445"/>
      <c r="R102" s="459"/>
      <c r="S102" s="248">
        <v>6</v>
      </c>
      <c r="T102" s="330"/>
      <c r="U102" s="245"/>
      <c r="V102" s="322" t="str">
        <f t="shared" si="176"/>
        <v/>
      </c>
      <c r="W102" s="323"/>
      <c r="X102" s="323"/>
      <c r="Y102" s="324" t="str">
        <f t="shared" si="177"/>
        <v/>
      </c>
      <c r="Z102" s="323"/>
      <c r="AA102" s="323"/>
      <c r="AB102" s="323"/>
      <c r="AC102" s="325" t="str">
        <f t="shared" si="173"/>
        <v/>
      </c>
      <c r="AD102" s="326" t="str">
        <f t="shared" si="170"/>
        <v/>
      </c>
      <c r="AE102" s="324" t="str">
        <f t="shared" si="174"/>
        <v/>
      </c>
      <c r="AF102" s="326" t="str">
        <f t="shared" si="171"/>
        <v/>
      </c>
      <c r="AG102" s="324" t="str">
        <f t="shared" si="175"/>
        <v/>
      </c>
      <c r="AH102" s="328" t="str">
        <f t="shared" si="178"/>
        <v/>
      </c>
      <c r="AI102" s="323"/>
      <c r="AJ102" s="249"/>
      <c r="AK102" s="249"/>
      <c r="AL102" s="249"/>
      <c r="AM102" s="249"/>
      <c r="AN102" s="278"/>
      <c r="AO102" s="276"/>
      <c r="AP102" s="276"/>
      <c r="AQ102" s="278"/>
      <c r="AR102" s="211"/>
      <c r="AS102" s="211"/>
      <c r="AT102" s="293"/>
      <c r="AU102" s="293"/>
      <c r="AV102" s="293"/>
      <c r="AW102" s="293"/>
      <c r="AX102" s="293"/>
      <c r="AY102" s="293"/>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row>
    <row r="103" spans="1:78" s="294" customFormat="1" ht="87.75" customHeight="1" x14ac:dyDescent="0.2">
      <c r="A103" s="458" t="s">
        <v>1014</v>
      </c>
      <c r="B103" s="451" t="s">
        <v>830</v>
      </c>
      <c r="C103" s="452" t="s">
        <v>597</v>
      </c>
      <c r="D103" s="453" t="s">
        <v>623</v>
      </c>
      <c r="E103" s="454" t="s">
        <v>109</v>
      </c>
      <c r="F103" s="454" t="s">
        <v>1035</v>
      </c>
      <c r="G103" s="446" t="s">
        <v>675</v>
      </c>
      <c r="H103" s="456" t="s">
        <v>965</v>
      </c>
      <c r="I103" s="446" t="s">
        <v>654</v>
      </c>
      <c r="J103" s="446" t="s">
        <v>1036</v>
      </c>
      <c r="K103" s="457">
        <v>365</v>
      </c>
      <c r="L103" s="447" t="str">
        <f t="shared" ref="L103" si="179">IF(K103&lt;=0,"",IF(K103&lt;=2,"Muy Baja",IF(K103&lt;=24,"Baja",IF(K103&lt;=500,"Media",IF(K103&lt;=5000,"Alta","Muy Alta")))))</f>
        <v>Media</v>
      </c>
      <c r="M103" s="445">
        <f>IF(L103="","",IF(L103="Muy Baja",0.2,IF(L103="Baja",0.4,IF(L103="Media",0.6,IF(L103="Alta",0.8,IF(L103="Muy Alta",1,))))))</f>
        <v>0.6</v>
      </c>
      <c r="N103" s="455" t="s">
        <v>122</v>
      </c>
      <c r="O103" s="285" t="str">
        <f ca="1">IF(NOT(ISERROR(MATCH(N103,'Tabla Impacto'!$B$221:$B$223,0))),'Tabla Impacto'!$F$223&amp;"Por favor no seleccionar los criterios de impacto(Afectación Económica o presupuestal y Pérdida Reputacional)",N103)</f>
        <v xml:space="preserve">     El riesgo afecta la imagen de de la entidad con efecto publicitario sostenido a nivel de sector administrativo, nivel departamental o municipal</v>
      </c>
      <c r="P103" s="447" t="str">
        <f ca="1">IF(OR(O103='Tabla Impacto'!$C$11,O103='Tabla Impacto'!$D$11),"Leve",IF(OR(O103='Tabla Impacto'!$C$12,O103='Tabla Impacto'!$D$12),"Menor",IF(OR(O103='Tabla Impacto'!$C$13,O103='Tabla Impacto'!$D$13),"Moderado",IF(OR(O103='Tabla Impacto'!$C$14,O103='Tabla Impacto'!$D$14),"Mayor",IF(OR(O103='Tabla Impacto'!$C$15,O103='Tabla Impacto'!$D$15),"Catastrófico","")))))</f>
        <v>Mayor</v>
      </c>
      <c r="Q103" s="445">
        <f ca="1">IF(P103="","",IF(P103="Leve",0.2,IF(P103="Menor",0.4,IF(P103="Moderado",0.6,IF(P103="Mayor",0.8,IF(P103="Catastrófico",1,))))))</f>
        <v>0.8</v>
      </c>
      <c r="R103" s="459" t="str">
        <f ca="1">IF(OR(AND(L103="Muy Baja",P103="Leve"),AND(L103="Muy Baja",P103="Menor"),AND(L103="Baja",P103="Leve")),"Bajo",IF(OR(AND(L103="Muy baja",P103="Moderado"),AND(L103="Baja",P103="Menor"),AND(L103="Baja",P103="Moderado"),AND(L103="Media",P103="Leve"),AND(L103="Media",P103="Menor"),AND(L103="Media",P103="Moderado"),AND(L103="Alta",P103="Leve"),AND(L103="Alta",P103="Menor")),"Moderado",IF(OR(AND(L103="Muy Baja",P103="Mayor"),AND(L103="Baja",P103="Mayor"),AND(L103="Media",P103="Mayor"),AND(L103="Alta",P103="Moderado"),AND(L103="Alta",P103="Mayor"),AND(L103="Muy Alta",P103="Leve"),AND(L103="Muy Alta",P103="Menor"),AND(L103="Muy Alta",P103="Moderado"),AND(L103="Muy Alta",P103="Mayor")),"Alto",IF(OR(AND(L103="Muy Baja",P103="Catastrófico"),AND(L103="Baja",P103="Catastrófico"),AND(L103="Media",P103="Catastrófico"),AND(L103="Alta",P103="Catastrófico"),AND(L103="Muy Alta",P103="Catastrófico")),"Extremo",""))))</f>
        <v>Alto</v>
      </c>
      <c r="S103" s="248">
        <v>1</v>
      </c>
      <c r="T103" s="321" t="s">
        <v>966</v>
      </c>
      <c r="U103" s="245" t="s">
        <v>293</v>
      </c>
      <c r="V103" s="322" t="str">
        <f>IF(OR(W103="Preventivo",W103="Detectivo"),"Probabilidad",IF(W103="Correctivo","Impacto",""))</f>
        <v>Probabilidad</v>
      </c>
      <c r="W103" s="323" t="s">
        <v>13</v>
      </c>
      <c r="X103" s="323" t="s">
        <v>8</v>
      </c>
      <c r="Y103" s="324" t="str">
        <f>IF(AND(W103="Preventivo",X103="Automático"),"50%",IF(AND(W103="Preventivo",X103="Manual"),"40%",IF(AND(W103="Detectivo",X103="Automático"),"40%",IF(AND(W103="Detectivo",X103="Manual"),"30%",IF(AND(W103="Correctivo",X103="Automático"),"35%",IF(AND(W103="Correctivo",X103="Manual"),"25%",""))))))</f>
        <v>40%</v>
      </c>
      <c r="Z103" s="323" t="s">
        <v>18</v>
      </c>
      <c r="AA103" s="323" t="s">
        <v>21</v>
      </c>
      <c r="AB103" s="323" t="s">
        <v>103</v>
      </c>
      <c r="AC103" s="325">
        <f t="shared" ref="AC103" si="180">IFERROR(IF(V103="Probabilidad",(M103-(+M103*Y103)),IF(V103="Impacto",M103,"")),"")</f>
        <v>0.36</v>
      </c>
      <c r="AD103" s="326" t="str">
        <f>IFERROR(IF(AC103="","",IF(AC103&lt;=0.2,"Muy Baja",IF(AC103&lt;=0.4,"Baja",IF(AC103&lt;=0.6,"Media",IF(AC103&lt;=0.8,"Alta","Muy Alta"))))),"")</f>
        <v>Baja</v>
      </c>
      <c r="AE103" s="324">
        <f>+AC103</f>
        <v>0.36</v>
      </c>
      <c r="AF103" s="326" t="str">
        <f ca="1">IFERROR(IF(AG103="","",IF(AG103&lt;=0.2,"Leve",IF(AG103&lt;=0.4,"Menor",IF(AG103&lt;=0.6,"Moderado",IF(AG103&lt;=0.8,"Mayor","Catastrófico"))))),"")</f>
        <v>Mayor</v>
      </c>
      <c r="AG103" s="324">
        <f ca="1">IFERROR(IF(V103="Impacto",(Q103-(+Q103*Y103)),IF(V103="Probabilidad",Q103,"")),"")</f>
        <v>0.8</v>
      </c>
      <c r="AH103" s="328" t="str">
        <f ca="1">IFERROR(IF(OR(AND(AD103="Muy Baja",AF103="Leve"),AND(AD103="Muy Baja",AF103="Menor"),AND(AD103="Baja",AF103="Leve")),"Bajo",IF(OR(AND(AD103="Muy baja",AF103="Moderado"),AND(AD103="Baja",AF103="Menor"),AND(AD103="Baja",AF103="Moderado"),AND(AD103="Media",AF103="Leve"),AND(AD103="Media",AF103="Menor"),AND(AD103="Media",AF103="Moderado"),AND(AD103="Alta",AF103="Leve"),AND(AD103="Alta",AF103="Menor")),"Moderado",IF(OR(AND(AD103="Muy Baja",AF103="Mayor"),AND(AD103="Baja",AF103="Mayor"),AND(AD103="Media",AF103="Mayor"),AND(AD103="Alta",AF103="Moderado"),AND(AD103="Alta",AF103="Mayor"),AND(AD103="Muy Alta",AF103="Leve"),AND(AD103="Muy Alta",AF103="Menor"),AND(AD103="Muy Alta",AF103="Moderado"),AND(AD103="Muy Alta",AF103="Mayor")),"Alto",IF(OR(AND(AD103="Muy Baja",AF103="Catastrófico"),AND(AD103="Baja",AF103="Catastrófico"),AND(AD103="Media",AF103="Catastrófico"),AND(AD103="Alta",AF103="Catastrófico"),AND(AD103="Muy Alta",AF103="Catastrófico")),"Extremo","")))),"")</f>
        <v>Alto</v>
      </c>
      <c r="AI103" s="323" t="s">
        <v>26</v>
      </c>
      <c r="AJ103" s="249">
        <v>1</v>
      </c>
      <c r="AK103" s="249">
        <v>1</v>
      </c>
      <c r="AL103" s="249">
        <v>0</v>
      </c>
      <c r="AM103" s="249">
        <v>0</v>
      </c>
      <c r="AN103" s="240"/>
      <c r="AO103" s="259"/>
      <c r="AP103" s="259"/>
      <c r="AQ103" s="239"/>
      <c r="AR103" s="264"/>
      <c r="AS103" s="265"/>
      <c r="AT103" s="293"/>
      <c r="AU103" s="293"/>
      <c r="AV103" s="293"/>
      <c r="AW103" s="293"/>
      <c r="AX103" s="293"/>
      <c r="AY103" s="293"/>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row>
    <row r="104" spans="1:78" s="295" customFormat="1" ht="94.5" customHeight="1" x14ac:dyDescent="0.2">
      <c r="A104" s="458"/>
      <c r="B104" s="451"/>
      <c r="C104" s="452"/>
      <c r="D104" s="453"/>
      <c r="E104" s="454"/>
      <c r="F104" s="454"/>
      <c r="G104" s="446"/>
      <c r="H104" s="456"/>
      <c r="I104" s="446"/>
      <c r="J104" s="446"/>
      <c r="K104" s="457"/>
      <c r="L104" s="447"/>
      <c r="M104" s="445"/>
      <c r="N104" s="455"/>
      <c r="O104" s="285">
        <f ca="1">IF(NOT(ISERROR(MATCH(N104,_xlfn.ANCHORARRAY(H37),0))),M39&amp;"Por favor no seleccionar los criterios de impacto",N104)</f>
        <v>0</v>
      </c>
      <c r="P104" s="447"/>
      <c r="Q104" s="445"/>
      <c r="R104" s="459"/>
      <c r="S104" s="248">
        <v>2</v>
      </c>
      <c r="T104" s="321" t="s">
        <v>1037</v>
      </c>
      <c r="U104" s="245" t="s">
        <v>293</v>
      </c>
      <c r="V104" s="322" t="str">
        <f>IF(OR(W104="Preventivo",W104="Detectivo"),"Probabilidad",IF(W104="Correctivo","Impacto",""))</f>
        <v>Probabilidad</v>
      </c>
      <c r="W104" s="323" t="s">
        <v>13</v>
      </c>
      <c r="X104" s="323" t="s">
        <v>8</v>
      </c>
      <c r="Y104" s="324" t="str">
        <f>IF(AND(W104="Preventivo",X104="Automático"),"50%",IF(AND(W104="Preventivo",X104="Manual"),"40%",IF(AND(W104="Detectivo",X104="Automático"),"40%",IF(AND(W104="Detectivo",X104="Manual"),"30%",IF(AND(W104="Correctivo",X104="Automático"),"35%",IF(AND(W104="Correctivo",X104="Manual"),"25%",""))))))</f>
        <v>40%</v>
      </c>
      <c r="Z104" s="323" t="s">
        <v>19</v>
      </c>
      <c r="AA104" s="323" t="s">
        <v>21</v>
      </c>
      <c r="AB104" s="323" t="s">
        <v>103</v>
      </c>
      <c r="AC104" s="325">
        <f t="shared" ref="AC104" si="181">IFERROR(IF(AND(V103="Probabilidad",V104="Probabilidad"),(AE103-(+AE103*Y104)),IF(V104="Probabilidad",(M103-(+M103*Y104)),IF(V104="Impacto",AE103,""))),"")</f>
        <v>0.216</v>
      </c>
      <c r="AD104" s="326" t="str">
        <f t="shared" ref="AD104:AD108" si="182">IFERROR(IF(AC104="","",IF(AC104&lt;=0.2,"Muy Baja",IF(AC104&lt;=0.4,"Baja",IF(AC104&lt;=0.6,"Media",IF(AC104&lt;=0.8,"Alta","Muy Alta"))))),"")</f>
        <v>Baja</v>
      </c>
      <c r="AE104" s="324">
        <f>+AC104</f>
        <v>0.216</v>
      </c>
      <c r="AF104" s="326" t="str">
        <f t="shared" ref="AF104:AF108" ca="1" si="183">IFERROR(IF(AG104="","",IF(AG104&lt;=0.2,"Leve",IF(AG104&lt;=0.4,"Menor",IF(AG104&lt;=0.6,"Moderado",IF(AG104&lt;=0.8,"Mayor","Catastrófico"))))),"")</f>
        <v>Mayor</v>
      </c>
      <c r="AG104" s="324">
        <f ca="1">IFERROR(IF(AND(V103="Impacto",V104="Impacto"),(AG103-(+AG103*Y104)),IF(V104="Impacto",($Q$103-(+$Q$103*Y104)),IF(V104="Probabilidad",AG103,""))),"")</f>
        <v>0.8</v>
      </c>
      <c r="AH104" s="328" t="str">
        <f t="shared" ref="AH104:AH105" ca="1" si="184">IFERROR(IF(OR(AND(AD104="Muy Baja",AF104="Leve"),AND(AD104="Muy Baja",AF104="Menor"),AND(AD104="Baja",AF104="Leve")),"Bajo",IF(OR(AND(AD104="Muy baja",AF104="Moderado"),AND(AD104="Baja",AF104="Menor"),AND(AD104="Baja",AF104="Moderado"),AND(AD104="Media",AF104="Leve"),AND(AD104="Media",AF104="Menor"),AND(AD104="Media",AF104="Moderado"),AND(AD104="Alta",AF104="Leve"),AND(AD104="Alta",AF104="Menor")),"Moderado",IF(OR(AND(AD104="Muy Baja",AF104="Mayor"),AND(AD104="Baja",AF104="Mayor"),AND(AD104="Media",AF104="Mayor"),AND(AD104="Alta",AF104="Moderado"),AND(AD104="Alta",AF104="Mayor"),AND(AD104="Muy Alta",AF104="Leve"),AND(AD104="Muy Alta",AF104="Menor"),AND(AD104="Muy Alta",AF104="Moderado"),AND(AD104="Muy Alta",AF104="Mayor")),"Alto",IF(OR(AND(AD104="Muy Baja",AF104="Catastrófico"),AND(AD104="Baja",AF104="Catastrófico"),AND(AD104="Media",AF104="Catastrófico"),AND(AD104="Alta",AF104="Catastrófico"),AND(AD104="Muy Alta",AF104="Catastrófico")),"Extremo","")))),"")</f>
        <v>Alto</v>
      </c>
      <c r="AI104" s="323" t="s">
        <v>26</v>
      </c>
      <c r="AJ104" s="249">
        <v>2</v>
      </c>
      <c r="AK104" s="249">
        <v>0</v>
      </c>
      <c r="AL104" s="249">
        <v>1</v>
      </c>
      <c r="AM104" s="249">
        <v>1</v>
      </c>
      <c r="AN104" s="278"/>
      <c r="AO104" s="277"/>
      <c r="AP104" s="277"/>
      <c r="AQ104" s="276"/>
      <c r="AR104" s="263"/>
      <c r="AS104" s="277"/>
      <c r="AT104" s="293"/>
      <c r="AU104" s="293"/>
      <c r="AV104" s="293"/>
      <c r="AW104" s="293"/>
      <c r="AX104" s="293"/>
      <c r="AY104" s="293"/>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row>
    <row r="105" spans="1:78" s="295" customFormat="1" ht="86.25" x14ac:dyDescent="0.2">
      <c r="A105" s="458"/>
      <c r="B105" s="451"/>
      <c r="C105" s="452"/>
      <c r="D105" s="453"/>
      <c r="E105" s="454"/>
      <c r="F105" s="454"/>
      <c r="G105" s="446"/>
      <c r="H105" s="456"/>
      <c r="I105" s="446"/>
      <c r="J105" s="446"/>
      <c r="K105" s="457"/>
      <c r="L105" s="447"/>
      <c r="M105" s="445"/>
      <c r="N105" s="455"/>
      <c r="O105" s="285">
        <f ca="1">IF(NOT(ISERROR(MATCH(N105,_xlfn.ANCHORARRAY(H38),0))),M40&amp;"Por favor no seleccionar los criterios de impacto",N105)</f>
        <v>0</v>
      </c>
      <c r="P105" s="447"/>
      <c r="Q105" s="445"/>
      <c r="R105" s="459"/>
      <c r="S105" s="248">
        <v>3</v>
      </c>
      <c r="T105" s="321" t="s">
        <v>1038</v>
      </c>
      <c r="U105" s="245" t="s">
        <v>293</v>
      </c>
      <c r="V105" s="322" t="str">
        <f>IF(OR(W105="Preventivo",W105="Detectivo"),"Probabilidad",IF(W105="Correctivo","Impacto",""))</f>
        <v>Probabilidad</v>
      </c>
      <c r="W105" s="323" t="s">
        <v>14</v>
      </c>
      <c r="X105" s="323" t="s">
        <v>8</v>
      </c>
      <c r="Y105" s="324" t="str">
        <f>IF(AND(W105="Preventivo",X105="Automático"),"50%",IF(AND(W105="Preventivo",X105="Manual"),"40%",IF(AND(W105="Detectivo",X105="Automático"),"40%",IF(AND(W105="Detectivo",X105="Manual"),"30%",IF(AND(W105="Correctivo",X105="Automático"),"35%",IF(AND(W105="Correctivo",X105="Manual"),"25%",""))))))</f>
        <v>30%</v>
      </c>
      <c r="Z105" s="323" t="s">
        <v>19</v>
      </c>
      <c r="AA105" s="323" t="s">
        <v>21</v>
      </c>
      <c r="AB105" s="323" t="s">
        <v>103</v>
      </c>
      <c r="AC105" s="325">
        <f t="shared" ref="AC105:AC108" si="185">IFERROR(IF(AND(V104="Probabilidad",V105="Probabilidad"),(AE104-(+AE104*Y105)),IF(AND(V104="Impacto",V105="Probabilidad"),(AE103-(+AE103*Y105)),IF(V105="Impacto",AE104,""))),"")</f>
        <v>0.1512</v>
      </c>
      <c r="AD105" s="326" t="str">
        <f t="shared" si="182"/>
        <v>Muy Baja</v>
      </c>
      <c r="AE105" s="324">
        <f t="shared" ref="AE105:AE108" si="186">+AC105</f>
        <v>0.1512</v>
      </c>
      <c r="AF105" s="326" t="str">
        <f t="shared" ca="1" si="183"/>
        <v>Mayor</v>
      </c>
      <c r="AG105" s="324">
        <f t="shared" ref="AG105:AG108" ca="1" si="187">IFERROR(IF(AND(V104="Impacto",V105="Impacto"),(AG104-(+AG104*Y105)),IF(V105="Impacto",($Q$103-(+$Q$103*Y105)),IF(V105="Probabilidad",AG104,""))),"")</f>
        <v>0.8</v>
      </c>
      <c r="AH105" s="328" t="str">
        <f t="shared" ca="1" si="184"/>
        <v>Alto</v>
      </c>
      <c r="AI105" s="323" t="s">
        <v>26</v>
      </c>
      <c r="AJ105" s="249">
        <v>2</v>
      </c>
      <c r="AK105" s="249">
        <v>0</v>
      </c>
      <c r="AL105" s="249">
        <v>1</v>
      </c>
      <c r="AM105" s="249">
        <v>1</v>
      </c>
      <c r="AN105" s="278"/>
      <c r="AO105" s="277"/>
      <c r="AP105" s="277"/>
      <c r="AQ105" s="276"/>
      <c r="AR105" s="263"/>
      <c r="AS105" s="277"/>
      <c r="AT105" s="293"/>
      <c r="AU105" s="293"/>
      <c r="AV105" s="293"/>
      <c r="AW105" s="293"/>
      <c r="AX105" s="293"/>
      <c r="AY105" s="293"/>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row>
    <row r="106" spans="1:78" s="295" customFormat="1" ht="11.25" customHeight="1" x14ac:dyDescent="0.2">
      <c r="A106" s="458"/>
      <c r="B106" s="451"/>
      <c r="C106" s="452"/>
      <c r="D106" s="453"/>
      <c r="E106" s="454"/>
      <c r="F106" s="454"/>
      <c r="G106" s="446"/>
      <c r="H106" s="456"/>
      <c r="I106" s="446"/>
      <c r="J106" s="446"/>
      <c r="K106" s="457"/>
      <c r="L106" s="447"/>
      <c r="M106" s="445"/>
      <c r="N106" s="455"/>
      <c r="O106" s="285">
        <f ca="1">IF(NOT(ISERROR(MATCH(N106,_xlfn.ANCHORARRAY(H39),0))),M41&amp;"Por favor no seleccionar los criterios de impacto",N106)</f>
        <v>0</v>
      </c>
      <c r="P106" s="447"/>
      <c r="Q106" s="445"/>
      <c r="R106" s="459"/>
      <c r="S106" s="248">
        <v>4</v>
      </c>
      <c r="T106" s="330"/>
      <c r="U106" s="245"/>
      <c r="V106" s="322"/>
      <c r="W106" s="323"/>
      <c r="X106" s="323"/>
      <c r="Y106" s="324" t="str">
        <f t="shared" ref="Y106:Y108" si="188">IF(AND(W106="Preventivo",X106="Automático"),"50%",IF(AND(W106="Preventivo",X106="Manual"),"40%",IF(AND(W106="Detectivo",X106="Automático"),"40%",IF(AND(W106="Detectivo",X106="Manual"),"30%",IF(AND(W106="Correctivo",X106="Automático"),"35%",IF(AND(W106="Correctivo",X106="Manual"),"25%",""))))))</f>
        <v/>
      </c>
      <c r="Z106" s="323"/>
      <c r="AA106" s="323"/>
      <c r="AB106" s="323"/>
      <c r="AC106" s="325" t="str">
        <f t="shared" si="185"/>
        <v/>
      </c>
      <c r="AD106" s="326" t="str">
        <f t="shared" si="182"/>
        <v/>
      </c>
      <c r="AE106" s="324" t="str">
        <f t="shared" si="186"/>
        <v/>
      </c>
      <c r="AF106" s="326" t="str">
        <f t="shared" si="183"/>
        <v/>
      </c>
      <c r="AG106" s="324" t="str">
        <f t="shared" si="187"/>
        <v/>
      </c>
      <c r="AH106" s="328" t="str">
        <f>IFERROR(IF(OR(AND(AD106="Muy Baja",AF106="Leve"),AND(AD106="Muy Baja",AF106="Menor"),AND(AD106="Baja",AF106="Leve")),"Bajo",IF(OR(AND(AD106="Muy baja",AF106="Moderado"),AND(AD106="Baja",AF106="Menor"),AND(AD106="Baja",AF106="Moderado"),AND(AD106="Media",AF106="Leve"),AND(AD106="Media",AF106="Menor"),AND(AD106="Media",AF106="Moderado"),AND(AD106="Alta",AF106="Leve"),AND(AD106="Alta",AF106="Menor")),"Moderado",IF(OR(AND(AD106="Muy Baja",AF106="Mayor"),AND(AD106="Baja",AF106="Mayor"),AND(AD106="Media",AF106="Mayor"),AND(AD106="Alta",AF106="Moderado"),AND(AD106="Alta",AF106="Mayor"),AND(AD106="Muy Alta",AF106="Leve"),AND(AD106="Muy Alta",AF106="Menor"),AND(AD106="Muy Alta",AF106="Moderado"),AND(AD106="Muy Alta",AF106="Mayor")),"Alto",IF(OR(AND(AD106="Muy Baja",AF106="Catastrófico"),AND(AD106="Baja",AF106="Catastrófico"),AND(AD106="Media",AF106="Catastrófico"),AND(AD106="Alta",AF106="Catastrófico"),AND(AD106="Muy Alta",AF106="Catastrófico")),"Extremo","")))),"")</f>
        <v/>
      </c>
      <c r="AI106" s="323"/>
      <c r="AJ106" s="249"/>
      <c r="AK106" s="249"/>
      <c r="AL106" s="249"/>
      <c r="AM106" s="249"/>
      <c r="AN106" s="278"/>
      <c r="AO106" s="209"/>
      <c r="AP106" s="209"/>
      <c r="AQ106" s="244"/>
      <c r="AR106" s="263"/>
      <c r="AS106" s="209"/>
      <c r="AT106" s="293"/>
      <c r="AU106" s="293"/>
      <c r="AV106" s="293"/>
      <c r="AW106" s="293"/>
      <c r="AX106" s="293"/>
      <c r="AY106" s="293"/>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row>
    <row r="107" spans="1:78" s="295" customFormat="1" ht="9.75" customHeight="1" x14ac:dyDescent="0.2">
      <c r="A107" s="458"/>
      <c r="B107" s="451"/>
      <c r="C107" s="452"/>
      <c r="D107" s="453"/>
      <c r="E107" s="454"/>
      <c r="F107" s="454"/>
      <c r="G107" s="446"/>
      <c r="H107" s="456"/>
      <c r="I107" s="446"/>
      <c r="J107" s="446"/>
      <c r="K107" s="457"/>
      <c r="L107" s="447"/>
      <c r="M107" s="445"/>
      <c r="N107" s="455"/>
      <c r="O107" s="285">
        <f ca="1">IF(NOT(ISERROR(MATCH(N107,_xlfn.ANCHORARRAY(H40),0))),M42&amp;"Por favor no seleccionar los criterios de impacto",N107)</f>
        <v>0</v>
      </c>
      <c r="P107" s="447"/>
      <c r="Q107" s="445"/>
      <c r="R107" s="459"/>
      <c r="S107" s="248">
        <v>5</v>
      </c>
      <c r="T107" s="330"/>
      <c r="U107" s="245"/>
      <c r="V107" s="322" t="str">
        <f t="shared" ref="V107:V108" si="189">IF(OR(W107="Preventivo",W107="Detectivo"),"Probabilidad",IF(W107="Correctivo","Impacto",""))</f>
        <v/>
      </c>
      <c r="W107" s="323"/>
      <c r="X107" s="323"/>
      <c r="Y107" s="324" t="str">
        <f t="shared" si="188"/>
        <v/>
      </c>
      <c r="Z107" s="323"/>
      <c r="AA107" s="323"/>
      <c r="AB107" s="323"/>
      <c r="AC107" s="325" t="str">
        <f t="shared" si="185"/>
        <v/>
      </c>
      <c r="AD107" s="326" t="str">
        <f t="shared" si="182"/>
        <v/>
      </c>
      <c r="AE107" s="324" t="str">
        <f t="shared" si="186"/>
        <v/>
      </c>
      <c r="AF107" s="326" t="str">
        <f t="shared" si="183"/>
        <v/>
      </c>
      <c r="AG107" s="324" t="str">
        <f t="shared" si="187"/>
        <v/>
      </c>
      <c r="AH107" s="328" t="str">
        <f t="shared" ref="AH107:AH108" si="190">IFERROR(IF(OR(AND(AD107="Muy Baja",AF107="Leve"),AND(AD107="Muy Baja",AF107="Menor"),AND(AD107="Baja",AF107="Leve")),"Bajo",IF(OR(AND(AD107="Muy baja",AF107="Moderado"),AND(AD107="Baja",AF107="Menor"),AND(AD107="Baja",AF107="Moderado"),AND(AD107="Media",AF107="Leve"),AND(AD107="Media",AF107="Menor"),AND(AD107="Media",AF107="Moderado"),AND(AD107="Alta",AF107="Leve"),AND(AD107="Alta",AF107="Menor")),"Moderado",IF(OR(AND(AD107="Muy Baja",AF107="Mayor"),AND(AD107="Baja",AF107="Mayor"),AND(AD107="Media",AF107="Mayor"),AND(AD107="Alta",AF107="Moderado"),AND(AD107="Alta",AF107="Mayor"),AND(AD107="Muy Alta",AF107="Leve"),AND(AD107="Muy Alta",AF107="Menor"),AND(AD107="Muy Alta",AF107="Moderado"),AND(AD107="Muy Alta",AF107="Mayor")),"Alto",IF(OR(AND(AD107="Muy Baja",AF107="Catastrófico"),AND(AD107="Baja",AF107="Catastrófico"),AND(AD107="Media",AF107="Catastrófico"),AND(AD107="Alta",AF107="Catastrófico"),AND(AD107="Muy Alta",AF107="Catastrófico")),"Extremo","")))),"")</f>
        <v/>
      </c>
      <c r="AI107" s="323"/>
      <c r="AJ107" s="249"/>
      <c r="AK107" s="249"/>
      <c r="AL107" s="249"/>
      <c r="AM107" s="249"/>
      <c r="AN107" s="278"/>
      <c r="AO107" s="276"/>
      <c r="AP107" s="276"/>
      <c r="AQ107" s="278"/>
      <c r="AR107" s="211"/>
      <c r="AS107" s="211"/>
      <c r="AT107" s="293"/>
      <c r="AU107" s="293"/>
      <c r="AV107" s="293"/>
      <c r="AW107" s="293"/>
      <c r="AX107" s="293"/>
      <c r="AY107" s="293"/>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row>
    <row r="108" spans="1:78" s="295" customFormat="1" ht="9.75" customHeight="1" x14ac:dyDescent="0.2">
      <c r="A108" s="458"/>
      <c r="B108" s="451"/>
      <c r="C108" s="452"/>
      <c r="D108" s="453"/>
      <c r="E108" s="454"/>
      <c r="F108" s="454"/>
      <c r="G108" s="446"/>
      <c r="H108" s="456"/>
      <c r="I108" s="446"/>
      <c r="J108" s="446"/>
      <c r="K108" s="457"/>
      <c r="L108" s="447"/>
      <c r="M108" s="445"/>
      <c r="N108" s="455"/>
      <c r="O108" s="285">
        <f ca="1">IF(NOT(ISERROR(MATCH(N108,_xlfn.ANCHORARRAY(H41),0))),#REF!&amp;"Por favor no seleccionar los criterios de impacto",N108)</f>
        <v>0</v>
      </c>
      <c r="P108" s="447"/>
      <c r="Q108" s="445"/>
      <c r="R108" s="459"/>
      <c r="S108" s="248">
        <v>6</v>
      </c>
      <c r="T108" s="330"/>
      <c r="U108" s="245"/>
      <c r="V108" s="322" t="str">
        <f t="shared" si="189"/>
        <v/>
      </c>
      <c r="W108" s="323"/>
      <c r="X108" s="323"/>
      <c r="Y108" s="324" t="str">
        <f t="shared" si="188"/>
        <v/>
      </c>
      <c r="Z108" s="323"/>
      <c r="AA108" s="323"/>
      <c r="AB108" s="323"/>
      <c r="AC108" s="325" t="str">
        <f t="shared" si="185"/>
        <v/>
      </c>
      <c r="AD108" s="326" t="str">
        <f t="shared" si="182"/>
        <v/>
      </c>
      <c r="AE108" s="324" t="str">
        <f t="shared" si="186"/>
        <v/>
      </c>
      <c r="AF108" s="326" t="str">
        <f t="shared" si="183"/>
        <v/>
      </c>
      <c r="AG108" s="324" t="str">
        <f t="shared" si="187"/>
        <v/>
      </c>
      <c r="AH108" s="328" t="str">
        <f t="shared" si="190"/>
        <v/>
      </c>
      <c r="AI108" s="323"/>
      <c r="AJ108" s="249"/>
      <c r="AK108" s="249"/>
      <c r="AL108" s="249"/>
      <c r="AM108" s="249"/>
      <c r="AN108" s="278"/>
      <c r="AO108" s="276"/>
      <c r="AP108" s="276"/>
      <c r="AQ108" s="278"/>
      <c r="AR108" s="211"/>
      <c r="AS108" s="211"/>
      <c r="AT108" s="293"/>
      <c r="AU108" s="293"/>
      <c r="AV108" s="293"/>
      <c r="AW108" s="293"/>
      <c r="AX108" s="293"/>
      <c r="AY108" s="293"/>
      <c r="AZ108" s="293"/>
      <c r="BA108" s="293"/>
      <c r="BB108" s="293"/>
      <c r="BC108" s="293"/>
      <c r="BD108" s="293"/>
      <c r="BE108" s="293"/>
      <c r="BF108" s="293"/>
      <c r="BG108" s="293"/>
      <c r="BH108" s="293"/>
      <c r="BI108" s="293"/>
      <c r="BJ108" s="293"/>
      <c r="BK108" s="293"/>
      <c r="BL108" s="293"/>
      <c r="BM108" s="293"/>
      <c r="BN108" s="293"/>
      <c r="BO108" s="293"/>
      <c r="BP108" s="293"/>
      <c r="BQ108" s="293"/>
      <c r="BR108" s="293"/>
      <c r="BS108" s="293"/>
      <c r="BT108" s="293"/>
      <c r="BU108" s="293"/>
      <c r="BV108" s="293"/>
      <c r="BW108" s="293"/>
      <c r="BX108" s="293"/>
      <c r="BY108" s="293"/>
      <c r="BZ108" s="293"/>
    </row>
    <row r="109" spans="1:78" s="294" customFormat="1" ht="120.75" customHeight="1" x14ac:dyDescent="0.2">
      <c r="A109" s="458" t="s">
        <v>707</v>
      </c>
      <c r="B109" s="451" t="s">
        <v>830</v>
      </c>
      <c r="C109" s="452" t="s">
        <v>708</v>
      </c>
      <c r="D109" s="453" t="s">
        <v>624</v>
      </c>
      <c r="E109" s="454" t="s">
        <v>109</v>
      </c>
      <c r="F109" s="454" t="s">
        <v>710</v>
      </c>
      <c r="G109" s="446" t="s">
        <v>675</v>
      </c>
      <c r="H109" s="456" t="s">
        <v>1001</v>
      </c>
      <c r="I109" s="446" t="s">
        <v>654</v>
      </c>
      <c r="J109" s="446" t="s">
        <v>1039</v>
      </c>
      <c r="K109" s="457">
        <v>5</v>
      </c>
      <c r="L109" s="447" t="str">
        <f t="shared" ref="L109" si="191">IF(K109&lt;=0,"",IF(K109&lt;=2,"Muy Baja",IF(K109&lt;=24,"Baja",IF(K109&lt;=500,"Media",IF(K109&lt;=5000,"Alta","Muy Alta")))))</f>
        <v>Baja</v>
      </c>
      <c r="M109" s="445">
        <f>IF(L109="","",IF(L109="Muy Baja",0.2,IF(L109="Baja",0.4,IF(L109="Media",0.6,IF(L109="Alta",0.8,IF(L109="Muy Alta",1,))))))</f>
        <v>0.4</v>
      </c>
      <c r="N109" s="455" t="s">
        <v>121</v>
      </c>
      <c r="O109" s="285" t="str">
        <f ca="1">IF(NOT(ISERROR(MATCH(N109,'Tabla Impacto'!$B$221:$B$223,0))),'Tabla Impacto'!$F$223&amp;"Por favor no seleccionar los criterios de impacto(Afectación Económica o presupuestal y Pérdida Reputacional)",N109)</f>
        <v xml:space="preserve">     El riesgo afecta la imagen de la entidad con algunos usuarios de relevancia frente al logro de los objetivos</v>
      </c>
      <c r="P109" s="447" t="str">
        <f ca="1">IF(OR(O109='Tabla Impacto'!$C$11,O109='Tabla Impacto'!$D$11),"Leve",IF(OR(O109='Tabla Impacto'!$C$12,O109='Tabla Impacto'!$D$12),"Menor",IF(OR(O109='Tabla Impacto'!$C$13,O109='Tabla Impacto'!$D$13),"Moderado",IF(OR(O109='Tabla Impacto'!$C$14,O109='Tabla Impacto'!$D$14),"Mayor",IF(OR(O109='Tabla Impacto'!$C$15,O109='Tabla Impacto'!$D$15),"Catastrófico","")))))</f>
        <v>Moderado</v>
      </c>
      <c r="Q109" s="445">
        <f ca="1">IF(P109="","",IF(P109="Leve",0.2,IF(P109="Menor",0.4,IF(P109="Moderado",0.6,IF(P109="Mayor",0.8,IF(P109="Catastrófico",1,))))))</f>
        <v>0.6</v>
      </c>
      <c r="R109" s="459" t="str">
        <f ca="1">IF(OR(AND(L109="Muy Baja",P109="Leve"),AND(L109="Muy Baja",P109="Menor"),AND(L109="Baja",P109="Leve")),"Bajo",IF(OR(AND(L109="Muy baja",P109="Moderado"),AND(L109="Baja",P109="Menor"),AND(L109="Baja",P109="Moderado"),AND(L109="Media",P109="Leve"),AND(L109="Media",P109="Menor"),AND(L109="Media",P109="Moderado"),AND(L109="Alta",P109="Leve"),AND(L109="Alta",P109="Menor")),"Moderado",IF(OR(AND(L109="Muy Baja",P109="Mayor"),AND(L109="Baja",P109="Mayor"),AND(L109="Media",P109="Mayor"),AND(L109="Alta",P109="Moderado"),AND(L109="Alta",P109="Mayor"),AND(L109="Muy Alta",P109="Leve"),AND(L109="Muy Alta",P109="Menor"),AND(L109="Muy Alta",P109="Moderado"),AND(L109="Muy Alta",P109="Mayor")),"Alto",IF(OR(AND(L109="Muy Baja",P109="Catastrófico"),AND(L109="Baja",P109="Catastrófico"),AND(L109="Media",P109="Catastrófico"),AND(L109="Alta",P109="Catastrófico"),AND(L109="Muy Alta",P109="Catastrófico")),"Extremo",""))))</f>
        <v>Moderado</v>
      </c>
      <c r="S109" s="248">
        <v>1</v>
      </c>
      <c r="T109" s="330" t="s">
        <v>711</v>
      </c>
      <c r="U109" s="245" t="s">
        <v>293</v>
      </c>
      <c r="V109" s="322" t="str">
        <f>IF(OR(W109="Preventivo",W109="Detectivo"),"Probabilidad",IF(W109="Correctivo","Impacto",""))</f>
        <v>Probabilidad</v>
      </c>
      <c r="W109" s="323" t="s">
        <v>13</v>
      </c>
      <c r="X109" s="323" t="s">
        <v>8</v>
      </c>
      <c r="Y109" s="324" t="str">
        <f>IF(AND(W109="Preventivo",X109="Automático"),"50%",IF(AND(W109="Preventivo",X109="Manual"),"40%",IF(AND(W109="Detectivo",X109="Automático"),"40%",IF(AND(W109="Detectivo",X109="Manual"),"30%",IF(AND(W109="Correctivo",X109="Automático"),"35%",IF(AND(W109="Correctivo",X109="Manual"),"25%",""))))))</f>
        <v>40%</v>
      </c>
      <c r="Z109" s="323" t="s">
        <v>18</v>
      </c>
      <c r="AA109" s="323" t="s">
        <v>21</v>
      </c>
      <c r="AB109" s="323" t="s">
        <v>103</v>
      </c>
      <c r="AC109" s="325">
        <f t="shared" ref="AC109" si="192">IFERROR(IF(V109="Probabilidad",(M109-(+M109*Y109)),IF(V109="Impacto",M109,"")),"")</f>
        <v>0.24</v>
      </c>
      <c r="AD109" s="326" t="str">
        <f>IFERROR(IF(AC109="","",IF(AC109&lt;=0.2,"Muy Baja",IF(AC109&lt;=0.4,"Baja",IF(AC109&lt;=0.6,"Media",IF(AC109&lt;=0.8,"Alta","Muy Alta"))))),"")</f>
        <v>Baja</v>
      </c>
      <c r="AE109" s="324">
        <f>+AC109</f>
        <v>0.24</v>
      </c>
      <c r="AF109" s="326" t="str">
        <f ca="1">IFERROR(IF(AG109="","",IF(AG109&lt;=0.2,"Leve",IF(AG109&lt;=0.4,"Menor",IF(AG109&lt;=0.6,"Moderado",IF(AG109&lt;=0.8,"Mayor","Catastrófico"))))),"")</f>
        <v>Moderado</v>
      </c>
      <c r="AG109" s="324">
        <f ca="1">IFERROR(IF(V109="Impacto",(Q109-(+Q109*Y109)),IF(V109="Probabilidad",Q109,"")),"")</f>
        <v>0.6</v>
      </c>
      <c r="AH109" s="328" t="str">
        <f ca="1">IFERROR(IF(OR(AND(AD109="Muy Baja",AF109="Leve"),AND(AD109="Muy Baja",AF109="Menor"),AND(AD109="Baja",AF109="Leve")),"Bajo",IF(OR(AND(AD109="Muy baja",AF109="Moderado"),AND(AD109="Baja",AF109="Menor"),AND(AD109="Baja",AF109="Moderado"),AND(AD109="Media",AF109="Leve"),AND(AD109="Media",AF109="Menor"),AND(AD109="Media",AF109="Moderado"),AND(AD109="Alta",AF109="Leve"),AND(AD109="Alta",AF109="Menor")),"Moderado",IF(OR(AND(AD109="Muy Baja",AF109="Mayor"),AND(AD109="Baja",AF109="Mayor"),AND(AD109="Media",AF109="Mayor"),AND(AD109="Alta",AF109="Moderado"),AND(AD109="Alta",AF109="Mayor"),AND(AD109="Muy Alta",AF109="Leve"),AND(AD109="Muy Alta",AF109="Menor"),AND(AD109="Muy Alta",AF109="Moderado"),AND(AD109="Muy Alta",AF109="Mayor")),"Alto",IF(OR(AND(AD109="Muy Baja",AF109="Catastrófico"),AND(AD109="Baja",AF109="Catastrófico"),AND(AD109="Media",AF109="Catastrófico"),AND(AD109="Alta",AF109="Catastrófico"),AND(AD109="Muy Alta",AF109="Catastrófico")),"Extremo","")))),"")</f>
        <v>Moderado</v>
      </c>
      <c r="AI109" s="323" t="s">
        <v>26</v>
      </c>
      <c r="AJ109" s="249">
        <v>12</v>
      </c>
      <c r="AK109" s="249">
        <v>4</v>
      </c>
      <c r="AL109" s="249">
        <v>4</v>
      </c>
      <c r="AM109" s="249">
        <v>4</v>
      </c>
      <c r="AN109" s="240"/>
      <c r="AO109" s="259"/>
      <c r="AP109" s="259"/>
      <c r="AQ109" s="239"/>
      <c r="AR109" s="264"/>
      <c r="AS109" s="265"/>
      <c r="AT109" s="293"/>
      <c r="AU109" s="293"/>
      <c r="AV109" s="293"/>
      <c r="AW109" s="293"/>
      <c r="AX109" s="293"/>
      <c r="AY109" s="293"/>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93"/>
    </row>
    <row r="110" spans="1:78" s="295" customFormat="1" ht="132" customHeight="1" x14ac:dyDescent="0.2">
      <c r="A110" s="458"/>
      <c r="B110" s="451"/>
      <c r="C110" s="452"/>
      <c r="D110" s="453"/>
      <c r="E110" s="454"/>
      <c r="F110" s="454"/>
      <c r="G110" s="446"/>
      <c r="H110" s="456"/>
      <c r="I110" s="446"/>
      <c r="J110" s="446"/>
      <c r="K110" s="457"/>
      <c r="L110" s="447"/>
      <c r="M110" s="445"/>
      <c r="N110" s="455"/>
      <c r="O110" s="285">
        <f ca="1">IF(NOT(ISERROR(MATCH(N110,_xlfn.ANCHORARRAY(#REF!),0))),#REF!&amp;"Por favor no seleccionar los criterios de impacto",N110)</f>
        <v>0</v>
      </c>
      <c r="P110" s="447"/>
      <c r="Q110" s="445"/>
      <c r="R110" s="459"/>
      <c r="S110" s="248">
        <v>2</v>
      </c>
      <c r="T110" s="331" t="s">
        <v>712</v>
      </c>
      <c r="U110" s="245" t="s">
        <v>293</v>
      </c>
      <c r="V110" s="322" t="str">
        <f>IF(OR(W110="Preventivo",W110="Detectivo"),"Probabilidad",IF(W110="Correctivo","Impacto",""))</f>
        <v>Probabilidad</v>
      </c>
      <c r="W110" s="323" t="s">
        <v>13</v>
      </c>
      <c r="X110" s="323" t="s">
        <v>8</v>
      </c>
      <c r="Y110" s="324" t="str">
        <f>IF(AND(W110="Preventivo",X110="Automático"),"50%",IF(AND(W110="Preventivo",X110="Manual"),"40%",IF(AND(W110="Detectivo",X110="Automático"),"40%",IF(AND(W110="Detectivo",X110="Manual"),"30%",IF(AND(W110="Correctivo",X110="Automático"),"35%",IF(AND(W110="Correctivo",X110="Manual"),"25%",""))))))</f>
        <v>40%</v>
      </c>
      <c r="Z110" s="323" t="s">
        <v>18</v>
      </c>
      <c r="AA110" s="323" t="s">
        <v>21</v>
      </c>
      <c r="AB110" s="323" t="s">
        <v>103</v>
      </c>
      <c r="AC110" s="325">
        <f t="shared" ref="AC110" si="193">IFERROR(IF(AND(V109="Probabilidad",V110="Probabilidad"),(AE109-(+AE109*Y110)),IF(V110="Probabilidad",(M109-(+M109*Y110)),IF(V110="Impacto",AE109,""))),"")</f>
        <v>0.14399999999999999</v>
      </c>
      <c r="AD110" s="326" t="str">
        <f t="shared" ref="AD110:AD112" si="194">IFERROR(IF(AC110="","",IF(AC110&lt;=0.2,"Muy Baja",IF(AC110&lt;=0.4,"Baja",IF(AC110&lt;=0.6,"Media",IF(AC110&lt;=0.8,"Alta","Muy Alta"))))),"")</f>
        <v>Muy Baja</v>
      </c>
      <c r="AE110" s="324">
        <f>+AC110</f>
        <v>0.14399999999999999</v>
      </c>
      <c r="AF110" s="326" t="str">
        <f t="shared" ref="AF110:AF112" ca="1" si="195">IFERROR(IF(AG110="","",IF(AG110&lt;=0.2,"Leve",IF(AG110&lt;=0.4,"Menor",IF(AG110&lt;=0.6,"Moderado",IF(AG110&lt;=0.8,"Mayor","Catastrófico"))))),"")</f>
        <v>Moderado</v>
      </c>
      <c r="AG110" s="324">
        <f ca="1">IFERROR(IF(AND(V109="Impacto",V110="Impacto"),(AG109-(+AG109*Y110)),IF(V110="Impacto",($Q$109-(+$Q$109*Y110)),IF(V110="Probabilidad",AG109,""))),"")</f>
        <v>0.6</v>
      </c>
      <c r="AH110" s="328" t="str">
        <f t="shared" ref="AH110" ca="1" si="196">IFERROR(IF(OR(AND(AD110="Muy Baja",AF110="Leve"),AND(AD110="Muy Baja",AF110="Menor"),AND(AD110="Baja",AF110="Leve")),"Bajo",IF(OR(AND(AD110="Muy baja",AF110="Moderado"),AND(AD110="Baja",AF110="Menor"),AND(AD110="Baja",AF110="Moderado"),AND(AD110="Media",AF110="Leve"),AND(AD110="Media",AF110="Menor"),AND(AD110="Media",AF110="Moderado"),AND(AD110="Alta",AF110="Leve"),AND(AD110="Alta",AF110="Menor")),"Moderado",IF(OR(AND(AD110="Muy Baja",AF110="Mayor"),AND(AD110="Baja",AF110="Mayor"),AND(AD110="Media",AF110="Mayor"),AND(AD110="Alta",AF110="Moderado"),AND(AD110="Alta",AF110="Mayor"),AND(AD110="Muy Alta",AF110="Leve"),AND(AD110="Muy Alta",AF110="Menor"),AND(AD110="Muy Alta",AF110="Moderado"),AND(AD110="Muy Alta",AF110="Mayor")),"Alto",IF(OR(AND(AD110="Muy Baja",AF110="Catastrófico"),AND(AD110="Baja",AF110="Catastrófico"),AND(AD110="Media",AF110="Catastrófico"),AND(AD110="Alta",AF110="Catastrófico"),AND(AD110="Muy Alta",AF110="Catastrófico")),"Extremo","")))),"")</f>
        <v>Moderado</v>
      </c>
      <c r="AI110" s="323" t="s">
        <v>26</v>
      </c>
      <c r="AJ110" s="249">
        <v>24</v>
      </c>
      <c r="AK110" s="249">
        <v>8</v>
      </c>
      <c r="AL110" s="249">
        <v>8</v>
      </c>
      <c r="AM110" s="249">
        <v>8</v>
      </c>
      <c r="AN110" s="278"/>
      <c r="AO110" s="277"/>
      <c r="AP110" s="277"/>
      <c r="AQ110" s="276"/>
      <c r="AR110" s="263"/>
      <c r="AS110" s="277"/>
      <c r="AT110" s="293"/>
      <c r="AU110" s="293"/>
      <c r="AV110" s="293"/>
      <c r="AW110" s="293"/>
      <c r="AX110" s="293"/>
      <c r="AY110" s="293"/>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row>
    <row r="111" spans="1:78" s="295" customFormat="1" ht="42.75" customHeight="1" x14ac:dyDescent="0.2">
      <c r="A111" s="458"/>
      <c r="B111" s="451"/>
      <c r="C111" s="452"/>
      <c r="D111" s="453"/>
      <c r="E111" s="454"/>
      <c r="F111" s="454"/>
      <c r="G111" s="446"/>
      <c r="H111" s="456"/>
      <c r="I111" s="446"/>
      <c r="J111" s="446"/>
      <c r="K111" s="457"/>
      <c r="L111" s="447"/>
      <c r="M111" s="445"/>
      <c r="N111" s="455"/>
      <c r="O111" s="285">
        <f ca="1">IF(NOT(ISERROR(MATCH(N111,_xlfn.ANCHORARRAY(#REF!),0))),#REF!&amp;"Por favor no seleccionar los criterios de impacto",N111)</f>
        <v>0</v>
      </c>
      <c r="P111" s="447"/>
      <c r="Q111" s="445"/>
      <c r="R111" s="459"/>
      <c r="S111" s="248">
        <v>5</v>
      </c>
      <c r="T111" s="330"/>
      <c r="U111" s="245"/>
      <c r="V111" s="322" t="str">
        <f t="shared" ref="V111:V112" si="197">IF(OR(W111="Preventivo",W111="Detectivo"),"Probabilidad",IF(W111="Correctivo","Impacto",""))</f>
        <v/>
      </c>
      <c r="W111" s="323"/>
      <c r="X111" s="323"/>
      <c r="Y111" s="324" t="str">
        <f t="shared" ref="Y111:Y112" si="198">IF(AND(W111="Preventivo",X111="Automático"),"50%",IF(AND(W111="Preventivo",X111="Manual"),"40%",IF(AND(W111="Detectivo",X111="Automático"),"40%",IF(AND(W111="Detectivo",X111="Manual"),"30%",IF(AND(W111="Correctivo",X111="Automático"),"35%",IF(AND(W111="Correctivo",X111="Manual"),"25%",""))))))</f>
        <v/>
      </c>
      <c r="Z111" s="323"/>
      <c r="AA111" s="323"/>
      <c r="AB111" s="323"/>
      <c r="AC111" s="325" t="str">
        <f>IFERROR(IF(AND(#REF!="Probabilidad",V111="Probabilidad"),(#REF!-(+#REF!*Y111)),IF(AND(#REF!="Impacto",V111="Probabilidad"),(#REF!-(+#REF!*Y111)),IF(V111="Impacto",#REF!,""))),"")</f>
        <v/>
      </c>
      <c r="AD111" s="326" t="str">
        <f t="shared" si="194"/>
        <v/>
      </c>
      <c r="AE111" s="324" t="str">
        <f t="shared" ref="AE111:AE112" si="199">+AC111</f>
        <v/>
      </c>
      <c r="AF111" s="326" t="str">
        <f t="shared" si="195"/>
        <v/>
      </c>
      <c r="AG111" s="324" t="str">
        <f>IFERROR(IF(AND(#REF!="Impacto",V111="Impacto"),(#REF!-(+#REF!*Y111)),IF(V111="Impacto",($Q$109-(+$Q$109*Y111)),IF(V111="Probabilidad",#REF!,""))),"")</f>
        <v/>
      </c>
      <c r="AH111" s="328" t="str">
        <f t="shared" ref="AH111:AH112" si="200">IFERROR(IF(OR(AND(AD111="Muy Baja",AF111="Leve"),AND(AD111="Muy Baja",AF111="Menor"),AND(AD111="Baja",AF111="Leve")),"Bajo",IF(OR(AND(AD111="Muy baja",AF111="Moderado"),AND(AD111="Baja",AF111="Menor"),AND(AD111="Baja",AF111="Moderado"),AND(AD111="Media",AF111="Leve"),AND(AD111="Media",AF111="Menor"),AND(AD111="Media",AF111="Moderado"),AND(AD111="Alta",AF111="Leve"),AND(AD111="Alta",AF111="Menor")),"Moderado",IF(OR(AND(AD111="Muy Baja",AF111="Mayor"),AND(AD111="Baja",AF111="Mayor"),AND(AD111="Media",AF111="Mayor"),AND(AD111="Alta",AF111="Moderado"),AND(AD111="Alta",AF111="Mayor"),AND(AD111="Muy Alta",AF111="Leve"),AND(AD111="Muy Alta",AF111="Menor"),AND(AD111="Muy Alta",AF111="Moderado"),AND(AD111="Muy Alta",AF111="Mayor")),"Alto",IF(OR(AND(AD111="Muy Baja",AF111="Catastrófico"),AND(AD111="Baja",AF111="Catastrófico"),AND(AD111="Media",AF111="Catastrófico"),AND(AD111="Alta",AF111="Catastrófico"),AND(AD111="Muy Alta",AF111="Catastrófico")),"Extremo","")))),"")</f>
        <v/>
      </c>
      <c r="AI111" s="323"/>
      <c r="AJ111" s="249"/>
      <c r="AK111" s="249"/>
      <c r="AL111" s="249"/>
      <c r="AM111" s="249"/>
      <c r="AN111" s="278"/>
      <c r="AO111" s="276"/>
      <c r="AP111" s="276"/>
      <c r="AQ111" s="278"/>
      <c r="AR111" s="211"/>
      <c r="AS111" s="211"/>
      <c r="AT111" s="293"/>
      <c r="AU111" s="293"/>
      <c r="AV111" s="293"/>
      <c r="AW111" s="293"/>
      <c r="AX111" s="293"/>
      <c r="AY111" s="293"/>
      <c r="AZ111" s="293"/>
      <c r="BA111" s="293"/>
      <c r="BB111" s="293"/>
      <c r="BC111" s="293"/>
      <c r="BD111" s="293"/>
      <c r="BE111" s="293"/>
      <c r="BF111" s="293"/>
      <c r="BG111" s="293"/>
      <c r="BH111" s="293"/>
      <c r="BI111" s="293"/>
      <c r="BJ111" s="293"/>
      <c r="BK111" s="293"/>
      <c r="BL111" s="293"/>
      <c r="BM111" s="293"/>
      <c r="BN111" s="293"/>
      <c r="BO111" s="293"/>
      <c r="BP111" s="293"/>
      <c r="BQ111" s="293"/>
      <c r="BR111" s="293"/>
      <c r="BS111" s="293"/>
      <c r="BT111" s="293"/>
      <c r="BU111" s="293"/>
      <c r="BV111" s="293"/>
      <c r="BW111" s="293"/>
      <c r="BX111" s="293"/>
      <c r="BY111" s="293"/>
      <c r="BZ111" s="293"/>
    </row>
    <row r="112" spans="1:78" s="295" customFormat="1" ht="42.75" customHeight="1" x14ac:dyDescent="0.2">
      <c r="A112" s="458"/>
      <c r="B112" s="451"/>
      <c r="C112" s="452"/>
      <c r="D112" s="453"/>
      <c r="E112" s="454"/>
      <c r="F112" s="454"/>
      <c r="G112" s="446"/>
      <c r="H112" s="456"/>
      <c r="I112" s="446"/>
      <c r="J112" s="446"/>
      <c r="K112" s="457"/>
      <c r="L112" s="447"/>
      <c r="M112" s="445"/>
      <c r="N112" s="455"/>
      <c r="O112" s="285">
        <f ca="1">IF(NOT(ISERROR(MATCH(N112,_xlfn.ANCHORARRAY(#REF!),0))),M49&amp;"Por favor no seleccionar los criterios de impacto",N112)</f>
        <v>0</v>
      </c>
      <c r="P112" s="447"/>
      <c r="Q112" s="445"/>
      <c r="R112" s="459"/>
      <c r="S112" s="248">
        <v>6</v>
      </c>
      <c r="T112" s="330"/>
      <c r="U112" s="245"/>
      <c r="V112" s="322" t="str">
        <f t="shared" si="197"/>
        <v/>
      </c>
      <c r="W112" s="323"/>
      <c r="X112" s="323"/>
      <c r="Y112" s="324" t="str">
        <f t="shared" si="198"/>
        <v/>
      </c>
      <c r="Z112" s="323"/>
      <c r="AA112" s="323"/>
      <c r="AB112" s="323"/>
      <c r="AC112" s="325" t="str">
        <f>IFERROR(IF(AND(V111="Probabilidad",V112="Probabilidad"),(AE111-(+AE111*Y112)),IF(AND(V111="Impacto",V112="Probabilidad"),(#REF!-(+#REF!*Y112)),IF(V112="Impacto",AE111,""))),"")</f>
        <v/>
      </c>
      <c r="AD112" s="326" t="str">
        <f t="shared" si="194"/>
        <v/>
      </c>
      <c r="AE112" s="324" t="str">
        <f t="shared" si="199"/>
        <v/>
      </c>
      <c r="AF112" s="326" t="str">
        <f t="shared" si="195"/>
        <v/>
      </c>
      <c r="AG112" s="324" t="str">
        <f t="shared" ref="AG112" si="201">IFERROR(IF(AND(V111="Impacto",V112="Impacto"),(AG111-(+AG111*Y112)),IF(V112="Impacto",($Q$109-(+$Q$109*Y112)),IF(V112="Probabilidad",AG111,""))),"")</f>
        <v/>
      </c>
      <c r="AH112" s="328" t="str">
        <f t="shared" si="200"/>
        <v/>
      </c>
      <c r="AI112" s="323"/>
      <c r="AJ112" s="249"/>
      <c r="AK112" s="249"/>
      <c r="AL112" s="249"/>
      <c r="AM112" s="249"/>
      <c r="AN112" s="278"/>
      <c r="AO112" s="276"/>
      <c r="AP112" s="276"/>
      <c r="AQ112" s="278"/>
      <c r="AR112" s="211"/>
      <c r="AS112" s="211"/>
      <c r="AT112" s="293"/>
      <c r="AU112" s="293"/>
      <c r="AV112" s="293"/>
      <c r="AW112" s="293"/>
      <c r="AX112" s="293"/>
      <c r="AY112" s="293"/>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93"/>
    </row>
    <row r="113" spans="1:78" s="294" customFormat="1" ht="92.25" customHeight="1" x14ac:dyDescent="0.2">
      <c r="A113" s="458" t="s">
        <v>709</v>
      </c>
      <c r="B113" s="451" t="s">
        <v>830</v>
      </c>
      <c r="C113" s="452" t="s">
        <v>708</v>
      </c>
      <c r="D113" s="453" t="s">
        <v>624</v>
      </c>
      <c r="E113" s="454" t="s">
        <v>107</v>
      </c>
      <c r="F113" s="454" t="s">
        <v>929</v>
      </c>
      <c r="G113" s="446" t="s">
        <v>675</v>
      </c>
      <c r="H113" s="456" t="s">
        <v>951</v>
      </c>
      <c r="I113" s="446" t="s">
        <v>654</v>
      </c>
      <c r="J113" s="461" t="s">
        <v>1040</v>
      </c>
      <c r="K113" s="457">
        <v>5</v>
      </c>
      <c r="L113" s="447" t="str">
        <f t="shared" ref="L113" si="202">IF(K113&lt;=0,"",IF(K113&lt;=2,"Muy Baja",IF(K113&lt;=24,"Baja",IF(K113&lt;=500,"Media",IF(K113&lt;=5000,"Alta","Muy Alta")))))</f>
        <v>Baja</v>
      </c>
      <c r="M113" s="445">
        <f>IF(L113="","",IF(L113="Muy Baja",0.2,IF(L113="Baja",0.4,IF(L113="Media",0.6,IF(L113="Alta",0.8,IF(L113="Muy Alta",1,))))))</f>
        <v>0.4</v>
      </c>
      <c r="N113" s="460" t="s">
        <v>121</v>
      </c>
      <c r="O113" s="285" t="str">
        <f ca="1">IF(NOT(ISERROR(MATCH(N113,'Tabla Impacto'!$B$221:$B$223,0))),'Tabla Impacto'!$F$223&amp;"Por favor no seleccionar los criterios de impacto(Afectación Económica o presupuestal y Pérdida Reputacional)",N113)</f>
        <v xml:space="preserve">     El riesgo afecta la imagen de la entidad con algunos usuarios de relevancia frente al logro de los objetivos</v>
      </c>
      <c r="P113" s="447" t="str">
        <f ca="1">IF(OR(O113='Tabla Impacto'!$C$11,O113='Tabla Impacto'!$D$11),"Leve",IF(OR(O113='Tabla Impacto'!$C$12,O113='Tabla Impacto'!$D$12),"Menor",IF(OR(O113='Tabla Impacto'!$C$13,O113='Tabla Impacto'!$D$13),"Moderado",IF(OR(O113='Tabla Impacto'!$C$14,O113='Tabla Impacto'!$D$14),"Mayor",IF(OR(O113='Tabla Impacto'!$C$15,O113='Tabla Impacto'!$D$15),"Catastrófico","")))))</f>
        <v>Moderado</v>
      </c>
      <c r="Q113" s="445">
        <f ca="1">IF(P113="","",IF(P113="Leve",0.2,IF(P113="Menor",0.4,IF(P113="Moderado",0.6,IF(P113="Mayor",0.8,IF(P113="Catastrófico",1,))))))</f>
        <v>0.6</v>
      </c>
      <c r="R113" s="459" t="str">
        <f ca="1">IF(OR(AND(L113="Muy Baja",P113="Leve"),AND(L113="Muy Baja",P113="Menor"),AND(L113="Baja",P113="Leve")),"Bajo",IF(OR(AND(L113="Muy baja",P113="Moderado"),AND(L113="Baja",P113="Menor"),AND(L113="Baja",P113="Moderado"),AND(L113="Media",P113="Leve"),AND(L113="Media",P113="Menor"),AND(L113="Media",P113="Moderado"),AND(L113="Alta",P113="Leve"),AND(L113="Alta",P113="Menor")),"Moderado",IF(OR(AND(L113="Muy Baja",P113="Mayor"),AND(L113="Baja",P113="Mayor"),AND(L113="Media",P113="Mayor"),AND(L113="Alta",P113="Moderado"),AND(L113="Alta",P113="Mayor"),AND(L113="Muy Alta",P113="Leve"),AND(L113="Muy Alta",P113="Menor"),AND(L113="Muy Alta",P113="Moderado"),AND(L113="Muy Alta",P113="Mayor")),"Alto",IF(OR(AND(L113="Muy Baja",P113="Catastrófico"),AND(L113="Baja",P113="Catastrófico"),AND(L113="Media",P113="Catastrófico"),AND(L113="Alta",P113="Catastrófico"),AND(L113="Muy Alta",P113="Catastrófico")),"Extremo",""))))</f>
        <v>Moderado</v>
      </c>
      <c r="S113" s="248">
        <v>1</v>
      </c>
      <c r="T113" s="330" t="s">
        <v>713</v>
      </c>
      <c r="U113" s="245" t="s">
        <v>293</v>
      </c>
      <c r="V113" s="322" t="str">
        <f>IF(OR(W113="Preventivo",W113="Detectivo"),"Probabilidad",IF(W113="Correctivo","Impacto",""))</f>
        <v>Probabilidad</v>
      </c>
      <c r="W113" s="323" t="s">
        <v>13</v>
      </c>
      <c r="X113" s="323" t="s">
        <v>8</v>
      </c>
      <c r="Y113" s="324" t="str">
        <f>IF(AND(W113="Preventivo",X113="Automático"),"50%",IF(AND(W113="Preventivo",X113="Manual"),"40%",IF(AND(W113="Detectivo",X113="Automático"),"40%",IF(AND(W113="Detectivo",X113="Manual"),"30%",IF(AND(W113="Correctivo",X113="Automático"),"35%",IF(AND(W113="Correctivo",X113="Manual"),"25%",""))))))</f>
        <v>40%</v>
      </c>
      <c r="Z113" s="323" t="s">
        <v>18</v>
      </c>
      <c r="AA113" s="323" t="s">
        <v>21</v>
      </c>
      <c r="AB113" s="323" t="s">
        <v>103</v>
      </c>
      <c r="AC113" s="325">
        <f t="shared" ref="AC113" si="203">IFERROR(IF(V113="Probabilidad",(M113-(+M113*Y113)),IF(V113="Impacto",M113,"")),"")</f>
        <v>0.24</v>
      </c>
      <c r="AD113" s="326" t="str">
        <f>IFERROR(IF(AC113="","",IF(AC113&lt;=0.2,"Muy Baja",IF(AC113&lt;=0.4,"Baja",IF(AC113&lt;=0.6,"Media",IF(AC113&lt;=0.8,"Alta","Muy Alta"))))),"")</f>
        <v>Baja</v>
      </c>
      <c r="AE113" s="324">
        <f>+AC113</f>
        <v>0.24</v>
      </c>
      <c r="AF113" s="326" t="str">
        <f ca="1">IFERROR(IF(AG113="","",IF(AG113&lt;=0.2,"Leve",IF(AG113&lt;=0.4,"Menor",IF(AG113&lt;=0.6,"Moderado",IF(AG113&lt;=0.8,"Mayor","Catastrófico"))))),"")</f>
        <v>Moderado</v>
      </c>
      <c r="AG113" s="324">
        <f ca="1">IFERROR(IF(V113="Impacto",(Q113-(+Q113*Y113)),IF(V113="Probabilidad",Q113,"")),"")</f>
        <v>0.6</v>
      </c>
      <c r="AH113" s="328" t="str">
        <f ca="1">IFERROR(IF(OR(AND(AD113="Muy Baja",AF113="Leve"),AND(AD113="Muy Baja",AF113="Menor"),AND(AD113="Baja",AF113="Leve")),"Bajo",IF(OR(AND(AD113="Muy baja",AF113="Moderado"),AND(AD113="Baja",AF113="Menor"),AND(AD113="Baja",AF113="Moderado"),AND(AD113="Media",AF113="Leve"),AND(AD113="Media",AF113="Menor"),AND(AD113="Media",AF113="Moderado"),AND(AD113="Alta",AF113="Leve"),AND(AD113="Alta",AF113="Menor")),"Moderado",IF(OR(AND(AD113="Muy Baja",AF113="Mayor"),AND(AD113="Baja",AF113="Mayor"),AND(AD113="Media",AF113="Mayor"),AND(AD113="Alta",AF113="Moderado"),AND(AD113="Alta",AF113="Mayor"),AND(AD113="Muy Alta",AF113="Leve"),AND(AD113="Muy Alta",AF113="Menor"),AND(AD113="Muy Alta",AF113="Moderado"),AND(AD113="Muy Alta",AF113="Mayor")),"Alto",IF(OR(AND(AD113="Muy Baja",AF113="Catastrófico"),AND(AD113="Baja",AF113="Catastrófico"),AND(AD113="Media",AF113="Catastrófico"),AND(AD113="Alta",AF113="Catastrófico"),AND(AD113="Muy Alta",AF113="Catastrófico")),"Extremo","")))),"")</f>
        <v>Moderado</v>
      </c>
      <c r="AI113" s="323" t="s">
        <v>26</v>
      </c>
      <c r="AJ113" s="249">
        <v>0</v>
      </c>
      <c r="AK113" s="249">
        <v>0</v>
      </c>
      <c r="AL113" s="249">
        <v>0</v>
      </c>
      <c r="AM113" s="249">
        <v>0</v>
      </c>
      <c r="AN113" s="240"/>
      <c r="AO113" s="259"/>
      <c r="AP113" s="259"/>
      <c r="AQ113" s="239"/>
      <c r="AR113" s="264"/>
      <c r="AS113" s="265"/>
      <c r="AT113" s="293"/>
      <c r="AU113" s="293"/>
      <c r="AV113" s="293"/>
      <c r="AW113" s="293"/>
      <c r="AX113" s="293"/>
      <c r="AY113" s="293"/>
      <c r="AZ113" s="293"/>
      <c r="BA113" s="293"/>
      <c r="BB113" s="293"/>
      <c r="BC113" s="293"/>
      <c r="BD113" s="293"/>
      <c r="BE113" s="293"/>
      <c r="BF113" s="293"/>
      <c r="BG113" s="293"/>
      <c r="BH113" s="293"/>
      <c r="BI113" s="293"/>
      <c r="BJ113" s="293"/>
      <c r="BK113" s="293"/>
      <c r="BL113" s="293"/>
      <c r="BM113" s="293"/>
      <c r="BN113" s="293"/>
      <c r="BO113" s="293"/>
      <c r="BP113" s="293"/>
      <c r="BQ113" s="293"/>
      <c r="BR113" s="293"/>
      <c r="BS113" s="293"/>
      <c r="BT113" s="293"/>
      <c r="BU113" s="293"/>
      <c r="BV113" s="293"/>
      <c r="BW113" s="293"/>
      <c r="BX113" s="293"/>
      <c r="BY113" s="293"/>
      <c r="BZ113" s="293"/>
    </row>
    <row r="114" spans="1:78" s="295" customFormat="1" ht="93.75" customHeight="1" x14ac:dyDescent="0.2">
      <c r="A114" s="458"/>
      <c r="B114" s="451"/>
      <c r="C114" s="452"/>
      <c r="D114" s="453"/>
      <c r="E114" s="454"/>
      <c r="F114" s="454"/>
      <c r="G114" s="446"/>
      <c r="H114" s="456"/>
      <c r="I114" s="446"/>
      <c r="J114" s="461"/>
      <c r="K114" s="457"/>
      <c r="L114" s="447"/>
      <c r="M114" s="445"/>
      <c r="N114" s="460"/>
      <c r="O114" s="285">
        <f ca="1">IF(NOT(ISERROR(MATCH(N114,_xlfn.ANCHORARRAY(#REF!),0))),#REF!&amp;"Por favor no seleccionar los criterios de impacto",N114)</f>
        <v>0</v>
      </c>
      <c r="P114" s="447"/>
      <c r="Q114" s="445"/>
      <c r="R114" s="459"/>
      <c r="S114" s="248">
        <v>2</v>
      </c>
      <c r="T114" s="321" t="s">
        <v>930</v>
      </c>
      <c r="U114" s="245" t="s">
        <v>293</v>
      </c>
      <c r="V114" s="322" t="str">
        <f>IF(OR(W114="Preventivo",W114="Detectivo"),"Probabilidad",IF(W114="Correctivo","Impacto",""))</f>
        <v>Probabilidad</v>
      </c>
      <c r="W114" s="323" t="s">
        <v>13</v>
      </c>
      <c r="X114" s="323" t="s">
        <v>8</v>
      </c>
      <c r="Y114" s="324" t="str">
        <f>IF(AND(W114="Preventivo",X114="Automático"),"50%",IF(AND(W114="Preventivo",X114="Manual"),"40%",IF(AND(W114="Detectivo",X114="Automático"),"40%",IF(AND(W114="Detectivo",X114="Manual"),"30%",IF(AND(W114="Correctivo",X114="Automático"),"35%",IF(AND(W114="Correctivo",X114="Manual"),"25%",""))))))</f>
        <v>40%</v>
      </c>
      <c r="Z114" s="323" t="s">
        <v>19</v>
      </c>
      <c r="AA114" s="323" t="s">
        <v>21</v>
      </c>
      <c r="AB114" s="323" t="s">
        <v>103</v>
      </c>
      <c r="AC114" s="325">
        <f t="shared" ref="AC114" si="204">IFERROR(IF(AND(V113="Probabilidad",V114="Probabilidad"),(AE113-(+AE113*Y114)),IF(V114="Probabilidad",(M113-(+M113*Y114)),IF(V114="Impacto",AE113,""))),"")</f>
        <v>0.14399999999999999</v>
      </c>
      <c r="AD114" s="326" t="str">
        <f t="shared" ref="AD114:AD118" si="205">IFERROR(IF(AC114="","",IF(AC114&lt;=0.2,"Muy Baja",IF(AC114&lt;=0.4,"Baja",IF(AC114&lt;=0.6,"Media",IF(AC114&lt;=0.8,"Alta","Muy Alta"))))),"")</f>
        <v>Muy Baja</v>
      </c>
      <c r="AE114" s="324">
        <f>+AC114</f>
        <v>0.14399999999999999</v>
      </c>
      <c r="AF114" s="326" t="str">
        <f t="shared" ref="AF114:AF118" ca="1" si="206">IFERROR(IF(AG114="","",IF(AG114&lt;=0.2,"Leve",IF(AG114&lt;=0.4,"Menor",IF(AG114&lt;=0.6,"Moderado",IF(AG114&lt;=0.8,"Mayor","Catastrófico"))))),"")</f>
        <v>Moderado</v>
      </c>
      <c r="AG114" s="324">
        <f ca="1">IFERROR(IF(AND(V113="Impacto",V114="Impacto"),(AG113-(+AG113*Y114)),IF(V114="Impacto",($Q$113-(+$Q$113*Y114)),IF(V114="Probabilidad",AG113,""))),"")</f>
        <v>0.6</v>
      </c>
      <c r="AH114" s="328" t="str">
        <f t="shared" ref="AH114:AH115" ca="1" si="207">IFERROR(IF(OR(AND(AD114="Muy Baja",AF114="Leve"),AND(AD114="Muy Baja",AF114="Menor"),AND(AD114="Baja",AF114="Leve")),"Bajo",IF(OR(AND(AD114="Muy baja",AF114="Moderado"),AND(AD114="Baja",AF114="Menor"),AND(AD114="Baja",AF114="Moderado"),AND(AD114="Media",AF114="Leve"),AND(AD114="Media",AF114="Menor"),AND(AD114="Media",AF114="Moderado"),AND(AD114="Alta",AF114="Leve"),AND(AD114="Alta",AF114="Menor")),"Moderado",IF(OR(AND(AD114="Muy Baja",AF114="Mayor"),AND(AD114="Baja",AF114="Mayor"),AND(AD114="Media",AF114="Mayor"),AND(AD114="Alta",AF114="Moderado"),AND(AD114="Alta",AF114="Mayor"),AND(AD114="Muy Alta",AF114="Leve"),AND(AD114="Muy Alta",AF114="Menor"),AND(AD114="Muy Alta",AF114="Moderado"),AND(AD114="Muy Alta",AF114="Mayor")),"Alto",IF(OR(AND(AD114="Muy Baja",AF114="Catastrófico"),AND(AD114="Baja",AF114="Catastrófico"),AND(AD114="Media",AF114="Catastrófico"),AND(AD114="Alta",AF114="Catastrófico"),AND(AD114="Muy Alta",AF114="Catastrófico")),"Extremo","")))),"")</f>
        <v>Moderado</v>
      </c>
      <c r="AI114" s="323" t="s">
        <v>26</v>
      </c>
      <c r="AJ114" s="249">
        <v>1</v>
      </c>
      <c r="AK114" s="249">
        <v>0</v>
      </c>
      <c r="AL114" s="249">
        <v>0</v>
      </c>
      <c r="AM114" s="249">
        <v>1</v>
      </c>
      <c r="AN114" s="278"/>
      <c r="AO114" s="277"/>
      <c r="AP114" s="277"/>
      <c r="AQ114" s="276"/>
      <c r="AR114" s="263"/>
      <c r="AS114" s="277"/>
      <c r="AT114" s="293"/>
      <c r="AU114" s="293"/>
      <c r="AV114" s="293"/>
      <c r="AW114" s="293"/>
      <c r="AX114" s="293"/>
      <c r="AY114" s="293"/>
      <c r="AZ114" s="293"/>
      <c r="BA114" s="293"/>
      <c r="BB114" s="293"/>
      <c r="BC114" s="293"/>
      <c r="BD114" s="293"/>
      <c r="BE114" s="293"/>
      <c r="BF114" s="293"/>
      <c r="BG114" s="293"/>
      <c r="BH114" s="293"/>
      <c r="BI114" s="293"/>
      <c r="BJ114" s="293"/>
      <c r="BK114" s="293"/>
      <c r="BL114" s="293"/>
      <c r="BM114" s="293"/>
      <c r="BN114" s="293"/>
      <c r="BO114" s="293"/>
      <c r="BP114" s="293"/>
      <c r="BQ114" s="293"/>
      <c r="BR114" s="293"/>
      <c r="BS114" s="293"/>
      <c r="BT114" s="293"/>
      <c r="BU114" s="293"/>
      <c r="BV114" s="293"/>
      <c r="BW114" s="293"/>
      <c r="BX114" s="293"/>
      <c r="BY114" s="293"/>
      <c r="BZ114" s="293"/>
    </row>
    <row r="115" spans="1:78" s="295" customFormat="1" ht="124.5" customHeight="1" x14ac:dyDescent="0.2">
      <c r="A115" s="458"/>
      <c r="B115" s="451"/>
      <c r="C115" s="452"/>
      <c r="D115" s="453"/>
      <c r="E115" s="454"/>
      <c r="F115" s="454"/>
      <c r="G115" s="446"/>
      <c r="H115" s="456"/>
      <c r="I115" s="446"/>
      <c r="J115" s="461"/>
      <c r="K115" s="457"/>
      <c r="L115" s="447"/>
      <c r="M115" s="445"/>
      <c r="N115" s="460"/>
      <c r="O115" s="285">
        <f ca="1">IF(NOT(ISERROR(MATCH(N115,_xlfn.ANCHORARRAY(#REF!),0))),#REF!&amp;"Por favor no seleccionar los criterios de impacto",N115)</f>
        <v>0</v>
      </c>
      <c r="P115" s="447"/>
      <c r="Q115" s="445"/>
      <c r="R115" s="459"/>
      <c r="S115" s="248">
        <v>3</v>
      </c>
      <c r="T115" s="330" t="s">
        <v>714</v>
      </c>
      <c r="U115" s="245" t="s">
        <v>293</v>
      </c>
      <c r="V115" s="322" t="str">
        <f>IF(OR(W115="Preventivo",W115="Detectivo"),"Probabilidad",IF(W115="Correctivo","Impacto",""))</f>
        <v>Probabilidad</v>
      </c>
      <c r="W115" s="323" t="s">
        <v>13</v>
      </c>
      <c r="X115" s="323" t="s">
        <v>8</v>
      </c>
      <c r="Y115" s="324" t="str">
        <f>IF(AND(W115="Preventivo",X115="Automático"),"50%",IF(AND(W115="Preventivo",X115="Manual"),"40%",IF(AND(W115="Detectivo",X115="Automático"),"40%",IF(AND(W115="Detectivo",X115="Manual"),"30%",IF(AND(W115="Correctivo",X115="Automático"),"35%",IF(AND(W115="Correctivo",X115="Manual"),"25%",""))))))</f>
        <v>40%</v>
      </c>
      <c r="Z115" s="323" t="s">
        <v>18</v>
      </c>
      <c r="AA115" s="323" t="s">
        <v>21</v>
      </c>
      <c r="AB115" s="323" t="s">
        <v>103</v>
      </c>
      <c r="AC115" s="325">
        <f t="shared" ref="AC115:AC118" si="208">IFERROR(IF(AND(V114="Probabilidad",V115="Probabilidad"),(AE114-(+AE114*Y115)),IF(AND(V114="Impacto",V115="Probabilidad"),(AE113-(+AE113*Y115)),IF(V115="Impacto",AE114,""))),"")</f>
        <v>8.6399999999999991E-2</v>
      </c>
      <c r="AD115" s="326" t="str">
        <f t="shared" si="205"/>
        <v>Muy Baja</v>
      </c>
      <c r="AE115" s="324">
        <f t="shared" ref="AE115:AE118" si="209">+AC115</f>
        <v>8.6399999999999991E-2</v>
      </c>
      <c r="AF115" s="326" t="str">
        <f t="shared" ca="1" si="206"/>
        <v>Moderado</v>
      </c>
      <c r="AG115" s="324">
        <f ca="1">IFERROR(IF(AND(V114="Impacto",V115="Impacto"),(AG114-(+AG114*Y115)),IF(V115="Impacto",($Q$113-(+$Q$113*Y115)),IF(V115="Probabilidad",AG114,""))),"")</f>
        <v>0.6</v>
      </c>
      <c r="AH115" s="328" t="str">
        <f t="shared" ca="1" si="207"/>
        <v>Moderado</v>
      </c>
      <c r="AI115" s="323" t="s">
        <v>26</v>
      </c>
      <c r="AJ115" s="249">
        <v>1</v>
      </c>
      <c r="AK115" s="249">
        <v>0</v>
      </c>
      <c r="AL115" s="249">
        <v>0</v>
      </c>
      <c r="AM115" s="249">
        <v>1</v>
      </c>
      <c r="AN115" s="278"/>
      <c r="AO115" s="277"/>
      <c r="AP115" s="277"/>
      <c r="AQ115" s="276"/>
      <c r="AR115" s="263"/>
      <c r="AS115" s="277"/>
      <c r="AT115" s="293"/>
      <c r="AU115" s="293"/>
      <c r="AV115" s="293"/>
      <c r="AW115" s="293"/>
      <c r="AX115" s="293"/>
      <c r="AY115" s="293"/>
      <c r="AZ115" s="293"/>
      <c r="BA115" s="293"/>
      <c r="BB115" s="293"/>
      <c r="BC115" s="293"/>
      <c r="BD115" s="293"/>
      <c r="BE115" s="293"/>
      <c r="BF115" s="293"/>
      <c r="BG115" s="293"/>
      <c r="BH115" s="293"/>
      <c r="BI115" s="293"/>
      <c r="BJ115" s="293"/>
      <c r="BK115" s="293"/>
      <c r="BL115" s="293"/>
      <c r="BM115" s="293"/>
      <c r="BN115" s="293"/>
      <c r="BO115" s="293"/>
      <c r="BP115" s="293"/>
      <c r="BQ115" s="293"/>
      <c r="BR115" s="293"/>
      <c r="BS115" s="293"/>
      <c r="BT115" s="293"/>
      <c r="BU115" s="293"/>
      <c r="BV115" s="293"/>
      <c r="BW115" s="293"/>
      <c r="BX115" s="293"/>
      <c r="BY115" s="293"/>
      <c r="BZ115" s="293"/>
    </row>
    <row r="116" spans="1:78" s="295" customFormat="1" ht="10.5" customHeight="1" x14ac:dyDescent="0.2">
      <c r="A116" s="458"/>
      <c r="B116" s="451"/>
      <c r="C116" s="452"/>
      <c r="D116" s="453"/>
      <c r="E116" s="454"/>
      <c r="F116" s="454"/>
      <c r="G116" s="446"/>
      <c r="H116" s="456"/>
      <c r="I116" s="446"/>
      <c r="J116" s="461"/>
      <c r="K116" s="457"/>
      <c r="L116" s="447"/>
      <c r="M116" s="445"/>
      <c r="N116" s="460"/>
      <c r="O116" s="285">
        <f ca="1">IF(NOT(ISERROR(MATCH(N116,_xlfn.ANCHORARRAY(#REF!),0))),#REF!&amp;"Por favor no seleccionar los criterios de impacto",N116)</f>
        <v>0</v>
      </c>
      <c r="P116" s="447"/>
      <c r="Q116" s="445"/>
      <c r="R116" s="459"/>
      <c r="S116" s="248">
        <v>4</v>
      </c>
      <c r="T116" s="330"/>
      <c r="U116" s="245"/>
      <c r="V116" s="322" t="str">
        <f t="shared" ref="V116:V118" si="210">IF(OR(W116="Preventivo",W116="Detectivo"),"Probabilidad",IF(W116="Correctivo","Impacto",""))</f>
        <v/>
      </c>
      <c r="W116" s="323"/>
      <c r="X116" s="323"/>
      <c r="Y116" s="324" t="str">
        <f t="shared" ref="Y116:Y118" si="211">IF(AND(W116="Preventivo",X116="Automático"),"50%",IF(AND(W116="Preventivo",X116="Manual"),"40%",IF(AND(W116="Detectivo",X116="Automático"),"40%",IF(AND(W116="Detectivo",X116="Manual"),"30%",IF(AND(W116="Correctivo",X116="Automático"),"35%",IF(AND(W116="Correctivo",X116="Manual"),"25%",""))))))</f>
        <v/>
      </c>
      <c r="Z116" s="323"/>
      <c r="AA116" s="323"/>
      <c r="AB116" s="323"/>
      <c r="AC116" s="325" t="str">
        <f t="shared" si="208"/>
        <v/>
      </c>
      <c r="AD116" s="326" t="str">
        <f t="shared" si="205"/>
        <v/>
      </c>
      <c r="AE116" s="324" t="str">
        <f t="shared" si="209"/>
        <v/>
      </c>
      <c r="AF116" s="326" t="str">
        <f t="shared" si="206"/>
        <v/>
      </c>
      <c r="AG116" s="324" t="str">
        <f t="shared" ref="AG116:AG118" si="212">IFERROR(IF(AND(V115="Impacto",V116="Impacto"),(AG115-(+AG115*Y116)),IF(V116="Impacto",($Q$113-(+$Q$113*Y116)),IF(V116="Probabilidad",AG115,""))),"")</f>
        <v/>
      </c>
      <c r="AH116" s="328" t="str">
        <f>IFERROR(IF(OR(AND(AD116="Muy Baja",AF116="Leve"),AND(AD116="Muy Baja",AF116="Menor"),AND(AD116="Baja",AF116="Leve")),"Bajo",IF(OR(AND(AD116="Muy baja",AF116="Moderado"),AND(AD116="Baja",AF116="Menor"),AND(AD116="Baja",AF116="Moderado"),AND(AD116="Media",AF116="Leve"),AND(AD116="Media",AF116="Menor"),AND(AD116="Media",AF116="Moderado"),AND(AD116="Alta",AF116="Leve"),AND(AD116="Alta",AF116="Menor")),"Moderado",IF(OR(AND(AD116="Muy Baja",AF116="Mayor"),AND(AD116="Baja",AF116="Mayor"),AND(AD116="Media",AF116="Mayor"),AND(AD116="Alta",AF116="Moderado"),AND(AD116="Alta",AF116="Mayor"),AND(AD116="Muy Alta",AF116="Leve"),AND(AD116="Muy Alta",AF116="Menor"),AND(AD116="Muy Alta",AF116="Moderado"),AND(AD116="Muy Alta",AF116="Mayor")),"Alto",IF(OR(AND(AD116="Muy Baja",AF116="Catastrófico"),AND(AD116="Baja",AF116="Catastrófico"),AND(AD116="Media",AF116="Catastrófico"),AND(AD116="Alta",AF116="Catastrófico"),AND(AD116="Muy Alta",AF116="Catastrófico")),"Extremo","")))),"")</f>
        <v/>
      </c>
      <c r="AI116" s="323"/>
      <c r="AJ116" s="249"/>
      <c r="AK116" s="249"/>
      <c r="AL116" s="249"/>
      <c r="AM116" s="249"/>
      <c r="AN116" s="278"/>
      <c r="AO116" s="209"/>
      <c r="AP116" s="209"/>
      <c r="AQ116" s="244"/>
      <c r="AR116" s="263"/>
      <c r="AS116" s="209"/>
      <c r="AT116" s="293"/>
      <c r="AU116" s="293"/>
      <c r="AV116" s="293"/>
      <c r="AW116" s="293"/>
      <c r="AX116" s="293"/>
      <c r="AY116" s="293"/>
      <c r="AZ116" s="293"/>
      <c r="BA116" s="293"/>
      <c r="BB116" s="293"/>
      <c r="BC116" s="293"/>
      <c r="BD116" s="293"/>
      <c r="BE116" s="293"/>
      <c r="BF116" s="293"/>
      <c r="BG116" s="293"/>
      <c r="BH116" s="293"/>
      <c r="BI116" s="293"/>
      <c r="BJ116" s="293"/>
      <c r="BK116" s="293"/>
      <c r="BL116" s="293"/>
      <c r="BM116" s="293"/>
      <c r="BN116" s="293"/>
      <c r="BO116" s="293"/>
      <c r="BP116" s="293"/>
      <c r="BQ116" s="293"/>
      <c r="BR116" s="293"/>
      <c r="BS116" s="293"/>
      <c r="BT116" s="293"/>
      <c r="BU116" s="293"/>
      <c r="BV116" s="293"/>
      <c r="BW116" s="293"/>
      <c r="BX116" s="293"/>
      <c r="BY116" s="293"/>
      <c r="BZ116" s="293"/>
    </row>
    <row r="117" spans="1:78" s="295" customFormat="1" ht="10.5" customHeight="1" x14ac:dyDescent="0.2">
      <c r="A117" s="458"/>
      <c r="B117" s="451"/>
      <c r="C117" s="452"/>
      <c r="D117" s="453"/>
      <c r="E117" s="454"/>
      <c r="F117" s="454"/>
      <c r="G117" s="446"/>
      <c r="H117" s="456"/>
      <c r="I117" s="446"/>
      <c r="J117" s="461"/>
      <c r="K117" s="457"/>
      <c r="L117" s="447"/>
      <c r="M117" s="445"/>
      <c r="N117" s="460"/>
      <c r="O117" s="285">
        <f ca="1">IF(NOT(ISERROR(MATCH(N117,_xlfn.ANCHORARRAY(#REF!),0))),#REF!&amp;"Por favor no seleccionar los criterios de impacto",N117)</f>
        <v>0</v>
      </c>
      <c r="P117" s="447"/>
      <c r="Q117" s="445"/>
      <c r="R117" s="459"/>
      <c r="S117" s="248">
        <v>5</v>
      </c>
      <c r="T117" s="330"/>
      <c r="U117" s="245"/>
      <c r="V117" s="322" t="str">
        <f t="shared" si="210"/>
        <v/>
      </c>
      <c r="W117" s="323"/>
      <c r="X117" s="323"/>
      <c r="Y117" s="324" t="str">
        <f t="shared" si="211"/>
        <v/>
      </c>
      <c r="Z117" s="323"/>
      <c r="AA117" s="323"/>
      <c r="AB117" s="323"/>
      <c r="AC117" s="325" t="str">
        <f t="shared" si="208"/>
        <v/>
      </c>
      <c r="AD117" s="326" t="str">
        <f t="shared" si="205"/>
        <v/>
      </c>
      <c r="AE117" s="324" t="str">
        <f t="shared" si="209"/>
        <v/>
      </c>
      <c r="AF117" s="326" t="str">
        <f t="shared" si="206"/>
        <v/>
      </c>
      <c r="AG117" s="324" t="str">
        <f t="shared" si="212"/>
        <v/>
      </c>
      <c r="AH117" s="328" t="str">
        <f t="shared" ref="AH117:AH118" si="213">IFERROR(IF(OR(AND(AD117="Muy Baja",AF117="Leve"),AND(AD117="Muy Baja",AF117="Menor"),AND(AD117="Baja",AF117="Leve")),"Bajo",IF(OR(AND(AD117="Muy baja",AF117="Moderado"),AND(AD117="Baja",AF117="Menor"),AND(AD117="Baja",AF117="Moderado"),AND(AD117="Media",AF117="Leve"),AND(AD117="Media",AF117="Menor"),AND(AD117="Media",AF117="Moderado"),AND(AD117="Alta",AF117="Leve"),AND(AD117="Alta",AF117="Menor")),"Moderado",IF(OR(AND(AD117="Muy Baja",AF117="Mayor"),AND(AD117="Baja",AF117="Mayor"),AND(AD117="Media",AF117="Mayor"),AND(AD117="Alta",AF117="Moderado"),AND(AD117="Alta",AF117="Mayor"),AND(AD117="Muy Alta",AF117="Leve"),AND(AD117="Muy Alta",AF117="Menor"),AND(AD117="Muy Alta",AF117="Moderado"),AND(AD117="Muy Alta",AF117="Mayor")),"Alto",IF(OR(AND(AD117="Muy Baja",AF117="Catastrófico"),AND(AD117="Baja",AF117="Catastrófico"),AND(AD117="Media",AF117="Catastrófico"),AND(AD117="Alta",AF117="Catastrófico"),AND(AD117="Muy Alta",AF117="Catastrófico")),"Extremo","")))),"")</f>
        <v/>
      </c>
      <c r="AI117" s="323"/>
      <c r="AJ117" s="249"/>
      <c r="AK117" s="249"/>
      <c r="AL117" s="249"/>
      <c r="AM117" s="249"/>
      <c r="AN117" s="278"/>
      <c r="AO117" s="276"/>
      <c r="AP117" s="276"/>
      <c r="AQ117" s="278"/>
      <c r="AR117" s="211"/>
      <c r="AS117" s="211"/>
      <c r="AT117" s="293"/>
      <c r="AU117" s="293"/>
      <c r="AV117" s="293"/>
      <c r="AW117" s="293"/>
      <c r="AX117" s="293"/>
      <c r="AY117" s="293"/>
      <c r="AZ117" s="293"/>
      <c r="BA117" s="293"/>
      <c r="BB117" s="293"/>
      <c r="BC117" s="293"/>
      <c r="BD117" s="293"/>
      <c r="BE117" s="293"/>
      <c r="BF117" s="293"/>
      <c r="BG117" s="293"/>
      <c r="BH117" s="293"/>
      <c r="BI117" s="293"/>
      <c r="BJ117" s="293"/>
      <c r="BK117" s="293"/>
      <c r="BL117" s="293"/>
      <c r="BM117" s="293"/>
      <c r="BN117" s="293"/>
      <c r="BO117" s="293"/>
      <c r="BP117" s="293"/>
      <c r="BQ117" s="293"/>
      <c r="BR117" s="293"/>
      <c r="BS117" s="293"/>
      <c r="BT117" s="293"/>
      <c r="BU117" s="293"/>
      <c r="BV117" s="293"/>
      <c r="BW117" s="293"/>
      <c r="BX117" s="293"/>
      <c r="BY117" s="293"/>
      <c r="BZ117" s="293"/>
    </row>
    <row r="118" spans="1:78" s="295" customFormat="1" ht="10.5" customHeight="1" x14ac:dyDescent="0.2">
      <c r="A118" s="458"/>
      <c r="B118" s="451"/>
      <c r="C118" s="452"/>
      <c r="D118" s="453"/>
      <c r="E118" s="454"/>
      <c r="F118" s="454"/>
      <c r="G118" s="446"/>
      <c r="H118" s="456"/>
      <c r="I118" s="446"/>
      <c r="J118" s="461"/>
      <c r="K118" s="457"/>
      <c r="L118" s="447"/>
      <c r="M118" s="445"/>
      <c r="N118" s="460"/>
      <c r="O118" s="285">
        <f ca="1">IF(NOT(ISERROR(MATCH(N118,_xlfn.ANCHORARRAY(#REF!),0))),M49&amp;"Por favor no seleccionar los criterios de impacto",N118)</f>
        <v>0</v>
      </c>
      <c r="P118" s="447"/>
      <c r="Q118" s="445"/>
      <c r="R118" s="459"/>
      <c r="S118" s="248">
        <v>6</v>
      </c>
      <c r="T118" s="330"/>
      <c r="U118" s="245"/>
      <c r="V118" s="322" t="str">
        <f t="shared" si="210"/>
        <v/>
      </c>
      <c r="W118" s="323"/>
      <c r="X118" s="323"/>
      <c r="Y118" s="324" t="str">
        <f t="shared" si="211"/>
        <v/>
      </c>
      <c r="Z118" s="323"/>
      <c r="AA118" s="323"/>
      <c r="AB118" s="323"/>
      <c r="AC118" s="325" t="str">
        <f t="shared" si="208"/>
        <v/>
      </c>
      <c r="AD118" s="326" t="str">
        <f t="shared" si="205"/>
        <v/>
      </c>
      <c r="AE118" s="324" t="str">
        <f t="shared" si="209"/>
        <v/>
      </c>
      <c r="AF118" s="326" t="str">
        <f t="shared" si="206"/>
        <v/>
      </c>
      <c r="AG118" s="324" t="str">
        <f t="shared" si="212"/>
        <v/>
      </c>
      <c r="AH118" s="328" t="str">
        <f t="shared" si="213"/>
        <v/>
      </c>
      <c r="AI118" s="323"/>
      <c r="AJ118" s="249"/>
      <c r="AK118" s="249"/>
      <c r="AL118" s="249"/>
      <c r="AM118" s="249"/>
      <c r="AN118" s="278"/>
      <c r="AO118" s="276"/>
      <c r="AP118" s="276"/>
      <c r="AQ118" s="278"/>
      <c r="AR118" s="211"/>
      <c r="AS118" s="211"/>
      <c r="AT118" s="293"/>
      <c r="AU118" s="293"/>
      <c r="AV118" s="293"/>
      <c r="AW118" s="293"/>
      <c r="AX118" s="293"/>
      <c r="AY118" s="293"/>
      <c r="AZ118" s="293"/>
      <c r="BA118" s="293"/>
      <c r="BB118" s="293"/>
      <c r="BC118" s="293"/>
      <c r="BD118" s="293"/>
      <c r="BE118" s="293"/>
      <c r="BF118" s="293"/>
      <c r="BG118" s="293"/>
      <c r="BH118" s="293"/>
      <c r="BI118" s="293"/>
      <c r="BJ118" s="293"/>
      <c r="BK118" s="293"/>
      <c r="BL118" s="293"/>
      <c r="BM118" s="293"/>
      <c r="BN118" s="293"/>
      <c r="BO118" s="293"/>
      <c r="BP118" s="293"/>
      <c r="BQ118" s="293"/>
      <c r="BR118" s="293"/>
      <c r="BS118" s="293"/>
      <c r="BT118" s="293"/>
      <c r="BU118" s="293"/>
      <c r="BV118" s="293"/>
      <c r="BW118" s="293"/>
      <c r="BX118" s="293"/>
      <c r="BY118" s="293"/>
      <c r="BZ118" s="293"/>
    </row>
    <row r="119" spans="1:78" s="294" customFormat="1" ht="141.75" customHeight="1" x14ac:dyDescent="0.2">
      <c r="A119" s="458" t="s">
        <v>718</v>
      </c>
      <c r="B119" s="451" t="s">
        <v>830</v>
      </c>
      <c r="C119" s="452" t="s">
        <v>602</v>
      </c>
      <c r="D119" s="453" t="s">
        <v>621</v>
      </c>
      <c r="E119" s="454" t="s">
        <v>107</v>
      </c>
      <c r="F119" s="454" t="s">
        <v>800</v>
      </c>
      <c r="G119" s="446" t="s">
        <v>675</v>
      </c>
      <c r="H119" s="456" t="s">
        <v>952</v>
      </c>
      <c r="I119" s="446" t="s">
        <v>654</v>
      </c>
      <c r="J119" s="446" t="s">
        <v>1041</v>
      </c>
      <c r="K119" s="457">
        <v>10</v>
      </c>
      <c r="L119" s="447" t="str">
        <f t="shared" ref="L119" si="214">IF(K119&lt;=0,"",IF(K119&lt;=2,"Muy Baja",IF(K119&lt;=24,"Baja",IF(K119&lt;=500,"Media",IF(K119&lt;=5000,"Alta","Muy Alta")))))</f>
        <v>Baja</v>
      </c>
      <c r="M119" s="445">
        <f>IF(L119="","",IF(L119="Muy Baja",0.2,IF(L119="Baja",0.4,IF(L119="Media",0.6,IF(L119="Alta",0.8,IF(L119="Muy Alta",1,))))))</f>
        <v>0.4</v>
      </c>
      <c r="N119" s="455" t="s">
        <v>122</v>
      </c>
      <c r="O119" s="285" t="str">
        <f ca="1">IF(NOT(ISERROR(MATCH(N119,'Tabla Impacto'!$B$221:$B$223,0))),'Tabla Impacto'!$F$223&amp;"Por favor no seleccionar los criterios de impacto(Afectación Económica o presupuestal y Pérdida Reputacional)",N119)</f>
        <v xml:space="preserve">     El riesgo afecta la imagen de de la entidad con efecto publicitario sostenido a nivel de sector administrativo, nivel departamental o municipal</v>
      </c>
      <c r="P119" s="447" t="str">
        <f ca="1">IF(OR(O119='Tabla Impacto'!$C$11,O119='Tabla Impacto'!$D$11),"Leve",IF(OR(O119='Tabla Impacto'!$C$12,O119='Tabla Impacto'!$D$12),"Menor",IF(OR(O119='Tabla Impacto'!$C$13,O119='Tabla Impacto'!$D$13),"Moderado",IF(OR(O119='Tabla Impacto'!$C$14,O119='Tabla Impacto'!$D$14),"Mayor",IF(OR(O119='Tabla Impacto'!$C$15,O119='Tabla Impacto'!$D$15),"Catastrófico","")))))</f>
        <v>Mayor</v>
      </c>
      <c r="Q119" s="445">
        <f ca="1">IF(P119="","",IF(P119="Leve",0.2,IF(P119="Menor",0.4,IF(P119="Moderado",0.6,IF(P119="Mayor",0.8,IF(P119="Catastrófico",1,))))))</f>
        <v>0.8</v>
      </c>
      <c r="R119" s="459" t="str">
        <f ca="1">IF(OR(AND(L119="Muy Baja",P119="Leve"),AND(L119="Muy Baja",P119="Menor"),AND(L119="Baja",P119="Leve")),"Bajo",IF(OR(AND(L119="Muy baja",P119="Moderado"),AND(L119="Baja",P119="Menor"),AND(L119="Baja",P119="Moderado"),AND(L119="Media",P119="Leve"),AND(L119="Media",P119="Menor"),AND(L119="Media",P119="Moderado"),AND(L119="Alta",P119="Leve"),AND(L119="Alta",P119="Menor")),"Moderado",IF(OR(AND(L119="Muy Baja",P119="Mayor"),AND(L119="Baja",P119="Mayor"),AND(L119="Media",P119="Mayor"),AND(L119="Alta",P119="Moderado"),AND(L119="Alta",P119="Mayor"),AND(L119="Muy Alta",P119="Leve"),AND(L119="Muy Alta",P119="Menor"),AND(L119="Muy Alta",P119="Moderado"),AND(L119="Muy Alta",P119="Mayor")),"Alto",IF(OR(AND(L119="Muy Baja",P119="Catastrófico"),AND(L119="Baja",P119="Catastrófico"),AND(L119="Media",P119="Catastrófico"),AND(L119="Alta",P119="Catastrófico"),AND(L119="Muy Alta",P119="Catastrófico")),"Extremo",""))))</f>
        <v>Alto</v>
      </c>
      <c r="S119" s="248">
        <v>1</v>
      </c>
      <c r="T119" s="321" t="s">
        <v>719</v>
      </c>
      <c r="U119" s="245" t="s">
        <v>293</v>
      </c>
      <c r="V119" s="322" t="str">
        <f>IF(OR(W119="Preventivo",W119="Detectivo"),"Probabilidad",IF(W119="Correctivo","Impacto",""))</f>
        <v>Probabilidad</v>
      </c>
      <c r="W119" s="323" t="s">
        <v>13</v>
      </c>
      <c r="X119" s="323" t="s">
        <v>8</v>
      </c>
      <c r="Y119" s="324" t="str">
        <f>IF(AND(W119="Preventivo",X119="Automático"),"50%",IF(AND(W119="Preventivo",X119="Manual"),"40%",IF(AND(W119="Detectivo",X119="Automático"),"40%",IF(AND(W119="Detectivo",X119="Manual"),"30%",IF(AND(W119="Correctivo",X119="Automático"),"35%",IF(AND(W119="Correctivo",X119="Manual"),"25%",""))))))</f>
        <v>40%</v>
      </c>
      <c r="Z119" s="323" t="s">
        <v>18</v>
      </c>
      <c r="AA119" s="323" t="s">
        <v>21</v>
      </c>
      <c r="AB119" s="323" t="s">
        <v>103</v>
      </c>
      <c r="AC119" s="325">
        <f t="shared" ref="AC119" si="215">IFERROR(IF(V119="Probabilidad",(M119-(+M119*Y119)),IF(V119="Impacto",M119,"")),"")</f>
        <v>0.24</v>
      </c>
      <c r="AD119" s="326" t="str">
        <f>IFERROR(IF(AC119="","",IF(AC119&lt;=0.2,"Muy Baja",IF(AC119&lt;=0.4,"Baja",IF(AC119&lt;=0.6,"Media",IF(AC119&lt;=0.8,"Alta","Muy Alta"))))),"")</f>
        <v>Baja</v>
      </c>
      <c r="AE119" s="324">
        <f>+AC119</f>
        <v>0.24</v>
      </c>
      <c r="AF119" s="326" t="str">
        <f ca="1">IFERROR(IF(AG119="","",IF(AG119&lt;=0.2,"Leve",IF(AG119&lt;=0.4,"Menor",IF(AG119&lt;=0.6,"Moderado",IF(AG119&lt;=0.8,"Mayor","Catastrófico"))))),"")</f>
        <v>Mayor</v>
      </c>
      <c r="AG119" s="324">
        <f ca="1">IFERROR(IF(V119="Impacto",(Q119-(+Q119*Y119)),IF(V119="Probabilidad",Q119,"")),"")</f>
        <v>0.8</v>
      </c>
      <c r="AH119" s="328" t="str">
        <f ca="1">IFERROR(IF(OR(AND(AD119="Muy Baja",AF119="Leve"),AND(AD119="Muy Baja",AF119="Menor"),AND(AD119="Baja",AF119="Leve")),"Bajo",IF(OR(AND(AD119="Muy baja",AF119="Moderado"),AND(AD119="Baja",AF119="Menor"),AND(AD119="Baja",AF119="Moderado"),AND(AD119="Media",AF119="Leve"),AND(AD119="Media",AF119="Menor"),AND(AD119="Media",AF119="Moderado"),AND(AD119="Alta",AF119="Leve"),AND(AD119="Alta",AF119="Menor")),"Moderado",IF(OR(AND(AD119="Muy Baja",AF119="Mayor"),AND(AD119="Baja",AF119="Mayor"),AND(AD119="Media",AF119="Mayor"),AND(AD119="Alta",AF119="Moderado"),AND(AD119="Alta",AF119="Mayor"),AND(AD119="Muy Alta",AF119="Leve"),AND(AD119="Muy Alta",AF119="Menor"),AND(AD119="Muy Alta",AF119="Moderado"),AND(AD119="Muy Alta",AF119="Mayor")),"Alto",IF(OR(AND(AD119="Muy Baja",AF119="Catastrófico"),AND(AD119="Baja",AF119="Catastrófico"),AND(AD119="Media",AF119="Catastrófico"),AND(AD119="Alta",AF119="Catastrófico"),AND(AD119="Muy Alta",AF119="Catastrófico")),"Extremo","")))),"")</f>
        <v>Alto</v>
      </c>
      <c r="AI119" s="323" t="s">
        <v>26</v>
      </c>
      <c r="AJ119" s="249">
        <v>0</v>
      </c>
      <c r="AK119" s="249">
        <v>0</v>
      </c>
      <c r="AL119" s="249">
        <v>0</v>
      </c>
      <c r="AM119" s="249">
        <v>0</v>
      </c>
      <c r="AN119" s="240"/>
      <c r="AO119" s="259"/>
      <c r="AP119" s="259"/>
      <c r="AQ119" s="239"/>
      <c r="AR119" s="264"/>
      <c r="AS119" s="265"/>
      <c r="AT119" s="293"/>
      <c r="AU119" s="293"/>
      <c r="AV119" s="293"/>
      <c r="AW119" s="293"/>
      <c r="AX119" s="293"/>
      <c r="AY119" s="293"/>
      <c r="AZ119" s="293"/>
      <c r="BA119" s="293"/>
      <c r="BB119" s="293"/>
      <c r="BC119" s="293"/>
      <c r="BD119" s="293"/>
      <c r="BE119" s="293"/>
      <c r="BF119" s="293"/>
      <c r="BG119" s="293"/>
      <c r="BH119" s="293"/>
      <c r="BI119" s="293"/>
      <c r="BJ119" s="293"/>
      <c r="BK119" s="293"/>
      <c r="BL119" s="293"/>
      <c r="BM119" s="293"/>
      <c r="BN119" s="293"/>
      <c r="BO119" s="293"/>
      <c r="BP119" s="293"/>
      <c r="BQ119" s="293"/>
      <c r="BR119" s="293"/>
      <c r="BS119" s="293"/>
      <c r="BT119" s="293"/>
      <c r="BU119" s="293"/>
      <c r="BV119" s="293"/>
      <c r="BW119" s="293"/>
      <c r="BX119" s="293"/>
      <c r="BY119" s="293"/>
      <c r="BZ119" s="293"/>
    </row>
    <row r="120" spans="1:78" s="295" customFormat="1" ht="108.75" customHeight="1" x14ac:dyDescent="0.2">
      <c r="A120" s="458"/>
      <c r="B120" s="451"/>
      <c r="C120" s="452"/>
      <c r="D120" s="453"/>
      <c r="E120" s="454"/>
      <c r="F120" s="454"/>
      <c r="G120" s="446"/>
      <c r="H120" s="456"/>
      <c r="I120" s="446"/>
      <c r="J120" s="446"/>
      <c r="K120" s="457"/>
      <c r="L120" s="447"/>
      <c r="M120" s="445"/>
      <c r="N120" s="455"/>
      <c r="O120" s="285">
        <f ca="1">IF(NOT(ISERROR(MATCH(N120,_xlfn.ANCHORARRAY(#REF!),0))),#REF!&amp;"Por favor no seleccionar los criterios de impacto",N120)</f>
        <v>0</v>
      </c>
      <c r="P120" s="447"/>
      <c r="Q120" s="445"/>
      <c r="R120" s="459"/>
      <c r="S120" s="248">
        <v>2</v>
      </c>
      <c r="T120" s="321" t="s">
        <v>801</v>
      </c>
      <c r="U120" s="245" t="s">
        <v>293</v>
      </c>
      <c r="V120" s="322" t="str">
        <f>IF(OR(W120="Preventivo",W120="Detectivo"),"Probabilidad",IF(W120="Correctivo","Impacto",""))</f>
        <v>Probabilidad</v>
      </c>
      <c r="W120" s="323" t="s">
        <v>13</v>
      </c>
      <c r="X120" s="323" t="s">
        <v>8</v>
      </c>
      <c r="Y120" s="324" t="str">
        <f>IF(AND(W120="Preventivo",X120="Automático"),"50%",IF(AND(W120="Preventivo",X120="Manual"),"40%",IF(AND(W120="Detectivo",X120="Automático"),"40%",IF(AND(W120="Detectivo",X120="Manual"),"30%",IF(AND(W120="Correctivo",X120="Automático"),"35%",IF(AND(W120="Correctivo",X120="Manual"),"25%",""))))))</f>
        <v>40%</v>
      </c>
      <c r="Z120" s="323" t="s">
        <v>18</v>
      </c>
      <c r="AA120" s="323" t="s">
        <v>21</v>
      </c>
      <c r="AB120" s="323" t="s">
        <v>103</v>
      </c>
      <c r="AC120" s="325">
        <f t="shared" ref="AC120" si="216">IFERROR(IF(AND(V119="Probabilidad",V120="Probabilidad"),(AE119-(+AE119*Y120)),IF(V120="Probabilidad",(M119-(+M119*Y120)),IF(V120="Impacto",AE119,""))),"")</f>
        <v>0.14399999999999999</v>
      </c>
      <c r="AD120" s="326" t="str">
        <f t="shared" ref="AD120:AD124" si="217">IFERROR(IF(AC120="","",IF(AC120&lt;=0.2,"Muy Baja",IF(AC120&lt;=0.4,"Baja",IF(AC120&lt;=0.6,"Media",IF(AC120&lt;=0.8,"Alta","Muy Alta"))))),"")</f>
        <v>Muy Baja</v>
      </c>
      <c r="AE120" s="324">
        <f>+AC120</f>
        <v>0.14399999999999999</v>
      </c>
      <c r="AF120" s="326" t="str">
        <f t="shared" ref="AF120:AF124" ca="1" si="218">IFERROR(IF(AG120="","",IF(AG120&lt;=0.2,"Leve",IF(AG120&lt;=0.4,"Menor",IF(AG120&lt;=0.6,"Moderado",IF(AG120&lt;=0.8,"Mayor","Catastrófico"))))),"")</f>
        <v>Mayor</v>
      </c>
      <c r="AG120" s="324">
        <f ca="1">IFERROR(IF(AND(V119="Impacto",V120="Impacto"),(AG119-(+AG119*Y120)),IF(V120="Impacto",($Q$119-(+$Q$119*Y120)),IF(V120="Probabilidad",AG119,""))),"")</f>
        <v>0.8</v>
      </c>
      <c r="AH120" s="328" t="str">
        <f t="shared" ref="AH120:AH121" ca="1" si="219">IFERROR(IF(OR(AND(AD120="Muy Baja",AF120="Leve"),AND(AD120="Muy Baja",AF120="Menor"),AND(AD120="Baja",AF120="Leve")),"Bajo",IF(OR(AND(AD120="Muy baja",AF120="Moderado"),AND(AD120="Baja",AF120="Menor"),AND(AD120="Baja",AF120="Moderado"),AND(AD120="Media",AF120="Leve"),AND(AD120="Media",AF120="Menor"),AND(AD120="Media",AF120="Moderado"),AND(AD120="Alta",AF120="Leve"),AND(AD120="Alta",AF120="Menor")),"Moderado",IF(OR(AND(AD120="Muy Baja",AF120="Mayor"),AND(AD120="Baja",AF120="Mayor"),AND(AD120="Media",AF120="Mayor"),AND(AD120="Alta",AF120="Moderado"),AND(AD120="Alta",AF120="Mayor"),AND(AD120="Muy Alta",AF120="Leve"),AND(AD120="Muy Alta",AF120="Menor"),AND(AD120="Muy Alta",AF120="Moderado"),AND(AD120="Muy Alta",AF120="Mayor")),"Alto",IF(OR(AND(AD120="Muy Baja",AF120="Catastrófico"),AND(AD120="Baja",AF120="Catastrófico"),AND(AD120="Media",AF120="Catastrófico"),AND(AD120="Alta",AF120="Catastrófico"),AND(AD120="Muy Alta",AF120="Catastrófico")),"Extremo","")))),"")</f>
        <v>Alto</v>
      </c>
      <c r="AI120" s="323" t="s">
        <v>26</v>
      </c>
      <c r="AJ120" s="249">
        <v>0</v>
      </c>
      <c r="AK120" s="249">
        <v>0</v>
      </c>
      <c r="AL120" s="249">
        <v>0</v>
      </c>
      <c r="AM120" s="249">
        <v>0</v>
      </c>
      <c r="AN120" s="278"/>
      <c r="AO120" s="277"/>
      <c r="AP120" s="277"/>
      <c r="AQ120" s="276"/>
      <c r="AR120" s="263"/>
      <c r="AS120" s="277"/>
      <c r="AT120" s="293"/>
      <c r="AU120" s="293"/>
      <c r="AV120" s="293"/>
      <c r="AW120" s="293"/>
      <c r="AX120" s="293"/>
      <c r="AY120" s="293"/>
      <c r="AZ120" s="293"/>
      <c r="BA120" s="293"/>
      <c r="BB120" s="293"/>
      <c r="BC120" s="293"/>
      <c r="BD120" s="293"/>
      <c r="BE120" s="293"/>
      <c r="BF120" s="293"/>
      <c r="BG120" s="293"/>
      <c r="BH120" s="293"/>
      <c r="BI120" s="293"/>
      <c r="BJ120" s="293"/>
      <c r="BK120" s="293"/>
      <c r="BL120" s="293"/>
      <c r="BM120" s="293"/>
      <c r="BN120" s="293"/>
      <c r="BO120" s="293"/>
      <c r="BP120" s="293"/>
      <c r="BQ120" s="293"/>
      <c r="BR120" s="293"/>
      <c r="BS120" s="293"/>
      <c r="BT120" s="293"/>
      <c r="BU120" s="293"/>
      <c r="BV120" s="293"/>
      <c r="BW120" s="293"/>
      <c r="BX120" s="293"/>
      <c r="BY120" s="293"/>
      <c r="BZ120" s="293"/>
    </row>
    <row r="121" spans="1:78" s="295" customFormat="1" ht="94.5" customHeight="1" x14ac:dyDescent="0.2">
      <c r="A121" s="458"/>
      <c r="B121" s="451"/>
      <c r="C121" s="452"/>
      <c r="D121" s="453"/>
      <c r="E121" s="454"/>
      <c r="F121" s="454"/>
      <c r="G121" s="446"/>
      <c r="H121" s="456"/>
      <c r="I121" s="446"/>
      <c r="J121" s="446"/>
      <c r="K121" s="457"/>
      <c r="L121" s="447"/>
      <c r="M121" s="445"/>
      <c r="N121" s="455"/>
      <c r="O121" s="285">
        <f ca="1">IF(NOT(ISERROR(MATCH(N121,_xlfn.ANCHORARRAY(#REF!),0))),#REF!&amp;"Por favor no seleccionar los criterios de impacto",N121)</f>
        <v>0</v>
      </c>
      <c r="P121" s="447"/>
      <c r="Q121" s="445"/>
      <c r="R121" s="459"/>
      <c r="S121" s="248">
        <v>3</v>
      </c>
      <c r="T121" s="321" t="s">
        <v>836</v>
      </c>
      <c r="U121" s="245" t="s">
        <v>293</v>
      </c>
      <c r="V121" s="322" t="str">
        <f>IF(OR(W121="Preventivo",W121="Detectivo"),"Probabilidad",IF(W121="Correctivo","Impacto",""))</f>
        <v>Probabilidad</v>
      </c>
      <c r="W121" s="323" t="s">
        <v>13</v>
      </c>
      <c r="X121" s="323" t="s">
        <v>8</v>
      </c>
      <c r="Y121" s="324" t="str">
        <f>IF(AND(W121="Preventivo",X121="Automático"),"50%",IF(AND(W121="Preventivo",X121="Manual"),"40%",IF(AND(W121="Detectivo",X121="Automático"),"40%",IF(AND(W121="Detectivo",X121="Manual"),"30%",IF(AND(W121="Correctivo",X121="Automático"),"35%",IF(AND(W121="Correctivo",X121="Manual"),"25%",""))))))</f>
        <v>40%</v>
      </c>
      <c r="Z121" s="323" t="s">
        <v>18</v>
      </c>
      <c r="AA121" s="323" t="s">
        <v>21</v>
      </c>
      <c r="AB121" s="323" t="s">
        <v>103</v>
      </c>
      <c r="AC121" s="325">
        <f t="shared" ref="AC121:AC124" si="220">IFERROR(IF(AND(V120="Probabilidad",V121="Probabilidad"),(AE120-(+AE120*Y121)),IF(AND(V120="Impacto",V121="Probabilidad"),(AE119-(+AE119*Y121)),IF(V121="Impacto",AE120,""))),"")</f>
        <v>8.6399999999999991E-2</v>
      </c>
      <c r="AD121" s="326" t="str">
        <f t="shared" si="217"/>
        <v>Muy Baja</v>
      </c>
      <c r="AE121" s="324">
        <f t="shared" ref="AE121:AE124" si="221">+AC121</f>
        <v>8.6399999999999991E-2</v>
      </c>
      <c r="AF121" s="326" t="str">
        <f t="shared" ca="1" si="218"/>
        <v>Mayor</v>
      </c>
      <c r="AG121" s="324">
        <f t="shared" ref="AG121:AG124" ca="1" si="222">IFERROR(IF(AND(V120="Impacto",V121="Impacto"),(AG120-(+AG120*Y121)),IF(V121="Impacto",($Q$119-(+$Q$119*Y121)),IF(V121="Probabilidad",AG120,""))),"")</f>
        <v>0.8</v>
      </c>
      <c r="AH121" s="328" t="str">
        <f t="shared" ca="1" si="219"/>
        <v>Alto</v>
      </c>
      <c r="AI121" s="323" t="s">
        <v>26</v>
      </c>
      <c r="AJ121" s="249">
        <v>0</v>
      </c>
      <c r="AK121" s="249">
        <v>0</v>
      </c>
      <c r="AL121" s="249">
        <v>0</v>
      </c>
      <c r="AM121" s="249">
        <v>0</v>
      </c>
      <c r="AN121" s="278"/>
      <c r="AO121" s="277"/>
      <c r="AP121" s="277"/>
      <c r="AQ121" s="276"/>
      <c r="AR121" s="263"/>
      <c r="AS121" s="277"/>
      <c r="AT121" s="293"/>
      <c r="AU121" s="293"/>
      <c r="AV121" s="293"/>
      <c r="AW121" s="293"/>
      <c r="AX121" s="293"/>
      <c r="AY121" s="293"/>
      <c r="AZ121" s="293"/>
      <c r="BA121" s="293"/>
      <c r="BB121" s="293"/>
      <c r="BC121" s="293"/>
      <c r="BD121" s="293"/>
      <c r="BE121" s="293"/>
      <c r="BF121" s="293"/>
      <c r="BG121" s="293"/>
      <c r="BH121" s="293"/>
      <c r="BI121" s="293"/>
      <c r="BJ121" s="293"/>
      <c r="BK121" s="293"/>
      <c r="BL121" s="293"/>
      <c r="BM121" s="293"/>
      <c r="BN121" s="293"/>
      <c r="BO121" s="293"/>
      <c r="BP121" s="293"/>
      <c r="BQ121" s="293"/>
      <c r="BR121" s="293"/>
      <c r="BS121" s="293"/>
      <c r="BT121" s="293"/>
      <c r="BU121" s="293"/>
      <c r="BV121" s="293"/>
      <c r="BW121" s="293"/>
      <c r="BX121" s="293"/>
      <c r="BY121" s="293"/>
      <c r="BZ121" s="293"/>
    </row>
    <row r="122" spans="1:78" s="295" customFormat="1" ht="7.5" customHeight="1" x14ac:dyDescent="0.2">
      <c r="A122" s="458"/>
      <c r="B122" s="451"/>
      <c r="C122" s="452"/>
      <c r="D122" s="453"/>
      <c r="E122" s="454"/>
      <c r="F122" s="454"/>
      <c r="G122" s="446"/>
      <c r="H122" s="456"/>
      <c r="I122" s="446"/>
      <c r="J122" s="446"/>
      <c r="K122" s="457"/>
      <c r="L122" s="447"/>
      <c r="M122" s="445"/>
      <c r="N122" s="455"/>
      <c r="O122" s="285">
        <f ca="1">IF(NOT(ISERROR(MATCH(N122,_xlfn.ANCHORARRAY(#REF!),0))),#REF!&amp;"Por favor no seleccionar los criterios de impacto",N122)</f>
        <v>0</v>
      </c>
      <c r="P122" s="447"/>
      <c r="Q122" s="445"/>
      <c r="R122" s="459"/>
      <c r="S122" s="248">
        <v>4</v>
      </c>
      <c r="T122" s="330"/>
      <c r="U122" s="245"/>
      <c r="V122" s="322" t="str">
        <f t="shared" ref="V122:V124" si="223">IF(OR(W122="Preventivo",W122="Detectivo"),"Probabilidad",IF(W122="Correctivo","Impacto",""))</f>
        <v/>
      </c>
      <c r="W122" s="323"/>
      <c r="X122" s="323"/>
      <c r="Y122" s="324" t="str">
        <f t="shared" ref="Y122:Y124" si="224">IF(AND(W122="Preventivo",X122="Automático"),"50%",IF(AND(W122="Preventivo",X122="Manual"),"40%",IF(AND(W122="Detectivo",X122="Automático"),"40%",IF(AND(W122="Detectivo",X122="Manual"),"30%",IF(AND(W122="Correctivo",X122="Automático"),"35%",IF(AND(W122="Correctivo",X122="Manual"),"25%",""))))))</f>
        <v/>
      </c>
      <c r="Z122" s="323"/>
      <c r="AA122" s="323"/>
      <c r="AB122" s="323"/>
      <c r="AC122" s="325" t="str">
        <f t="shared" si="220"/>
        <v/>
      </c>
      <c r="AD122" s="326" t="str">
        <f t="shared" si="217"/>
        <v/>
      </c>
      <c r="AE122" s="324" t="str">
        <f t="shared" si="221"/>
        <v/>
      </c>
      <c r="AF122" s="326" t="str">
        <f t="shared" si="218"/>
        <v/>
      </c>
      <c r="AG122" s="324" t="str">
        <f t="shared" si="222"/>
        <v/>
      </c>
      <c r="AH122" s="328" t="str">
        <f>IFERROR(IF(OR(AND(AD122="Muy Baja",AF122="Leve"),AND(AD122="Muy Baja",AF122="Menor"),AND(AD122="Baja",AF122="Leve")),"Bajo",IF(OR(AND(AD122="Muy baja",AF122="Moderado"),AND(AD122="Baja",AF122="Menor"),AND(AD122="Baja",AF122="Moderado"),AND(AD122="Media",AF122="Leve"),AND(AD122="Media",AF122="Menor"),AND(AD122="Media",AF122="Moderado"),AND(AD122="Alta",AF122="Leve"),AND(AD122="Alta",AF122="Menor")),"Moderado",IF(OR(AND(AD122="Muy Baja",AF122="Mayor"),AND(AD122="Baja",AF122="Mayor"),AND(AD122="Media",AF122="Mayor"),AND(AD122="Alta",AF122="Moderado"),AND(AD122="Alta",AF122="Mayor"),AND(AD122="Muy Alta",AF122="Leve"),AND(AD122="Muy Alta",AF122="Menor"),AND(AD122="Muy Alta",AF122="Moderado"),AND(AD122="Muy Alta",AF122="Mayor")),"Alto",IF(OR(AND(AD122="Muy Baja",AF122="Catastrófico"),AND(AD122="Baja",AF122="Catastrófico"),AND(AD122="Media",AF122="Catastrófico"),AND(AD122="Alta",AF122="Catastrófico"),AND(AD122="Muy Alta",AF122="Catastrófico")),"Extremo","")))),"")</f>
        <v/>
      </c>
      <c r="AI122" s="323"/>
      <c r="AJ122" s="249"/>
      <c r="AK122" s="249"/>
      <c r="AL122" s="249"/>
      <c r="AM122" s="249"/>
      <c r="AN122" s="278"/>
      <c r="AO122" s="209"/>
      <c r="AP122" s="209"/>
      <c r="AQ122" s="244"/>
      <c r="AR122" s="263"/>
      <c r="AS122" s="209"/>
      <c r="AT122" s="293"/>
      <c r="AU122" s="293"/>
      <c r="AV122" s="293"/>
      <c r="AW122" s="293"/>
      <c r="AX122" s="293"/>
      <c r="AY122" s="293"/>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row>
    <row r="123" spans="1:78" s="295" customFormat="1" ht="7.5" customHeight="1" x14ac:dyDescent="0.2">
      <c r="A123" s="458"/>
      <c r="B123" s="451"/>
      <c r="C123" s="452"/>
      <c r="D123" s="453"/>
      <c r="E123" s="454"/>
      <c r="F123" s="454"/>
      <c r="G123" s="446"/>
      <c r="H123" s="456"/>
      <c r="I123" s="446"/>
      <c r="J123" s="446"/>
      <c r="K123" s="457"/>
      <c r="L123" s="447"/>
      <c r="M123" s="445"/>
      <c r="N123" s="455"/>
      <c r="O123" s="285">
        <f ca="1">IF(NOT(ISERROR(MATCH(N123,_xlfn.ANCHORARRAY(#REF!),0))),#REF!&amp;"Por favor no seleccionar los criterios de impacto",N123)</f>
        <v>0</v>
      </c>
      <c r="P123" s="447"/>
      <c r="Q123" s="445"/>
      <c r="R123" s="459"/>
      <c r="S123" s="248">
        <v>5</v>
      </c>
      <c r="T123" s="330"/>
      <c r="U123" s="245"/>
      <c r="V123" s="322" t="str">
        <f t="shared" si="223"/>
        <v/>
      </c>
      <c r="W123" s="323"/>
      <c r="X123" s="323"/>
      <c r="Y123" s="324" t="str">
        <f t="shared" si="224"/>
        <v/>
      </c>
      <c r="Z123" s="323"/>
      <c r="AA123" s="323"/>
      <c r="AB123" s="323"/>
      <c r="AC123" s="325" t="str">
        <f t="shared" si="220"/>
        <v/>
      </c>
      <c r="AD123" s="326" t="str">
        <f t="shared" si="217"/>
        <v/>
      </c>
      <c r="AE123" s="324" t="str">
        <f t="shared" si="221"/>
        <v/>
      </c>
      <c r="AF123" s="326" t="str">
        <f t="shared" si="218"/>
        <v/>
      </c>
      <c r="AG123" s="324" t="str">
        <f t="shared" si="222"/>
        <v/>
      </c>
      <c r="AH123" s="328" t="str">
        <f t="shared" ref="AH123:AH124" si="225">IFERROR(IF(OR(AND(AD123="Muy Baja",AF123="Leve"),AND(AD123="Muy Baja",AF123="Menor"),AND(AD123="Baja",AF123="Leve")),"Bajo",IF(OR(AND(AD123="Muy baja",AF123="Moderado"),AND(AD123="Baja",AF123="Menor"),AND(AD123="Baja",AF123="Moderado"),AND(AD123="Media",AF123="Leve"),AND(AD123="Media",AF123="Menor"),AND(AD123="Media",AF123="Moderado"),AND(AD123="Alta",AF123="Leve"),AND(AD123="Alta",AF123="Menor")),"Moderado",IF(OR(AND(AD123="Muy Baja",AF123="Mayor"),AND(AD123="Baja",AF123="Mayor"),AND(AD123="Media",AF123="Mayor"),AND(AD123="Alta",AF123="Moderado"),AND(AD123="Alta",AF123="Mayor"),AND(AD123="Muy Alta",AF123="Leve"),AND(AD123="Muy Alta",AF123="Menor"),AND(AD123="Muy Alta",AF123="Moderado"),AND(AD123="Muy Alta",AF123="Mayor")),"Alto",IF(OR(AND(AD123="Muy Baja",AF123="Catastrófico"),AND(AD123="Baja",AF123="Catastrófico"),AND(AD123="Media",AF123="Catastrófico"),AND(AD123="Alta",AF123="Catastrófico"),AND(AD123="Muy Alta",AF123="Catastrófico")),"Extremo","")))),"")</f>
        <v/>
      </c>
      <c r="AI123" s="323"/>
      <c r="AJ123" s="249"/>
      <c r="AK123" s="249"/>
      <c r="AL123" s="249"/>
      <c r="AM123" s="249"/>
      <c r="AN123" s="278"/>
      <c r="AO123" s="276"/>
      <c r="AP123" s="276"/>
      <c r="AQ123" s="278"/>
      <c r="AR123" s="211"/>
      <c r="AS123" s="211"/>
      <c r="AT123" s="293"/>
      <c r="AU123" s="293"/>
      <c r="AV123" s="293"/>
      <c r="AW123" s="293"/>
      <c r="AX123" s="293"/>
      <c r="AY123" s="293"/>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3"/>
      <c r="BW123" s="293"/>
      <c r="BX123" s="293"/>
      <c r="BY123" s="293"/>
      <c r="BZ123" s="293"/>
    </row>
    <row r="124" spans="1:78" s="295" customFormat="1" ht="7.5" customHeight="1" x14ac:dyDescent="0.2">
      <c r="A124" s="458"/>
      <c r="B124" s="451"/>
      <c r="C124" s="452"/>
      <c r="D124" s="453"/>
      <c r="E124" s="454"/>
      <c r="F124" s="454"/>
      <c r="G124" s="446"/>
      <c r="H124" s="456"/>
      <c r="I124" s="446"/>
      <c r="J124" s="446"/>
      <c r="K124" s="457"/>
      <c r="L124" s="447"/>
      <c r="M124" s="445"/>
      <c r="N124" s="455"/>
      <c r="O124" s="285">
        <f ca="1">IF(NOT(ISERROR(MATCH(N124,_xlfn.ANCHORARRAY(#REF!),0))),M49&amp;"Por favor no seleccionar los criterios de impacto",N124)</f>
        <v>0</v>
      </c>
      <c r="P124" s="447"/>
      <c r="Q124" s="445"/>
      <c r="R124" s="459"/>
      <c r="S124" s="248">
        <v>6</v>
      </c>
      <c r="T124" s="330"/>
      <c r="U124" s="245"/>
      <c r="V124" s="322" t="str">
        <f t="shared" si="223"/>
        <v/>
      </c>
      <c r="W124" s="323"/>
      <c r="X124" s="323"/>
      <c r="Y124" s="324" t="str">
        <f t="shared" si="224"/>
        <v/>
      </c>
      <c r="Z124" s="323"/>
      <c r="AA124" s="323"/>
      <c r="AB124" s="323"/>
      <c r="AC124" s="325" t="str">
        <f t="shared" si="220"/>
        <v/>
      </c>
      <c r="AD124" s="326" t="str">
        <f t="shared" si="217"/>
        <v/>
      </c>
      <c r="AE124" s="324" t="str">
        <f t="shared" si="221"/>
        <v/>
      </c>
      <c r="AF124" s="326" t="str">
        <f t="shared" si="218"/>
        <v/>
      </c>
      <c r="AG124" s="324" t="str">
        <f t="shared" si="222"/>
        <v/>
      </c>
      <c r="AH124" s="328" t="str">
        <f t="shared" si="225"/>
        <v/>
      </c>
      <c r="AI124" s="323"/>
      <c r="AJ124" s="249"/>
      <c r="AK124" s="249"/>
      <c r="AL124" s="249"/>
      <c r="AM124" s="249"/>
      <c r="AN124" s="278"/>
      <c r="AO124" s="276"/>
      <c r="AP124" s="276"/>
      <c r="AQ124" s="278"/>
      <c r="AR124" s="211"/>
      <c r="AS124" s="211"/>
      <c r="AT124" s="293"/>
      <c r="AU124" s="293"/>
      <c r="AV124" s="293"/>
      <c r="AW124" s="293"/>
      <c r="AX124" s="293"/>
      <c r="AY124" s="293"/>
      <c r="AZ124" s="293"/>
      <c r="BA124" s="293"/>
      <c r="BB124" s="293"/>
      <c r="BC124" s="293"/>
      <c r="BD124" s="293"/>
      <c r="BE124" s="293"/>
      <c r="BF124" s="293"/>
      <c r="BG124" s="293"/>
      <c r="BH124" s="293"/>
      <c r="BI124" s="293"/>
      <c r="BJ124" s="293"/>
      <c r="BK124" s="293"/>
      <c r="BL124" s="293"/>
      <c r="BM124" s="293"/>
      <c r="BN124" s="293"/>
      <c r="BO124" s="293"/>
      <c r="BP124" s="293"/>
      <c r="BQ124" s="293"/>
      <c r="BR124" s="293"/>
      <c r="BS124" s="293"/>
      <c r="BT124" s="293"/>
      <c r="BU124" s="293"/>
      <c r="BV124" s="293"/>
      <c r="BW124" s="293"/>
      <c r="BX124" s="293"/>
      <c r="BY124" s="293"/>
      <c r="BZ124" s="293"/>
    </row>
    <row r="125" spans="1:78" s="294" customFormat="1" ht="111" customHeight="1" x14ac:dyDescent="0.2">
      <c r="A125" s="458" t="s">
        <v>720</v>
      </c>
      <c r="B125" s="451" t="s">
        <v>830</v>
      </c>
      <c r="C125" s="452" t="s">
        <v>602</v>
      </c>
      <c r="D125" s="453" t="s">
        <v>621</v>
      </c>
      <c r="E125" s="454" t="s">
        <v>109</v>
      </c>
      <c r="F125" s="454" t="s">
        <v>1004</v>
      </c>
      <c r="G125" s="446" t="s">
        <v>837</v>
      </c>
      <c r="H125" s="456" t="s">
        <v>991</v>
      </c>
      <c r="I125" s="446" t="s">
        <v>654</v>
      </c>
      <c r="J125" s="446" t="s">
        <v>1042</v>
      </c>
      <c r="K125" s="457">
        <v>10</v>
      </c>
      <c r="L125" s="447" t="str">
        <f t="shared" ref="L125" si="226">IF(K125&lt;=0,"",IF(K125&lt;=2,"Muy Baja",IF(K125&lt;=24,"Baja",IF(K125&lt;=500,"Media",IF(K125&lt;=5000,"Alta","Muy Alta")))))</f>
        <v>Baja</v>
      </c>
      <c r="M125" s="445">
        <f>IF(L125="","",IF(L125="Muy Baja",0.2,IF(L125="Baja",0.4,IF(L125="Media",0.6,IF(L125="Alta",0.8,IF(L125="Muy Alta",1,))))))</f>
        <v>0.4</v>
      </c>
      <c r="N125" s="455" t="s">
        <v>117</v>
      </c>
      <c r="O125" s="285" t="str">
        <f ca="1">IF(NOT(ISERROR(MATCH(N125,'Tabla Impacto'!$B$221:$B$223,0))),'Tabla Impacto'!$F$223&amp;"Por favor no seleccionar los criterios de impacto(Afectación Económica o presupuestal y Pérdida Reputacional)",N125)</f>
        <v xml:space="preserve">     Entre 100 y 500 SMLMV </v>
      </c>
      <c r="P125" s="447" t="str">
        <f ca="1">IF(OR(O125='Tabla Impacto'!$C$11,O125='Tabla Impacto'!$D$11),"Leve",IF(OR(O125='Tabla Impacto'!$C$12,O125='Tabla Impacto'!$D$12),"Menor",IF(OR(O125='Tabla Impacto'!$C$13,O125='Tabla Impacto'!$D$13),"Moderado",IF(OR(O125='Tabla Impacto'!$C$14,O125='Tabla Impacto'!$D$14),"Mayor",IF(OR(O125='Tabla Impacto'!$C$15,O125='Tabla Impacto'!$D$15),"Catastrófico","")))))</f>
        <v>Mayor</v>
      </c>
      <c r="Q125" s="445">
        <f ca="1">IF(P125="","",IF(P125="Leve",0.2,IF(P125="Menor",0.4,IF(P125="Moderado",0.6,IF(P125="Mayor",0.8,IF(P125="Catastrófico",1,))))))</f>
        <v>0.8</v>
      </c>
      <c r="R125" s="459" t="str">
        <f ca="1">IF(OR(AND(L125="Muy Baja",P125="Leve"),AND(L125="Muy Baja",P125="Menor"),AND(L125="Baja",P125="Leve")),"Bajo",IF(OR(AND(L125="Muy baja",P125="Moderado"),AND(L125="Baja",P125="Menor"),AND(L125="Baja",P125="Moderado"),AND(L125="Media",P125="Leve"),AND(L125="Media",P125="Menor"),AND(L125="Media",P125="Moderado"),AND(L125="Alta",P125="Leve"),AND(L125="Alta",P125="Menor")),"Moderado",IF(OR(AND(L125="Muy Baja",P125="Mayor"),AND(L125="Baja",P125="Mayor"),AND(L125="Media",P125="Mayor"),AND(L125="Alta",P125="Moderado"),AND(L125="Alta",P125="Mayor"),AND(L125="Muy Alta",P125="Leve"),AND(L125="Muy Alta",P125="Menor"),AND(L125="Muy Alta",P125="Moderado"),AND(L125="Muy Alta",P125="Mayor")),"Alto",IF(OR(AND(L125="Muy Baja",P125="Catastrófico"),AND(L125="Baja",P125="Catastrófico"),AND(L125="Media",P125="Catastrófico"),AND(L125="Alta",P125="Catastrófico"),AND(L125="Muy Alta",P125="Catastrófico")),"Extremo",""))))</f>
        <v>Alto</v>
      </c>
      <c r="S125" s="248">
        <v>1</v>
      </c>
      <c r="T125" s="321" t="s">
        <v>838</v>
      </c>
      <c r="U125" s="245" t="s">
        <v>293</v>
      </c>
      <c r="V125" s="322" t="str">
        <f>IF(OR(W125="Preventivo",W125="Detectivo"),"Probabilidad",IF(W125="Correctivo","Impacto",""))</f>
        <v>Probabilidad</v>
      </c>
      <c r="W125" s="323" t="s">
        <v>13</v>
      </c>
      <c r="X125" s="323" t="s">
        <v>8</v>
      </c>
      <c r="Y125" s="324" t="str">
        <f>IF(AND(W125="Preventivo",X125="Automático"),"50%",IF(AND(W125="Preventivo",X125="Manual"),"40%",IF(AND(W125="Detectivo",X125="Automático"),"40%",IF(AND(W125="Detectivo",X125="Manual"),"30%",IF(AND(W125="Correctivo",X125="Automático"),"35%",IF(AND(W125="Correctivo",X125="Manual"),"25%",""))))))</f>
        <v>40%</v>
      </c>
      <c r="Z125" s="323" t="s">
        <v>18</v>
      </c>
      <c r="AA125" s="323" t="s">
        <v>21</v>
      </c>
      <c r="AB125" s="323" t="s">
        <v>103</v>
      </c>
      <c r="AC125" s="325">
        <f t="shared" ref="AC125" si="227">IFERROR(IF(V125="Probabilidad",(M125-(+M125*Y125)),IF(V125="Impacto",M125,"")),"")</f>
        <v>0.24</v>
      </c>
      <c r="AD125" s="326" t="str">
        <f>IFERROR(IF(AC125="","",IF(AC125&lt;=0.2,"Muy Baja",IF(AC125&lt;=0.4,"Baja",IF(AC125&lt;=0.6,"Media",IF(AC125&lt;=0.8,"Alta","Muy Alta"))))),"")</f>
        <v>Baja</v>
      </c>
      <c r="AE125" s="324">
        <f>+AC125</f>
        <v>0.24</v>
      </c>
      <c r="AF125" s="326" t="str">
        <f ca="1">IFERROR(IF(AG125="","",IF(AG125&lt;=0.2,"Leve",IF(AG125&lt;=0.4,"Menor",IF(AG125&lt;=0.6,"Moderado",IF(AG125&lt;=0.8,"Mayor","Catastrófico"))))),"")</f>
        <v>Mayor</v>
      </c>
      <c r="AG125" s="324">
        <f ca="1">IFERROR(IF(V125="Impacto",(Q125-(+Q125*Y125)),IF(V125="Probabilidad",Q125,"")),"")</f>
        <v>0.8</v>
      </c>
      <c r="AH125" s="328" t="str">
        <f ca="1">IFERROR(IF(OR(AND(AD125="Muy Baja",AF125="Leve"),AND(AD125="Muy Baja",AF125="Menor"),AND(AD125="Baja",AF125="Leve")),"Bajo",IF(OR(AND(AD125="Muy baja",AF125="Moderado"),AND(AD125="Baja",AF125="Menor"),AND(AD125="Baja",AF125="Moderado"),AND(AD125="Media",AF125="Leve"),AND(AD125="Media",AF125="Menor"),AND(AD125="Media",AF125="Moderado"),AND(AD125="Alta",AF125="Leve"),AND(AD125="Alta",AF125="Menor")),"Moderado",IF(OR(AND(AD125="Muy Baja",AF125="Mayor"),AND(AD125="Baja",AF125="Mayor"),AND(AD125="Media",AF125="Mayor"),AND(AD125="Alta",AF125="Moderado"),AND(AD125="Alta",AF125="Mayor"),AND(AD125="Muy Alta",AF125="Leve"),AND(AD125="Muy Alta",AF125="Menor"),AND(AD125="Muy Alta",AF125="Moderado"),AND(AD125="Muy Alta",AF125="Mayor")),"Alto",IF(OR(AND(AD125="Muy Baja",AF125="Catastrófico"),AND(AD125="Baja",AF125="Catastrófico"),AND(AD125="Media",AF125="Catastrófico"),AND(AD125="Alta",AF125="Catastrófico"),AND(AD125="Muy Alta",AF125="Catastrófico")),"Extremo","")))),"")</f>
        <v>Alto</v>
      </c>
      <c r="AI125" s="323" t="s">
        <v>26</v>
      </c>
      <c r="AJ125" s="249">
        <v>0</v>
      </c>
      <c r="AK125" s="249">
        <v>0</v>
      </c>
      <c r="AL125" s="249">
        <v>0</v>
      </c>
      <c r="AM125" s="249">
        <v>0</v>
      </c>
      <c r="AN125" s="240"/>
      <c r="AO125" s="259"/>
      <c r="AP125" s="259"/>
      <c r="AQ125" s="239"/>
      <c r="AR125" s="264"/>
      <c r="AS125" s="265"/>
      <c r="AT125" s="293"/>
      <c r="AU125" s="293"/>
      <c r="AV125" s="293"/>
      <c r="AW125" s="293"/>
      <c r="AX125" s="293"/>
      <c r="AY125" s="293"/>
      <c r="AZ125" s="293"/>
      <c r="BA125" s="293"/>
      <c r="BB125" s="293"/>
      <c r="BC125" s="293"/>
      <c r="BD125" s="293"/>
      <c r="BE125" s="293"/>
      <c r="BF125" s="293"/>
      <c r="BG125" s="293"/>
      <c r="BH125" s="293"/>
      <c r="BI125" s="293"/>
      <c r="BJ125" s="293"/>
      <c r="BK125" s="293"/>
      <c r="BL125" s="293"/>
      <c r="BM125" s="293"/>
      <c r="BN125" s="293"/>
      <c r="BO125" s="293"/>
      <c r="BP125" s="293"/>
      <c r="BQ125" s="293"/>
      <c r="BR125" s="293"/>
      <c r="BS125" s="293"/>
      <c r="BT125" s="293"/>
      <c r="BU125" s="293"/>
      <c r="BV125" s="293"/>
      <c r="BW125" s="293"/>
      <c r="BX125" s="293"/>
      <c r="BY125" s="293"/>
      <c r="BZ125" s="293"/>
    </row>
    <row r="126" spans="1:78" s="295" customFormat="1" ht="95.25" customHeight="1" x14ac:dyDescent="0.2">
      <c r="A126" s="458"/>
      <c r="B126" s="451"/>
      <c r="C126" s="452"/>
      <c r="D126" s="453"/>
      <c r="E126" s="454"/>
      <c r="F126" s="454"/>
      <c r="G126" s="446"/>
      <c r="H126" s="456"/>
      <c r="I126" s="446"/>
      <c r="J126" s="446"/>
      <c r="K126" s="457"/>
      <c r="L126" s="447"/>
      <c r="M126" s="445"/>
      <c r="N126" s="455"/>
      <c r="O126" s="285">
        <f ca="1">IF(NOT(ISERROR(MATCH(N126,_xlfn.ANCHORARRAY(H37),0))),M39&amp;"Por favor no seleccionar los criterios de impacto",N126)</f>
        <v>0</v>
      </c>
      <c r="P126" s="447"/>
      <c r="Q126" s="445"/>
      <c r="R126" s="459"/>
      <c r="S126" s="248">
        <v>2</v>
      </c>
      <c r="T126" s="321" t="s">
        <v>1043</v>
      </c>
      <c r="U126" s="245" t="s">
        <v>293</v>
      </c>
      <c r="V126" s="322" t="str">
        <f>IF(OR(W126="Preventivo",W126="Detectivo"),"Probabilidad",IF(W126="Correctivo","Impacto",""))</f>
        <v>Impacto</v>
      </c>
      <c r="W126" s="323" t="s">
        <v>15</v>
      </c>
      <c r="X126" s="323" t="s">
        <v>8</v>
      </c>
      <c r="Y126" s="324" t="str">
        <f>IF(AND(W126="Preventivo",X126="Automático"),"50%",IF(AND(W126="Preventivo",X126="Manual"),"40%",IF(AND(W126="Detectivo",X126="Automático"),"40%",IF(AND(W126="Detectivo",X126="Manual"),"30%",IF(AND(W126="Correctivo",X126="Automático"),"35%",IF(AND(W126="Correctivo",X126="Manual"),"25%",""))))))</f>
        <v>25%</v>
      </c>
      <c r="Z126" s="323" t="s">
        <v>18</v>
      </c>
      <c r="AA126" s="323" t="s">
        <v>21</v>
      </c>
      <c r="AB126" s="323" t="s">
        <v>103</v>
      </c>
      <c r="AC126" s="325">
        <f t="shared" ref="AC126" si="228">IFERROR(IF(AND(V125="Probabilidad",V126="Probabilidad"),(AE125-(+AE125*Y126)),IF(V126="Probabilidad",(M125-(+M125*Y126)),IF(V126="Impacto",AE125,""))),"")</f>
        <v>0.24</v>
      </c>
      <c r="AD126" s="326" t="str">
        <f t="shared" ref="AD126:AD130" si="229">IFERROR(IF(AC126="","",IF(AC126&lt;=0.2,"Muy Baja",IF(AC126&lt;=0.4,"Baja",IF(AC126&lt;=0.6,"Media",IF(AC126&lt;=0.8,"Alta","Muy Alta"))))),"")</f>
        <v>Baja</v>
      </c>
      <c r="AE126" s="324">
        <f>+AC126</f>
        <v>0.24</v>
      </c>
      <c r="AF126" s="326" t="str">
        <f t="shared" ref="AF126:AF130" ca="1" si="230">IFERROR(IF(AG126="","",IF(AG126&lt;=0.2,"Leve",IF(AG126&lt;=0.4,"Menor",IF(AG126&lt;=0.6,"Moderado",IF(AG126&lt;=0.8,"Mayor","Catastrófico"))))),"")</f>
        <v>Moderado</v>
      </c>
      <c r="AG126" s="324">
        <f ca="1">IFERROR(IF(AND(V125="Impacto",V126="Impacto"),(AG125-(+AG125*Y126)),IF(V126="Impacto",($Q$125-(+$Q$125*Y126)),IF(V126="Probabilidad",AG125,""))),"")</f>
        <v>0.60000000000000009</v>
      </c>
      <c r="AH126" s="328" t="str">
        <f t="shared" ref="AH126:AH127" ca="1" si="231">IFERROR(IF(OR(AND(AD126="Muy Baja",AF126="Leve"),AND(AD126="Muy Baja",AF126="Menor"),AND(AD126="Baja",AF126="Leve")),"Bajo",IF(OR(AND(AD126="Muy baja",AF126="Moderado"),AND(AD126="Baja",AF126="Menor"),AND(AD126="Baja",AF126="Moderado"),AND(AD126="Media",AF126="Leve"),AND(AD126="Media",AF126="Menor"),AND(AD126="Media",AF126="Moderado"),AND(AD126="Alta",AF126="Leve"),AND(AD126="Alta",AF126="Menor")),"Moderado",IF(OR(AND(AD126="Muy Baja",AF126="Mayor"),AND(AD126="Baja",AF126="Mayor"),AND(AD126="Media",AF126="Mayor"),AND(AD126="Alta",AF126="Moderado"),AND(AD126="Alta",AF126="Mayor"),AND(AD126="Muy Alta",AF126="Leve"),AND(AD126="Muy Alta",AF126="Menor"),AND(AD126="Muy Alta",AF126="Moderado"),AND(AD126="Muy Alta",AF126="Mayor")),"Alto",IF(OR(AND(AD126="Muy Baja",AF126="Catastrófico"),AND(AD126="Baja",AF126="Catastrófico"),AND(AD126="Media",AF126="Catastrófico"),AND(AD126="Alta",AF126="Catastrófico"),AND(AD126="Muy Alta",AF126="Catastrófico")),"Extremo","")))),"")</f>
        <v>Moderado</v>
      </c>
      <c r="AI126" s="323" t="s">
        <v>26</v>
      </c>
      <c r="AJ126" s="249">
        <v>0</v>
      </c>
      <c r="AK126" s="249">
        <v>0</v>
      </c>
      <c r="AL126" s="249">
        <v>0</v>
      </c>
      <c r="AM126" s="249">
        <v>0</v>
      </c>
      <c r="AN126" s="278"/>
      <c r="AO126" s="277"/>
      <c r="AP126" s="277"/>
      <c r="AQ126" s="276"/>
      <c r="AR126" s="263"/>
      <c r="AS126" s="277"/>
      <c r="AT126" s="293"/>
      <c r="AU126" s="293"/>
      <c r="AV126" s="293"/>
      <c r="AW126" s="293"/>
      <c r="AX126" s="293"/>
      <c r="AY126" s="293"/>
      <c r="AZ126" s="293"/>
      <c r="BA126" s="293"/>
      <c r="BB126" s="293"/>
      <c r="BC126" s="293"/>
      <c r="BD126" s="293"/>
      <c r="BE126" s="293"/>
      <c r="BF126" s="293"/>
      <c r="BG126" s="293"/>
      <c r="BH126" s="293"/>
      <c r="BI126" s="293"/>
      <c r="BJ126" s="293"/>
      <c r="BK126" s="293"/>
      <c r="BL126" s="293"/>
      <c r="BM126" s="293"/>
      <c r="BN126" s="293"/>
      <c r="BO126" s="293"/>
      <c r="BP126" s="293"/>
      <c r="BQ126" s="293"/>
      <c r="BR126" s="293"/>
      <c r="BS126" s="293"/>
      <c r="BT126" s="293"/>
      <c r="BU126" s="293"/>
      <c r="BV126" s="293"/>
      <c r="BW126" s="293"/>
      <c r="BX126" s="293"/>
      <c r="BY126" s="293"/>
      <c r="BZ126" s="293"/>
    </row>
    <row r="127" spans="1:78" s="295" customFormat="1" ht="4.5" customHeight="1" x14ac:dyDescent="0.2">
      <c r="A127" s="458"/>
      <c r="B127" s="451"/>
      <c r="C127" s="452"/>
      <c r="D127" s="453"/>
      <c r="E127" s="454"/>
      <c r="F127" s="454"/>
      <c r="G127" s="446"/>
      <c r="H127" s="456"/>
      <c r="I127" s="446"/>
      <c r="J127" s="446"/>
      <c r="K127" s="457"/>
      <c r="L127" s="447"/>
      <c r="M127" s="445"/>
      <c r="N127" s="455"/>
      <c r="O127" s="285">
        <f ca="1">IF(NOT(ISERROR(MATCH(N127,_xlfn.ANCHORARRAY(H38),0))),M40&amp;"Por favor no seleccionar los criterios de impacto",N127)</f>
        <v>0</v>
      </c>
      <c r="P127" s="447"/>
      <c r="Q127" s="445"/>
      <c r="R127" s="459"/>
      <c r="S127" s="248">
        <v>3</v>
      </c>
      <c r="T127" s="330"/>
      <c r="U127" s="245"/>
      <c r="V127" s="322" t="str">
        <f>IF(OR(W127="Preventivo",W127="Detectivo"),"Probabilidad",IF(W127="Correctivo","Impacto",""))</f>
        <v/>
      </c>
      <c r="W127" s="323"/>
      <c r="X127" s="323"/>
      <c r="Y127" s="324" t="str">
        <f>IF(AND(W127="Preventivo",X127="Automático"),"50%",IF(AND(W127="Preventivo",X127="Manual"),"40%",IF(AND(W127="Detectivo",X127="Automático"),"40%",IF(AND(W127="Detectivo",X127="Manual"),"30%",IF(AND(W127="Correctivo",X127="Automático"),"35%",IF(AND(W127="Correctivo",X127="Manual"),"25%",""))))))</f>
        <v/>
      </c>
      <c r="Z127" s="323"/>
      <c r="AA127" s="323"/>
      <c r="AB127" s="323"/>
      <c r="AC127" s="325" t="str">
        <f t="shared" ref="AC127:AC130" si="232">IFERROR(IF(AND(V126="Probabilidad",V127="Probabilidad"),(AE126-(+AE126*Y127)),IF(AND(V126="Impacto",V127="Probabilidad"),(AE125-(+AE125*Y127)),IF(V127="Impacto",AE126,""))),"")</f>
        <v/>
      </c>
      <c r="AD127" s="326" t="str">
        <f t="shared" si="229"/>
        <v/>
      </c>
      <c r="AE127" s="324" t="str">
        <f t="shared" ref="AE127:AE130" si="233">+AC127</f>
        <v/>
      </c>
      <c r="AF127" s="326" t="str">
        <f t="shared" si="230"/>
        <v/>
      </c>
      <c r="AG127" s="324" t="str">
        <f t="shared" ref="AG127:AG130" si="234">IFERROR(IF(AND(V126="Impacto",V127="Impacto"),(AG126-(+AG126*Y127)),IF(V127="Impacto",($Q$125-(+$Q$125*Y127)),IF(V127="Probabilidad",AG126,""))),"")</f>
        <v/>
      </c>
      <c r="AH127" s="328" t="str">
        <f t="shared" si="231"/>
        <v/>
      </c>
      <c r="AI127" s="323"/>
      <c r="AJ127" s="249"/>
      <c r="AK127" s="249"/>
      <c r="AL127" s="249"/>
      <c r="AM127" s="249"/>
      <c r="AN127" s="278"/>
      <c r="AO127" s="277"/>
      <c r="AP127" s="277"/>
      <c r="AQ127" s="276"/>
      <c r="AR127" s="263"/>
      <c r="AS127" s="277"/>
      <c r="AT127" s="293"/>
      <c r="AU127" s="293"/>
      <c r="AV127" s="293"/>
      <c r="AW127" s="293"/>
      <c r="AX127" s="293"/>
      <c r="AY127" s="293"/>
      <c r="AZ127" s="293"/>
      <c r="BA127" s="293"/>
      <c r="BB127" s="293"/>
      <c r="BC127" s="293"/>
      <c r="BD127" s="293"/>
      <c r="BE127" s="293"/>
      <c r="BF127" s="293"/>
      <c r="BG127" s="293"/>
      <c r="BH127" s="293"/>
      <c r="BI127" s="293"/>
      <c r="BJ127" s="293"/>
      <c r="BK127" s="293"/>
      <c r="BL127" s="293"/>
      <c r="BM127" s="293"/>
      <c r="BN127" s="293"/>
      <c r="BO127" s="293"/>
      <c r="BP127" s="293"/>
      <c r="BQ127" s="293"/>
      <c r="BR127" s="293"/>
      <c r="BS127" s="293"/>
      <c r="BT127" s="293"/>
      <c r="BU127" s="293"/>
      <c r="BV127" s="293"/>
      <c r="BW127" s="293"/>
      <c r="BX127" s="293"/>
      <c r="BY127" s="293"/>
      <c r="BZ127" s="293"/>
    </row>
    <row r="128" spans="1:78" s="295" customFormat="1" ht="4.5" customHeight="1" x14ac:dyDescent="0.2">
      <c r="A128" s="458"/>
      <c r="B128" s="451"/>
      <c r="C128" s="452"/>
      <c r="D128" s="453"/>
      <c r="E128" s="454"/>
      <c r="F128" s="454"/>
      <c r="G128" s="446"/>
      <c r="H128" s="456"/>
      <c r="I128" s="446"/>
      <c r="J128" s="446"/>
      <c r="K128" s="457"/>
      <c r="L128" s="447"/>
      <c r="M128" s="445"/>
      <c r="N128" s="455"/>
      <c r="O128" s="285">
        <f ca="1">IF(NOT(ISERROR(MATCH(N128,_xlfn.ANCHORARRAY(H39),0))),M41&amp;"Por favor no seleccionar los criterios de impacto",N128)</f>
        <v>0</v>
      </c>
      <c r="P128" s="447"/>
      <c r="Q128" s="445"/>
      <c r="R128" s="459"/>
      <c r="S128" s="248">
        <v>4</v>
      </c>
      <c r="T128" s="330"/>
      <c r="U128" s="245"/>
      <c r="V128" s="322" t="str">
        <f t="shared" ref="V128:V130" si="235">IF(OR(W128="Preventivo",W128="Detectivo"),"Probabilidad",IF(W128="Correctivo","Impacto",""))</f>
        <v/>
      </c>
      <c r="W128" s="323"/>
      <c r="X128" s="323"/>
      <c r="Y128" s="324" t="str">
        <f t="shared" ref="Y128:Y130" si="236">IF(AND(W128="Preventivo",X128="Automático"),"50%",IF(AND(W128="Preventivo",X128="Manual"),"40%",IF(AND(W128="Detectivo",X128="Automático"),"40%",IF(AND(W128="Detectivo",X128="Manual"),"30%",IF(AND(W128="Correctivo",X128="Automático"),"35%",IF(AND(W128="Correctivo",X128="Manual"),"25%",""))))))</f>
        <v/>
      </c>
      <c r="Z128" s="323"/>
      <c r="AA128" s="323"/>
      <c r="AB128" s="323"/>
      <c r="AC128" s="325" t="str">
        <f t="shared" si="232"/>
        <v/>
      </c>
      <c r="AD128" s="326" t="str">
        <f t="shared" si="229"/>
        <v/>
      </c>
      <c r="AE128" s="324" t="str">
        <f t="shared" si="233"/>
        <v/>
      </c>
      <c r="AF128" s="326" t="str">
        <f t="shared" si="230"/>
        <v/>
      </c>
      <c r="AG128" s="324" t="str">
        <f t="shared" si="234"/>
        <v/>
      </c>
      <c r="AH128" s="328" t="str">
        <f>IFERROR(IF(OR(AND(AD128="Muy Baja",AF128="Leve"),AND(AD128="Muy Baja",AF128="Menor"),AND(AD128="Baja",AF128="Leve")),"Bajo",IF(OR(AND(AD128="Muy baja",AF128="Moderado"),AND(AD128="Baja",AF128="Menor"),AND(AD128="Baja",AF128="Moderado"),AND(AD128="Media",AF128="Leve"),AND(AD128="Media",AF128="Menor"),AND(AD128="Media",AF128="Moderado"),AND(AD128="Alta",AF128="Leve"),AND(AD128="Alta",AF128="Menor")),"Moderado",IF(OR(AND(AD128="Muy Baja",AF128="Mayor"),AND(AD128="Baja",AF128="Mayor"),AND(AD128="Media",AF128="Mayor"),AND(AD128="Alta",AF128="Moderado"),AND(AD128="Alta",AF128="Mayor"),AND(AD128="Muy Alta",AF128="Leve"),AND(AD128="Muy Alta",AF128="Menor"),AND(AD128="Muy Alta",AF128="Moderado"),AND(AD128="Muy Alta",AF128="Mayor")),"Alto",IF(OR(AND(AD128="Muy Baja",AF128="Catastrófico"),AND(AD128="Baja",AF128="Catastrófico"),AND(AD128="Media",AF128="Catastrófico"),AND(AD128="Alta",AF128="Catastrófico"),AND(AD128="Muy Alta",AF128="Catastrófico")),"Extremo","")))),"")</f>
        <v/>
      </c>
      <c r="AI128" s="323"/>
      <c r="AJ128" s="249"/>
      <c r="AK128" s="249"/>
      <c r="AL128" s="249"/>
      <c r="AM128" s="249"/>
      <c r="AN128" s="278"/>
      <c r="AO128" s="209"/>
      <c r="AP128" s="209"/>
      <c r="AQ128" s="244"/>
      <c r="AR128" s="263"/>
      <c r="AS128" s="209"/>
      <c r="AT128" s="293"/>
      <c r="AU128" s="293"/>
      <c r="AV128" s="293"/>
      <c r="AW128" s="293"/>
      <c r="AX128" s="293"/>
      <c r="AY128" s="293"/>
      <c r="AZ128" s="293"/>
      <c r="BA128" s="293"/>
      <c r="BB128" s="293"/>
      <c r="BC128" s="293"/>
      <c r="BD128" s="293"/>
      <c r="BE128" s="293"/>
      <c r="BF128" s="293"/>
      <c r="BG128" s="293"/>
      <c r="BH128" s="293"/>
      <c r="BI128" s="293"/>
      <c r="BJ128" s="293"/>
      <c r="BK128" s="293"/>
      <c r="BL128" s="293"/>
      <c r="BM128" s="293"/>
      <c r="BN128" s="293"/>
      <c r="BO128" s="293"/>
      <c r="BP128" s="293"/>
      <c r="BQ128" s="293"/>
      <c r="BR128" s="293"/>
      <c r="BS128" s="293"/>
      <c r="BT128" s="293"/>
      <c r="BU128" s="293"/>
      <c r="BV128" s="293"/>
      <c r="BW128" s="293"/>
      <c r="BX128" s="293"/>
      <c r="BY128" s="293"/>
      <c r="BZ128" s="293"/>
    </row>
    <row r="129" spans="1:78" s="295" customFormat="1" ht="4.5" customHeight="1" x14ac:dyDescent="0.2">
      <c r="A129" s="458"/>
      <c r="B129" s="451"/>
      <c r="C129" s="452"/>
      <c r="D129" s="453"/>
      <c r="E129" s="454"/>
      <c r="F129" s="454"/>
      <c r="G129" s="446"/>
      <c r="H129" s="456"/>
      <c r="I129" s="446"/>
      <c r="J129" s="446"/>
      <c r="K129" s="457"/>
      <c r="L129" s="447"/>
      <c r="M129" s="445"/>
      <c r="N129" s="455"/>
      <c r="O129" s="285">
        <f ca="1">IF(NOT(ISERROR(MATCH(N129,_xlfn.ANCHORARRAY(H40),0))),M42&amp;"Por favor no seleccionar los criterios de impacto",N129)</f>
        <v>0</v>
      </c>
      <c r="P129" s="447"/>
      <c r="Q129" s="445"/>
      <c r="R129" s="459"/>
      <c r="S129" s="248">
        <v>5</v>
      </c>
      <c r="T129" s="330"/>
      <c r="U129" s="245"/>
      <c r="V129" s="322" t="str">
        <f t="shared" si="235"/>
        <v/>
      </c>
      <c r="W129" s="323"/>
      <c r="X129" s="323"/>
      <c r="Y129" s="324" t="str">
        <f t="shared" si="236"/>
        <v/>
      </c>
      <c r="Z129" s="323"/>
      <c r="AA129" s="323"/>
      <c r="AB129" s="323"/>
      <c r="AC129" s="325" t="str">
        <f t="shared" si="232"/>
        <v/>
      </c>
      <c r="AD129" s="326" t="str">
        <f t="shared" si="229"/>
        <v/>
      </c>
      <c r="AE129" s="324" t="str">
        <f t="shared" si="233"/>
        <v/>
      </c>
      <c r="AF129" s="326" t="str">
        <f t="shared" si="230"/>
        <v/>
      </c>
      <c r="AG129" s="324" t="str">
        <f t="shared" si="234"/>
        <v/>
      </c>
      <c r="AH129" s="328" t="str">
        <f t="shared" ref="AH129:AH130" si="237">IFERROR(IF(OR(AND(AD129="Muy Baja",AF129="Leve"),AND(AD129="Muy Baja",AF129="Menor"),AND(AD129="Baja",AF129="Leve")),"Bajo",IF(OR(AND(AD129="Muy baja",AF129="Moderado"),AND(AD129="Baja",AF129="Menor"),AND(AD129="Baja",AF129="Moderado"),AND(AD129="Media",AF129="Leve"),AND(AD129="Media",AF129="Menor"),AND(AD129="Media",AF129="Moderado"),AND(AD129="Alta",AF129="Leve"),AND(AD129="Alta",AF129="Menor")),"Moderado",IF(OR(AND(AD129="Muy Baja",AF129="Mayor"),AND(AD129="Baja",AF129="Mayor"),AND(AD129="Media",AF129="Mayor"),AND(AD129="Alta",AF129="Moderado"),AND(AD129="Alta",AF129="Mayor"),AND(AD129="Muy Alta",AF129="Leve"),AND(AD129="Muy Alta",AF129="Menor"),AND(AD129="Muy Alta",AF129="Moderado"),AND(AD129="Muy Alta",AF129="Mayor")),"Alto",IF(OR(AND(AD129="Muy Baja",AF129="Catastrófico"),AND(AD129="Baja",AF129="Catastrófico"),AND(AD129="Media",AF129="Catastrófico"),AND(AD129="Alta",AF129="Catastrófico"),AND(AD129="Muy Alta",AF129="Catastrófico")),"Extremo","")))),"")</f>
        <v/>
      </c>
      <c r="AI129" s="323"/>
      <c r="AJ129" s="249"/>
      <c r="AK129" s="249"/>
      <c r="AL129" s="249"/>
      <c r="AM129" s="249"/>
      <c r="AN129" s="278"/>
      <c r="AO129" s="276"/>
      <c r="AP129" s="276"/>
      <c r="AQ129" s="278"/>
      <c r="AR129" s="211"/>
      <c r="AS129" s="211"/>
      <c r="AT129" s="293"/>
      <c r="AU129" s="293"/>
      <c r="AV129" s="293"/>
      <c r="AW129" s="293"/>
      <c r="AX129" s="293"/>
      <c r="AY129" s="293"/>
      <c r="AZ129" s="293"/>
      <c r="BA129" s="293"/>
      <c r="BB129" s="293"/>
      <c r="BC129" s="293"/>
      <c r="BD129" s="293"/>
      <c r="BE129" s="293"/>
      <c r="BF129" s="293"/>
      <c r="BG129" s="293"/>
      <c r="BH129" s="293"/>
      <c r="BI129" s="293"/>
      <c r="BJ129" s="293"/>
      <c r="BK129" s="293"/>
      <c r="BL129" s="293"/>
      <c r="BM129" s="293"/>
      <c r="BN129" s="293"/>
      <c r="BO129" s="293"/>
      <c r="BP129" s="293"/>
      <c r="BQ129" s="293"/>
      <c r="BR129" s="293"/>
      <c r="BS129" s="293"/>
      <c r="BT129" s="293"/>
      <c r="BU129" s="293"/>
      <c r="BV129" s="293"/>
      <c r="BW129" s="293"/>
      <c r="BX129" s="293"/>
      <c r="BY129" s="293"/>
      <c r="BZ129" s="293"/>
    </row>
    <row r="130" spans="1:78" s="295" customFormat="1" ht="4.5" customHeight="1" x14ac:dyDescent="0.2">
      <c r="A130" s="458"/>
      <c r="B130" s="451"/>
      <c r="C130" s="452"/>
      <c r="D130" s="453"/>
      <c r="E130" s="454"/>
      <c r="F130" s="454"/>
      <c r="G130" s="446"/>
      <c r="H130" s="456"/>
      <c r="I130" s="446"/>
      <c r="J130" s="446"/>
      <c r="K130" s="457"/>
      <c r="L130" s="447"/>
      <c r="M130" s="445"/>
      <c r="N130" s="455"/>
      <c r="O130" s="285">
        <f ca="1">IF(NOT(ISERROR(MATCH(N130,_xlfn.ANCHORARRAY(H41),0))),#REF!&amp;"Por favor no seleccionar los criterios de impacto",N130)</f>
        <v>0</v>
      </c>
      <c r="P130" s="447"/>
      <c r="Q130" s="445"/>
      <c r="R130" s="459"/>
      <c r="S130" s="248">
        <v>6</v>
      </c>
      <c r="T130" s="330"/>
      <c r="U130" s="245"/>
      <c r="V130" s="322" t="str">
        <f t="shared" si="235"/>
        <v/>
      </c>
      <c r="W130" s="323"/>
      <c r="X130" s="323"/>
      <c r="Y130" s="324" t="str">
        <f t="shared" si="236"/>
        <v/>
      </c>
      <c r="Z130" s="323"/>
      <c r="AA130" s="323"/>
      <c r="AB130" s="323"/>
      <c r="AC130" s="325" t="str">
        <f t="shared" si="232"/>
        <v/>
      </c>
      <c r="AD130" s="326" t="str">
        <f t="shared" si="229"/>
        <v/>
      </c>
      <c r="AE130" s="324" t="str">
        <f t="shared" si="233"/>
        <v/>
      </c>
      <c r="AF130" s="326" t="str">
        <f t="shared" si="230"/>
        <v/>
      </c>
      <c r="AG130" s="324" t="str">
        <f t="shared" si="234"/>
        <v/>
      </c>
      <c r="AH130" s="328" t="str">
        <f t="shared" si="237"/>
        <v/>
      </c>
      <c r="AI130" s="323"/>
      <c r="AJ130" s="249"/>
      <c r="AK130" s="249"/>
      <c r="AL130" s="249"/>
      <c r="AM130" s="249"/>
      <c r="AN130" s="278"/>
      <c r="AO130" s="276"/>
      <c r="AP130" s="276"/>
      <c r="AQ130" s="278"/>
      <c r="AR130" s="211"/>
      <c r="AS130" s="211"/>
      <c r="AT130" s="293"/>
      <c r="AU130" s="293"/>
      <c r="AV130" s="293"/>
      <c r="AW130" s="293"/>
      <c r="AX130" s="293"/>
      <c r="AY130" s="293"/>
      <c r="AZ130" s="293"/>
      <c r="BA130" s="293"/>
      <c r="BB130" s="293"/>
      <c r="BC130" s="293"/>
      <c r="BD130" s="293"/>
      <c r="BE130" s="293"/>
      <c r="BF130" s="293"/>
      <c r="BG130" s="293"/>
      <c r="BH130" s="293"/>
      <c r="BI130" s="293"/>
      <c r="BJ130" s="293"/>
      <c r="BK130" s="293"/>
      <c r="BL130" s="293"/>
      <c r="BM130" s="293"/>
      <c r="BN130" s="293"/>
      <c r="BO130" s="293"/>
      <c r="BP130" s="293"/>
      <c r="BQ130" s="293"/>
      <c r="BR130" s="293"/>
      <c r="BS130" s="293"/>
      <c r="BT130" s="293"/>
      <c r="BU130" s="293"/>
      <c r="BV130" s="293"/>
      <c r="BW130" s="293"/>
      <c r="BX130" s="293"/>
      <c r="BY130" s="293"/>
      <c r="BZ130" s="293"/>
    </row>
    <row r="131" spans="1:78" s="294" customFormat="1" ht="203.25" customHeight="1" x14ac:dyDescent="0.2">
      <c r="A131" s="458" t="s">
        <v>721</v>
      </c>
      <c r="B131" s="451" t="s">
        <v>830</v>
      </c>
      <c r="C131" s="452" t="s">
        <v>604</v>
      </c>
      <c r="D131" s="453" t="s">
        <v>620</v>
      </c>
      <c r="E131" s="454" t="s">
        <v>109</v>
      </c>
      <c r="F131" s="454" t="s">
        <v>849</v>
      </c>
      <c r="G131" s="446" t="s">
        <v>675</v>
      </c>
      <c r="H131" s="446" t="s">
        <v>844</v>
      </c>
      <c r="I131" s="446" t="s">
        <v>654</v>
      </c>
      <c r="J131" s="446" t="s">
        <v>1044</v>
      </c>
      <c r="K131" s="457">
        <v>317000</v>
      </c>
      <c r="L131" s="447" t="str">
        <f t="shared" ref="L131" si="238">IF(K131&lt;=0,"",IF(K131&lt;=2,"Muy Baja",IF(K131&lt;=24,"Baja",IF(K131&lt;=500,"Media",IF(K131&lt;=5000,"Alta","Muy Alta")))))</f>
        <v>Muy Alta</v>
      </c>
      <c r="M131" s="445">
        <f>IF(L131="","",IF(L131="Muy Baja",0.2,IF(L131="Baja",0.4,IF(L131="Media",0.6,IF(L131="Alta",0.8,IF(L131="Muy Alta",1,))))))</f>
        <v>1</v>
      </c>
      <c r="N131" s="455" t="s">
        <v>122</v>
      </c>
      <c r="O131" s="285" t="str">
        <f ca="1">IF(NOT(ISERROR(MATCH(N131,'Tabla Impacto'!$B$221:$B$223,0))),'Tabla Impacto'!$F$223&amp;"Por favor no seleccionar los criterios de impacto(Afectación Económica o presupuestal y Pérdida Reputacional)",N131)</f>
        <v xml:space="preserve">     El riesgo afecta la imagen de de la entidad con efecto publicitario sostenido a nivel de sector administrativo, nivel departamental o municipal</v>
      </c>
      <c r="P131" s="447" t="str">
        <f ca="1">IF(OR(O131='Tabla Impacto'!$C$11,O131='Tabla Impacto'!$D$11),"Leve",IF(OR(O131='Tabla Impacto'!$C$12,O131='Tabla Impacto'!$D$12),"Menor",IF(OR(O131='Tabla Impacto'!$C$13,O131='Tabla Impacto'!$D$13),"Moderado",IF(OR(O131='Tabla Impacto'!$C$14,O131='Tabla Impacto'!$D$14),"Mayor",IF(OR(O131='Tabla Impacto'!$C$15,O131='Tabla Impacto'!$D$15),"Catastrófico","")))))</f>
        <v>Mayor</v>
      </c>
      <c r="Q131" s="445">
        <f ca="1">IF(P131="","",IF(P131="Leve",0.2,IF(P131="Menor",0.4,IF(P131="Moderado",0.6,IF(P131="Mayor",0.8,IF(P131="Catastrófico",1,))))))</f>
        <v>0.8</v>
      </c>
      <c r="R131" s="459" t="str">
        <f ca="1">IF(OR(AND(L131="Muy Baja",P131="Leve"),AND(L131="Muy Baja",P131="Menor"),AND(L131="Baja",P131="Leve")),"Bajo",IF(OR(AND(L131="Muy baja",P131="Moderado"),AND(L131="Baja",P131="Menor"),AND(L131="Baja",P131="Moderado"),AND(L131="Media",P131="Leve"),AND(L131="Media",P131="Menor"),AND(L131="Media",P131="Moderado"),AND(L131="Alta",P131="Leve"),AND(L131="Alta",P131="Menor")),"Moderado",IF(OR(AND(L131="Muy Baja",P131="Mayor"),AND(L131="Baja",P131="Mayor"),AND(L131="Media",P131="Mayor"),AND(L131="Alta",P131="Moderado"),AND(L131="Alta",P131="Mayor"),AND(L131="Muy Alta",P131="Leve"),AND(L131="Muy Alta",P131="Menor"),AND(L131="Muy Alta",P131="Moderado"),AND(L131="Muy Alta",P131="Mayor")),"Alto",IF(OR(AND(L131="Muy Baja",P131="Catastrófico"),AND(L131="Baja",P131="Catastrófico"),AND(L131="Media",P131="Catastrófico"),AND(L131="Alta",P131="Catastrófico"),AND(L131="Muy Alta",P131="Catastrófico")),"Extremo",""))))</f>
        <v>Alto</v>
      </c>
      <c r="S131" s="248">
        <v>1</v>
      </c>
      <c r="T131" s="351" t="s">
        <v>722</v>
      </c>
      <c r="U131" s="350" t="s">
        <v>292</v>
      </c>
      <c r="V131" s="322" t="str">
        <f>IF(OR(W131="Preventivo",W131="Detectivo"),"Probabilidad",IF(W131="Correctivo","Impacto",""))</f>
        <v>Probabilidad</v>
      </c>
      <c r="W131" s="323" t="s">
        <v>13</v>
      </c>
      <c r="X131" s="323" t="s">
        <v>8</v>
      </c>
      <c r="Y131" s="324" t="str">
        <f>IF(AND(W131="Preventivo",X131="Automático"),"50%",IF(AND(W131="Preventivo",X131="Manual"),"40%",IF(AND(W131="Detectivo",X131="Automático"),"40%",IF(AND(W131="Detectivo",X131="Manual"),"30%",IF(AND(W131="Correctivo",X131="Automático"),"35%",IF(AND(W131="Correctivo",X131="Manual"),"25%",""))))))</f>
        <v>40%</v>
      </c>
      <c r="Z131" s="323" t="s">
        <v>18</v>
      </c>
      <c r="AA131" s="323" t="s">
        <v>22</v>
      </c>
      <c r="AB131" s="323" t="s">
        <v>103</v>
      </c>
      <c r="AC131" s="325">
        <f t="shared" ref="AC131" si="239">IFERROR(IF(V131="Probabilidad",(M131-(+M131*Y131)),IF(V131="Impacto",M131,"")),"")</f>
        <v>0.6</v>
      </c>
      <c r="AD131" s="326" t="str">
        <f>IFERROR(IF(AC131="","",IF(AC131&lt;=0.2,"Muy Baja",IF(AC131&lt;=0.4,"Baja",IF(AC131&lt;=0.6,"Media",IF(AC131&lt;=0.8,"Alta","Muy Alta"))))),"")</f>
        <v>Media</v>
      </c>
      <c r="AE131" s="324">
        <f>+AC131</f>
        <v>0.6</v>
      </c>
      <c r="AF131" s="326" t="str">
        <f ca="1">IFERROR(IF(AG131="","",IF(AG131&lt;=0.2,"Leve",IF(AG131&lt;=0.4,"Menor",IF(AG131&lt;=0.6,"Moderado",IF(AG131&lt;=0.8,"Mayor","Catastrófico"))))),"")</f>
        <v>Mayor</v>
      </c>
      <c r="AG131" s="324">
        <f ca="1">IFERROR(IF(V131="Impacto",(Q131-(+Q131*Y131)),IF(V131="Probabilidad",Q131,"")),"")</f>
        <v>0.8</v>
      </c>
      <c r="AH131" s="328" t="str">
        <f ca="1">IFERROR(IF(OR(AND(AD131="Muy Baja",AF131="Leve"),AND(AD131="Muy Baja",AF131="Menor"),AND(AD131="Baja",AF131="Leve")),"Bajo",IF(OR(AND(AD131="Muy baja",AF131="Moderado"),AND(AD131="Baja",AF131="Menor"),AND(AD131="Baja",AF131="Moderado"),AND(AD131="Media",AF131="Leve"),AND(AD131="Media",AF131="Menor"),AND(AD131="Media",AF131="Moderado"),AND(AD131="Alta",AF131="Leve"),AND(AD131="Alta",AF131="Menor")),"Moderado",IF(OR(AND(AD131="Muy Baja",AF131="Mayor"),AND(AD131="Baja",AF131="Mayor"),AND(AD131="Media",AF131="Mayor"),AND(AD131="Alta",AF131="Moderado"),AND(AD131="Alta",AF131="Mayor"),AND(AD131="Muy Alta",AF131="Leve"),AND(AD131="Muy Alta",AF131="Menor"),AND(AD131="Muy Alta",AF131="Moderado"),AND(AD131="Muy Alta",AF131="Mayor")),"Alto",IF(OR(AND(AD131="Muy Baja",AF131="Catastrófico"),AND(AD131="Baja",AF131="Catastrófico"),AND(AD131="Media",AF131="Catastrófico"),AND(AD131="Alta",AF131="Catastrófico"),AND(AD131="Muy Alta",AF131="Catastrófico")),"Extremo","")))),"")</f>
        <v>Alto</v>
      </c>
      <c r="AI131" s="323" t="s">
        <v>26</v>
      </c>
      <c r="AJ131" s="249">
        <v>4</v>
      </c>
      <c r="AK131" s="249">
        <v>1</v>
      </c>
      <c r="AL131" s="249">
        <v>1</v>
      </c>
      <c r="AM131" s="249">
        <v>2</v>
      </c>
      <c r="AN131" s="240"/>
      <c r="AO131" s="259"/>
      <c r="AP131" s="259"/>
      <c r="AQ131" s="239"/>
      <c r="AR131" s="264"/>
      <c r="AS131" s="265"/>
      <c r="AT131" s="293"/>
      <c r="AU131" s="293"/>
      <c r="AV131" s="293"/>
      <c r="AW131" s="293"/>
      <c r="AX131" s="293"/>
      <c r="AY131" s="293"/>
      <c r="AZ131" s="293"/>
      <c r="BA131" s="293"/>
      <c r="BB131" s="293"/>
      <c r="BC131" s="293"/>
      <c r="BD131" s="293"/>
      <c r="BE131" s="293"/>
      <c r="BF131" s="293"/>
      <c r="BG131" s="293"/>
      <c r="BH131" s="293"/>
      <c r="BI131" s="293"/>
      <c r="BJ131" s="293"/>
      <c r="BK131" s="293"/>
      <c r="BL131" s="293"/>
      <c r="BM131" s="293"/>
      <c r="BN131" s="293"/>
      <c r="BO131" s="293"/>
      <c r="BP131" s="293"/>
      <c r="BQ131" s="293"/>
      <c r="BR131" s="293"/>
      <c r="BS131" s="293"/>
      <c r="BT131" s="293"/>
      <c r="BU131" s="293"/>
      <c r="BV131" s="293"/>
      <c r="BW131" s="293"/>
      <c r="BX131" s="293"/>
      <c r="BY131" s="293"/>
      <c r="BZ131" s="293"/>
    </row>
    <row r="132" spans="1:78" s="295" customFormat="1" ht="93" customHeight="1" x14ac:dyDescent="0.2">
      <c r="A132" s="458"/>
      <c r="B132" s="451"/>
      <c r="C132" s="452"/>
      <c r="D132" s="453"/>
      <c r="E132" s="454"/>
      <c r="F132" s="454"/>
      <c r="G132" s="446"/>
      <c r="H132" s="446"/>
      <c r="I132" s="446"/>
      <c r="J132" s="446"/>
      <c r="K132" s="457"/>
      <c r="L132" s="447"/>
      <c r="M132" s="445"/>
      <c r="N132" s="455"/>
      <c r="O132" s="285">
        <f ca="1">IF(NOT(ISERROR(MATCH(N132,_xlfn.ANCHORARRAY(#REF!),0))),#REF!&amp;"Por favor no seleccionar los criterios de impacto",N132)</f>
        <v>0</v>
      </c>
      <c r="P132" s="447"/>
      <c r="Q132" s="445"/>
      <c r="R132" s="459"/>
      <c r="S132" s="248">
        <v>2</v>
      </c>
      <c r="T132" s="321" t="s">
        <v>845</v>
      </c>
      <c r="U132" s="245" t="s">
        <v>293</v>
      </c>
      <c r="V132" s="322" t="str">
        <f>IF(OR(W132="Preventivo",W132="Detectivo"),"Probabilidad",IF(W132="Correctivo","Impacto",""))</f>
        <v>Probabilidad</v>
      </c>
      <c r="W132" s="323" t="s">
        <v>13</v>
      </c>
      <c r="X132" s="323" t="s">
        <v>8</v>
      </c>
      <c r="Y132" s="324" t="str">
        <f>IF(AND(W132="Preventivo",X132="Automático"),"50%",IF(AND(W132="Preventivo",X132="Manual"),"40%",IF(AND(W132="Detectivo",X132="Automático"),"40%",IF(AND(W132="Detectivo",X132="Manual"),"30%",IF(AND(W132="Correctivo",X132="Automático"),"35%",IF(AND(W132="Correctivo",X132="Manual"),"25%",""))))))</f>
        <v>40%</v>
      </c>
      <c r="Z132" s="323" t="s">
        <v>19</v>
      </c>
      <c r="AA132" s="323" t="s">
        <v>21</v>
      </c>
      <c r="AB132" s="323" t="s">
        <v>103</v>
      </c>
      <c r="AC132" s="325">
        <f t="shared" ref="AC132" si="240">IFERROR(IF(AND(V131="Probabilidad",V132="Probabilidad"),(AE131-(+AE131*Y132)),IF(V132="Probabilidad",(M131-(+M131*Y132)),IF(V132="Impacto",AE131,""))),"")</f>
        <v>0.36</v>
      </c>
      <c r="AD132" s="326" t="str">
        <f t="shared" ref="AD132:AD136" si="241">IFERROR(IF(AC132="","",IF(AC132&lt;=0.2,"Muy Baja",IF(AC132&lt;=0.4,"Baja",IF(AC132&lt;=0.6,"Media",IF(AC132&lt;=0.8,"Alta","Muy Alta"))))),"")</f>
        <v>Baja</v>
      </c>
      <c r="AE132" s="324">
        <f>+AC132</f>
        <v>0.36</v>
      </c>
      <c r="AF132" s="326" t="str">
        <f t="shared" ref="AF132:AF136" ca="1" si="242">IFERROR(IF(AG132="","",IF(AG132&lt;=0.2,"Leve",IF(AG132&lt;=0.4,"Menor",IF(AG132&lt;=0.6,"Moderado",IF(AG132&lt;=0.8,"Mayor","Catastrófico"))))),"")</f>
        <v>Mayor</v>
      </c>
      <c r="AG132" s="324">
        <f ca="1">IFERROR(IF(AND(V131="Impacto",V132="Impacto"),(AG131-(+AG131*Y132)),IF(V132="Impacto",($Q$131-(+$Q$131*Y132)),IF(V132="Probabilidad",AG131,""))),"")</f>
        <v>0.8</v>
      </c>
      <c r="AH132" s="328" t="str">
        <f t="shared" ref="AH132:AH133" ca="1" si="243">IFERROR(IF(OR(AND(AD132="Muy Baja",AF132="Leve"),AND(AD132="Muy Baja",AF132="Menor"),AND(AD132="Baja",AF132="Leve")),"Bajo",IF(OR(AND(AD132="Muy baja",AF132="Moderado"),AND(AD132="Baja",AF132="Menor"),AND(AD132="Baja",AF132="Moderado"),AND(AD132="Media",AF132="Leve"),AND(AD132="Media",AF132="Menor"),AND(AD132="Media",AF132="Moderado"),AND(AD132="Alta",AF132="Leve"),AND(AD132="Alta",AF132="Menor")),"Moderado",IF(OR(AND(AD132="Muy Baja",AF132="Mayor"),AND(AD132="Baja",AF132="Mayor"),AND(AD132="Media",AF132="Mayor"),AND(AD132="Alta",AF132="Moderado"),AND(AD132="Alta",AF132="Mayor"),AND(AD132="Muy Alta",AF132="Leve"),AND(AD132="Muy Alta",AF132="Menor"),AND(AD132="Muy Alta",AF132="Moderado"),AND(AD132="Muy Alta",AF132="Mayor")),"Alto",IF(OR(AND(AD132="Muy Baja",AF132="Catastrófico"),AND(AD132="Baja",AF132="Catastrófico"),AND(AD132="Media",AF132="Catastrófico"),AND(AD132="Alta",AF132="Catastrófico"),AND(AD132="Muy Alta",AF132="Catastrófico")),"Extremo","")))),"")</f>
        <v>Alto</v>
      </c>
      <c r="AI132" s="323" t="s">
        <v>26</v>
      </c>
      <c r="AJ132" s="249">
        <v>4</v>
      </c>
      <c r="AK132" s="249">
        <v>1</v>
      </c>
      <c r="AL132" s="249">
        <v>1</v>
      </c>
      <c r="AM132" s="249">
        <v>2</v>
      </c>
      <c r="AN132" s="278"/>
      <c r="AO132" s="277"/>
      <c r="AP132" s="277"/>
      <c r="AQ132" s="276"/>
      <c r="AR132" s="263"/>
      <c r="AS132" s="277"/>
      <c r="AT132" s="293"/>
      <c r="AU132" s="293"/>
      <c r="AV132" s="293"/>
      <c r="AW132" s="293"/>
      <c r="AX132" s="293"/>
      <c r="AY132" s="293"/>
      <c r="AZ132" s="293"/>
      <c r="BA132" s="293"/>
      <c r="BB132" s="293"/>
      <c r="BC132" s="293"/>
      <c r="BD132" s="293"/>
      <c r="BE132" s="293"/>
      <c r="BF132" s="293"/>
      <c r="BG132" s="293"/>
      <c r="BH132" s="293"/>
      <c r="BI132" s="293"/>
      <c r="BJ132" s="293"/>
      <c r="BK132" s="293"/>
      <c r="BL132" s="293"/>
      <c r="BM132" s="293"/>
      <c r="BN132" s="293"/>
      <c r="BO132" s="293"/>
      <c r="BP132" s="293"/>
      <c r="BQ132" s="293"/>
      <c r="BR132" s="293"/>
      <c r="BS132" s="293"/>
      <c r="BT132" s="293"/>
      <c r="BU132" s="293"/>
      <c r="BV132" s="293"/>
      <c r="BW132" s="293"/>
      <c r="BX132" s="293"/>
      <c r="BY132" s="293"/>
      <c r="BZ132" s="293"/>
    </row>
    <row r="133" spans="1:78" s="295" customFormat="1" ht="10.5" customHeight="1" x14ac:dyDescent="0.2">
      <c r="A133" s="458"/>
      <c r="B133" s="451"/>
      <c r="C133" s="452"/>
      <c r="D133" s="453"/>
      <c r="E133" s="454"/>
      <c r="F133" s="454"/>
      <c r="G133" s="446"/>
      <c r="H133" s="446"/>
      <c r="I133" s="446"/>
      <c r="J133" s="446"/>
      <c r="K133" s="457"/>
      <c r="L133" s="447"/>
      <c r="M133" s="445"/>
      <c r="N133" s="455"/>
      <c r="O133" s="285">
        <f ca="1">IF(NOT(ISERROR(MATCH(N133,_xlfn.ANCHORARRAY(#REF!),0))),#REF!&amp;"Por favor no seleccionar los criterios de impacto",N133)</f>
        <v>0</v>
      </c>
      <c r="P133" s="447"/>
      <c r="Q133" s="445"/>
      <c r="R133" s="459"/>
      <c r="S133" s="248">
        <v>3</v>
      </c>
      <c r="T133" s="330"/>
      <c r="U133" s="245"/>
      <c r="V133" s="322" t="str">
        <f>IF(OR(W133="Preventivo",W133="Detectivo"),"Probabilidad",IF(W133="Correctivo","Impacto",""))</f>
        <v/>
      </c>
      <c r="W133" s="323"/>
      <c r="X133" s="323"/>
      <c r="Y133" s="324" t="str">
        <f>IF(AND(W133="Preventivo",X133="Automático"),"50%",IF(AND(W133="Preventivo",X133="Manual"),"40%",IF(AND(W133="Detectivo",X133="Automático"),"40%",IF(AND(W133="Detectivo",X133="Manual"),"30%",IF(AND(W133="Correctivo",X133="Automático"),"35%",IF(AND(W133="Correctivo",X133="Manual"),"25%",""))))))</f>
        <v/>
      </c>
      <c r="Z133" s="323"/>
      <c r="AA133" s="323"/>
      <c r="AB133" s="323"/>
      <c r="AC133" s="325" t="str">
        <f t="shared" ref="AC133:AC136" si="244">IFERROR(IF(AND(V132="Probabilidad",V133="Probabilidad"),(AE132-(+AE132*Y133)),IF(AND(V132="Impacto",V133="Probabilidad"),(AE131-(+AE131*Y133)),IF(V133="Impacto",AE132,""))),"")</f>
        <v/>
      </c>
      <c r="AD133" s="326" t="str">
        <f t="shared" si="241"/>
        <v/>
      </c>
      <c r="AE133" s="324" t="str">
        <f t="shared" ref="AE133:AE136" si="245">+AC133</f>
        <v/>
      </c>
      <c r="AF133" s="326" t="str">
        <f t="shared" si="242"/>
        <v/>
      </c>
      <c r="AG133" s="324" t="str">
        <f t="shared" ref="AG133:AG136" si="246">IFERROR(IF(AND(V132="Impacto",V133="Impacto"),(AG132-(+AG132*Y133)),IF(V133="Impacto",($Q$131-(+$Q$131*Y133)),IF(V133="Probabilidad",AG132,""))),"")</f>
        <v/>
      </c>
      <c r="AH133" s="328" t="str">
        <f t="shared" si="243"/>
        <v/>
      </c>
      <c r="AI133" s="323"/>
      <c r="AJ133" s="249"/>
      <c r="AK133" s="249"/>
      <c r="AL133" s="249"/>
      <c r="AM133" s="249"/>
      <c r="AN133" s="278"/>
      <c r="AO133" s="277"/>
      <c r="AP133" s="277"/>
      <c r="AQ133" s="276"/>
      <c r="AR133" s="263"/>
      <c r="AS133" s="277"/>
      <c r="AT133" s="293"/>
      <c r="AU133" s="293"/>
      <c r="AV133" s="293"/>
      <c r="AW133" s="293"/>
      <c r="AX133" s="293"/>
      <c r="AY133" s="293"/>
      <c r="AZ133" s="293"/>
      <c r="BA133" s="293"/>
      <c r="BB133" s="293"/>
      <c r="BC133" s="293"/>
      <c r="BD133" s="293"/>
      <c r="BE133" s="293"/>
      <c r="BF133" s="293"/>
      <c r="BG133" s="293"/>
      <c r="BH133" s="293"/>
      <c r="BI133" s="293"/>
      <c r="BJ133" s="293"/>
      <c r="BK133" s="293"/>
      <c r="BL133" s="293"/>
      <c r="BM133" s="293"/>
      <c r="BN133" s="293"/>
      <c r="BO133" s="293"/>
      <c r="BP133" s="293"/>
      <c r="BQ133" s="293"/>
      <c r="BR133" s="293"/>
      <c r="BS133" s="293"/>
      <c r="BT133" s="293"/>
      <c r="BU133" s="293"/>
      <c r="BV133" s="293"/>
      <c r="BW133" s="293"/>
      <c r="BX133" s="293"/>
      <c r="BY133" s="293"/>
      <c r="BZ133" s="293"/>
    </row>
    <row r="134" spans="1:78" s="295" customFormat="1" ht="10.5" customHeight="1" x14ac:dyDescent="0.2">
      <c r="A134" s="458"/>
      <c r="B134" s="451"/>
      <c r="C134" s="452"/>
      <c r="D134" s="453"/>
      <c r="E134" s="454"/>
      <c r="F134" s="454"/>
      <c r="G134" s="446"/>
      <c r="H134" s="446"/>
      <c r="I134" s="446"/>
      <c r="J134" s="446"/>
      <c r="K134" s="457"/>
      <c r="L134" s="447"/>
      <c r="M134" s="445"/>
      <c r="N134" s="455"/>
      <c r="O134" s="285">
        <f ca="1">IF(NOT(ISERROR(MATCH(N134,_xlfn.ANCHORARRAY(#REF!),0))),#REF!&amp;"Por favor no seleccionar los criterios de impacto",N134)</f>
        <v>0</v>
      </c>
      <c r="P134" s="447"/>
      <c r="Q134" s="445"/>
      <c r="R134" s="459"/>
      <c r="S134" s="248">
        <v>4</v>
      </c>
      <c r="T134" s="330"/>
      <c r="U134" s="245"/>
      <c r="V134" s="322" t="str">
        <f t="shared" ref="V134:V136" si="247">IF(OR(W134="Preventivo",W134="Detectivo"),"Probabilidad",IF(W134="Correctivo","Impacto",""))</f>
        <v/>
      </c>
      <c r="W134" s="323"/>
      <c r="X134" s="323"/>
      <c r="Y134" s="324" t="str">
        <f t="shared" ref="Y134:Y136" si="248">IF(AND(W134="Preventivo",X134="Automático"),"50%",IF(AND(W134="Preventivo",X134="Manual"),"40%",IF(AND(W134="Detectivo",X134="Automático"),"40%",IF(AND(W134="Detectivo",X134="Manual"),"30%",IF(AND(W134="Correctivo",X134="Automático"),"35%",IF(AND(W134="Correctivo",X134="Manual"),"25%",""))))))</f>
        <v/>
      </c>
      <c r="Z134" s="323"/>
      <c r="AA134" s="323"/>
      <c r="AB134" s="323"/>
      <c r="AC134" s="325" t="str">
        <f t="shared" si="244"/>
        <v/>
      </c>
      <c r="AD134" s="326" t="str">
        <f t="shared" si="241"/>
        <v/>
      </c>
      <c r="AE134" s="324" t="str">
        <f t="shared" si="245"/>
        <v/>
      </c>
      <c r="AF134" s="326" t="str">
        <f t="shared" si="242"/>
        <v/>
      </c>
      <c r="AG134" s="324" t="str">
        <f t="shared" si="246"/>
        <v/>
      </c>
      <c r="AH134" s="328" t="str">
        <f>IFERROR(IF(OR(AND(AD134="Muy Baja",AF134="Leve"),AND(AD134="Muy Baja",AF134="Menor"),AND(AD134="Baja",AF134="Leve")),"Bajo",IF(OR(AND(AD134="Muy baja",AF134="Moderado"),AND(AD134="Baja",AF134="Menor"),AND(AD134="Baja",AF134="Moderado"),AND(AD134="Media",AF134="Leve"),AND(AD134="Media",AF134="Menor"),AND(AD134="Media",AF134="Moderado"),AND(AD134="Alta",AF134="Leve"),AND(AD134="Alta",AF134="Menor")),"Moderado",IF(OR(AND(AD134="Muy Baja",AF134="Mayor"),AND(AD134="Baja",AF134="Mayor"),AND(AD134="Media",AF134="Mayor"),AND(AD134="Alta",AF134="Moderado"),AND(AD134="Alta",AF134="Mayor"),AND(AD134="Muy Alta",AF134="Leve"),AND(AD134="Muy Alta",AF134="Menor"),AND(AD134="Muy Alta",AF134="Moderado"),AND(AD134="Muy Alta",AF134="Mayor")),"Alto",IF(OR(AND(AD134="Muy Baja",AF134="Catastrófico"),AND(AD134="Baja",AF134="Catastrófico"),AND(AD134="Media",AF134="Catastrófico"),AND(AD134="Alta",AF134="Catastrófico"),AND(AD134="Muy Alta",AF134="Catastrófico")),"Extremo","")))),"")</f>
        <v/>
      </c>
      <c r="AI134" s="323"/>
      <c r="AJ134" s="249"/>
      <c r="AK134" s="249"/>
      <c r="AL134" s="249"/>
      <c r="AM134" s="249"/>
      <c r="AN134" s="278"/>
      <c r="AO134" s="209"/>
      <c r="AP134" s="209"/>
      <c r="AQ134" s="244"/>
      <c r="AR134" s="263"/>
      <c r="AS134" s="209"/>
      <c r="AT134" s="293"/>
      <c r="AU134" s="293"/>
      <c r="AV134" s="293"/>
      <c r="AW134" s="293"/>
      <c r="AX134" s="293"/>
      <c r="AY134" s="293"/>
      <c r="AZ134" s="293"/>
      <c r="BA134" s="293"/>
      <c r="BB134" s="293"/>
      <c r="BC134" s="293"/>
      <c r="BD134" s="293"/>
      <c r="BE134" s="293"/>
      <c r="BF134" s="293"/>
      <c r="BG134" s="293"/>
      <c r="BH134" s="293"/>
      <c r="BI134" s="293"/>
      <c r="BJ134" s="293"/>
      <c r="BK134" s="293"/>
      <c r="BL134" s="293"/>
      <c r="BM134" s="293"/>
      <c r="BN134" s="293"/>
      <c r="BO134" s="293"/>
      <c r="BP134" s="293"/>
      <c r="BQ134" s="293"/>
      <c r="BR134" s="293"/>
      <c r="BS134" s="293"/>
      <c r="BT134" s="293"/>
      <c r="BU134" s="293"/>
      <c r="BV134" s="293"/>
      <c r="BW134" s="293"/>
      <c r="BX134" s="293"/>
      <c r="BY134" s="293"/>
      <c r="BZ134" s="293"/>
    </row>
    <row r="135" spans="1:78" s="295" customFormat="1" ht="10.5" customHeight="1" x14ac:dyDescent="0.2">
      <c r="A135" s="458"/>
      <c r="B135" s="451"/>
      <c r="C135" s="452"/>
      <c r="D135" s="453"/>
      <c r="E135" s="454"/>
      <c r="F135" s="454"/>
      <c r="G135" s="446"/>
      <c r="H135" s="446"/>
      <c r="I135" s="446"/>
      <c r="J135" s="446"/>
      <c r="K135" s="457"/>
      <c r="L135" s="447"/>
      <c r="M135" s="445"/>
      <c r="N135" s="455"/>
      <c r="O135" s="285">
        <f ca="1">IF(NOT(ISERROR(MATCH(N135,_xlfn.ANCHORARRAY(#REF!),0))),#REF!&amp;"Por favor no seleccionar los criterios de impacto",N135)</f>
        <v>0</v>
      </c>
      <c r="P135" s="447"/>
      <c r="Q135" s="445"/>
      <c r="R135" s="459"/>
      <c r="S135" s="248">
        <v>5</v>
      </c>
      <c r="T135" s="330"/>
      <c r="U135" s="245"/>
      <c r="V135" s="322" t="str">
        <f t="shared" si="247"/>
        <v/>
      </c>
      <c r="W135" s="323"/>
      <c r="X135" s="323"/>
      <c r="Y135" s="324" t="str">
        <f t="shared" si="248"/>
        <v/>
      </c>
      <c r="Z135" s="323"/>
      <c r="AA135" s="323"/>
      <c r="AB135" s="323"/>
      <c r="AC135" s="325" t="str">
        <f t="shared" si="244"/>
        <v/>
      </c>
      <c r="AD135" s="326" t="str">
        <f t="shared" si="241"/>
        <v/>
      </c>
      <c r="AE135" s="324" t="str">
        <f t="shared" si="245"/>
        <v/>
      </c>
      <c r="AF135" s="326" t="str">
        <f t="shared" si="242"/>
        <v/>
      </c>
      <c r="AG135" s="324" t="str">
        <f t="shared" si="246"/>
        <v/>
      </c>
      <c r="AH135" s="328" t="str">
        <f t="shared" ref="AH135:AH136" si="249">IFERROR(IF(OR(AND(AD135="Muy Baja",AF135="Leve"),AND(AD135="Muy Baja",AF135="Menor"),AND(AD135="Baja",AF135="Leve")),"Bajo",IF(OR(AND(AD135="Muy baja",AF135="Moderado"),AND(AD135="Baja",AF135="Menor"),AND(AD135="Baja",AF135="Moderado"),AND(AD135="Media",AF135="Leve"),AND(AD135="Media",AF135="Menor"),AND(AD135="Media",AF135="Moderado"),AND(AD135="Alta",AF135="Leve"),AND(AD135="Alta",AF135="Menor")),"Moderado",IF(OR(AND(AD135="Muy Baja",AF135="Mayor"),AND(AD135="Baja",AF135="Mayor"),AND(AD135="Media",AF135="Mayor"),AND(AD135="Alta",AF135="Moderado"),AND(AD135="Alta",AF135="Mayor"),AND(AD135="Muy Alta",AF135="Leve"),AND(AD135="Muy Alta",AF135="Menor"),AND(AD135="Muy Alta",AF135="Moderado"),AND(AD135="Muy Alta",AF135="Mayor")),"Alto",IF(OR(AND(AD135="Muy Baja",AF135="Catastrófico"),AND(AD135="Baja",AF135="Catastrófico"),AND(AD135="Media",AF135="Catastrófico"),AND(AD135="Alta",AF135="Catastrófico"),AND(AD135="Muy Alta",AF135="Catastrófico")),"Extremo","")))),"")</f>
        <v/>
      </c>
      <c r="AI135" s="323"/>
      <c r="AJ135" s="249"/>
      <c r="AK135" s="249"/>
      <c r="AL135" s="249"/>
      <c r="AM135" s="249"/>
      <c r="AN135" s="278"/>
      <c r="AO135" s="276"/>
      <c r="AP135" s="276"/>
      <c r="AQ135" s="278"/>
      <c r="AR135" s="211"/>
      <c r="AS135" s="211"/>
      <c r="AT135" s="293"/>
      <c r="AU135" s="293"/>
      <c r="AV135" s="293"/>
      <c r="AW135" s="293"/>
      <c r="AX135" s="293"/>
      <c r="AY135" s="293"/>
      <c r="AZ135" s="293"/>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U135" s="293"/>
      <c r="BV135" s="293"/>
      <c r="BW135" s="293"/>
      <c r="BX135" s="293"/>
      <c r="BY135" s="293"/>
      <c r="BZ135" s="293"/>
    </row>
    <row r="136" spans="1:78" s="295" customFormat="1" ht="73.5" customHeight="1" x14ac:dyDescent="0.2">
      <c r="A136" s="458"/>
      <c r="B136" s="451"/>
      <c r="C136" s="452"/>
      <c r="D136" s="453"/>
      <c r="E136" s="454"/>
      <c r="F136" s="454"/>
      <c r="G136" s="446"/>
      <c r="H136" s="446"/>
      <c r="I136" s="446"/>
      <c r="J136" s="446"/>
      <c r="K136" s="457"/>
      <c r="L136" s="447"/>
      <c r="M136" s="445"/>
      <c r="N136" s="455"/>
      <c r="O136" s="285">
        <f ca="1">IF(NOT(ISERROR(MATCH(N136,_xlfn.ANCHORARRAY(#REF!),0))),M49&amp;"Por favor no seleccionar los criterios de impacto",N136)</f>
        <v>0</v>
      </c>
      <c r="P136" s="447"/>
      <c r="Q136" s="445"/>
      <c r="R136" s="459"/>
      <c r="S136" s="248">
        <v>6</v>
      </c>
      <c r="T136" s="330"/>
      <c r="U136" s="245"/>
      <c r="V136" s="322" t="str">
        <f t="shared" si="247"/>
        <v/>
      </c>
      <c r="W136" s="323"/>
      <c r="X136" s="323"/>
      <c r="Y136" s="324" t="str">
        <f t="shared" si="248"/>
        <v/>
      </c>
      <c r="Z136" s="323"/>
      <c r="AA136" s="323"/>
      <c r="AB136" s="323"/>
      <c r="AC136" s="325" t="str">
        <f t="shared" si="244"/>
        <v/>
      </c>
      <c r="AD136" s="326" t="str">
        <f t="shared" si="241"/>
        <v/>
      </c>
      <c r="AE136" s="324" t="str">
        <f t="shared" si="245"/>
        <v/>
      </c>
      <c r="AF136" s="326" t="str">
        <f t="shared" si="242"/>
        <v/>
      </c>
      <c r="AG136" s="324" t="str">
        <f t="shared" si="246"/>
        <v/>
      </c>
      <c r="AH136" s="328" t="str">
        <f t="shared" si="249"/>
        <v/>
      </c>
      <c r="AI136" s="323"/>
      <c r="AJ136" s="249"/>
      <c r="AK136" s="249"/>
      <c r="AL136" s="249"/>
      <c r="AM136" s="249"/>
      <c r="AN136" s="278"/>
      <c r="AO136" s="276"/>
      <c r="AP136" s="276"/>
      <c r="AQ136" s="278"/>
      <c r="AR136" s="211"/>
      <c r="AS136" s="211"/>
      <c r="AT136" s="293"/>
      <c r="AU136" s="293"/>
      <c r="AV136" s="293"/>
      <c r="AW136" s="293"/>
      <c r="AX136" s="293"/>
      <c r="AY136" s="293"/>
      <c r="AZ136" s="293"/>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U136" s="293"/>
      <c r="BV136" s="293"/>
      <c r="BW136" s="293"/>
      <c r="BX136" s="293"/>
      <c r="BY136" s="293"/>
      <c r="BZ136" s="293"/>
    </row>
    <row r="137" spans="1:78" s="294" customFormat="1" ht="103.5" customHeight="1" x14ac:dyDescent="0.2">
      <c r="A137" s="458" t="s">
        <v>723</v>
      </c>
      <c r="B137" s="451" t="s">
        <v>830</v>
      </c>
      <c r="C137" s="452" t="s">
        <v>604</v>
      </c>
      <c r="D137" s="453" t="s">
        <v>620</v>
      </c>
      <c r="E137" s="454" t="s">
        <v>109</v>
      </c>
      <c r="F137" s="454" t="s">
        <v>840</v>
      </c>
      <c r="G137" s="446" t="s">
        <v>839</v>
      </c>
      <c r="H137" s="456" t="s">
        <v>1045</v>
      </c>
      <c r="I137" s="446" t="s">
        <v>654</v>
      </c>
      <c r="J137" s="446" t="s">
        <v>1046</v>
      </c>
      <c r="K137" s="457">
        <v>50</v>
      </c>
      <c r="L137" s="447" t="str">
        <f t="shared" ref="L137" si="250">IF(K137&lt;=0,"",IF(K137&lt;=2,"Muy Baja",IF(K137&lt;=24,"Baja",IF(K137&lt;=500,"Media",IF(K137&lt;=5000,"Alta","Muy Alta")))))</f>
        <v>Media</v>
      </c>
      <c r="M137" s="445">
        <f>IF(L137="","",IF(L137="Muy Baja",0.2,IF(L137="Baja",0.4,IF(L137="Media",0.6,IF(L137="Alta",0.8,IF(L137="Muy Alta",1,))))))</f>
        <v>0.6</v>
      </c>
      <c r="N137" s="455" t="s">
        <v>123</v>
      </c>
      <c r="O137" s="285" t="str">
        <f ca="1">IF(NOT(ISERROR(MATCH(N137,'Tabla Impacto'!$B$221:$B$223,0))),'Tabla Impacto'!$F$223&amp;"Por favor no seleccionar los criterios de impacto(Afectación Económica o presupuestal y Pérdida Reputacional)",N137)</f>
        <v xml:space="preserve">     El riesgo afecta la imagen de la entidad a nivel nacional, con efecto publicitarios sostenible a nivel país</v>
      </c>
      <c r="P137" s="447" t="str">
        <f ca="1">IF(OR(O137='Tabla Impacto'!$C$11,O137='Tabla Impacto'!$D$11),"Leve",IF(OR(O137='Tabla Impacto'!$C$12,O137='Tabla Impacto'!$D$12),"Menor",IF(OR(O137='Tabla Impacto'!$C$13,O137='Tabla Impacto'!$D$13),"Moderado",IF(OR(O137='Tabla Impacto'!$C$14,O137='Tabla Impacto'!$D$14),"Mayor",IF(OR(O137='Tabla Impacto'!$C$15,O137='Tabla Impacto'!$D$15),"Catastrófico","")))))</f>
        <v>Catastrófico</v>
      </c>
      <c r="Q137" s="445">
        <f ca="1">IF(P137="","",IF(P137="Leve",0.2,IF(P137="Menor",0.4,IF(P137="Moderado",0.6,IF(P137="Mayor",0.8,IF(P137="Catastrófico",1,))))))</f>
        <v>1</v>
      </c>
      <c r="R137" s="459" t="str">
        <f ca="1">IF(OR(AND(L137="Muy Baja",P137="Leve"),AND(L137="Muy Baja",P137="Menor"),AND(L137="Baja",P137="Leve")),"Bajo",IF(OR(AND(L137="Muy baja",P137="Moderado"),AND(L137="Baja",P137="Menor"),AND(L137="Baja",P137="Moderado"),AND(L137="Media",P137="Leve"),AND(L137="Media",P137="Menor"),AND(L137="Media",P137="Moderado"),AND(L137="Alta",P137="Leve"),AND(L137="Alta",P137="Menor")),"Moderado",IF(OR(AND(L137="Muy Baja",P137="Mayor"),AND(L137="Baja",P137="Mayor"),AND(L137="Media",P137="Mayor"),AND(L137="Alta",P137="Moderado"),AND(L137="Alta",P137="Mayor"),AND(L137="Muy Alta",P137="Leve"),AND(L137="Muy Alta",P137="Menor"),AND(L137="Muy Alta",P137="Moderado"),AND(L137="Muy Alta",P137="Mayor")),"Alto",IF(OR(AND(L137="Muy Baja",P137="Catastrófico"),AND(L137="Baja",P137="Catastrófico"),AND(L137="Media",P137="Catastrófico"),AND(L137="Alta",P137="Catastrófico"),AND(L137="Muy Alta",P137="Catastrófico")),"Extremo",""))))</f>
        <v>Extremo</v>
      </c>
      <c r="S137" s="248">
        <v>1</v>
      </c>
      <c r="T137" s="321" t="s">
        <v>992</v>
      </c>
      <c r="U137" s="245" t="s">
        <v>293</v>
      </c>
      <c r="V137" s="322" t="str">
        <f>IF(OR(W137="Preventivo",W137="Detectivo"),"Probabilidad",IF(W137="Correctivo","Impacto",""))</f>
        <v>Probabilidad</v>
      </c>
      <c r="W137" s="323" t="s">
        <v>13</v>
      </c>
      <c r="X137" s="323" t="s">
        <v>8</v>
      </c>
      <c r="Y137" s="324" t="str">
        <f>IF(AND(W137="Preventivo",X137="Automático"),"50%",IF(AND(W137="Preventivo",X137="Manual"),"40%",IF(AND(W137="Detectivo",X137="Automático"),"40%",IF(AND(W137="Detectivo",X137="Manual"),"30%",IF(AND(W137="Correctivo",X137="Automático"),"35%",IF(AND(W137="Correctivo",X137="Manual"),"25%",""))))))</f>
        <v>40%</v>
      </c>
      <c r="Z137" s="323" t="s">
        <v>18</v>
      </c>
      <c r="AA137" s="323" t="s">
        <v>22</v>
      </c>
      <c r="AB137" s="323" t="s">
        <v>103</v>
      </c>
      <c r="AC137" s="325">
        <f>IFERROR(IF(V137="Probabilidad",(M137-(+M137*Y137)),IF(V137="Impacto",M137,"")),"")</f>
        <v>0.36</v>
      </c>
      <c r="AD137" s="326" t="str">
        <f>IFERROR(IF(AC137="","",IF(AC137&lt;=0.2,"Muy Baja",IF(AC137&lt;=0.4,"Baja",IF(AC137&lt;=0.6,"Media",IF(AC137&lt;=0.8,"Alta","Muy Alta"))))),"")</f>
        <v>Baja</v>
      </c>
      <c r="AE137" s="324">
        <f>+AC137</f>
        <v>0.36</v>
      </c>
      <c r="AF137" s="326" t="str">
        <f ca="1">IFERROR(IF(AG137="","",IF(AG137&lt;=0.2,"Leve",IF(AG137&lt;=0.4,"Menor",IF(AG137&lt;=0.6,"Moderado",IF(AG137&lt;=0.8,"Mayor","Catastrófico"))))),"")</f>
        <v>Catastrófico</v>
      </c>
      <c r="AG137" s="324">
        <f ca="1">IFERROR(IF(V137="Impacto",(Q137-(+Q137*Y137)),IF(V137="Probabilidad",Q137,"")),"")</f>
        <v>1</v>
      </c>
      <c r="AH137" s="328" t="str">
        <f ca="1">IFERROR(IF(OR(AND(AD137="Muy Baja",AF137="Leve"),AND(AD137="Muy Baja",AF137="Menor"),AND(AD137="Baja",AF137="Leve")),"Bajo",IF(OR(AND(AD137="Muy baja",AF137="Moderado"),AND(AD137="Baja",AF137="Menor"),AND(AD137="Baja",AF137="Moderado"),AND(AD137="Media",AF137="Leve"),AND(AD137="Media",AF137="Menor"),AND(AD137="Media",AF137="Moderado"),AND(AD137="Alta",AF137="Leve"),AND(AD137="Alta",AF137="Menor")),"Moderado",IF(OR(AND(AD137="Muy Baja",AF137="Mayor"),AND(AD137="Baja",AF137="Mayor"),AND(AD137="Media",AF137="Mayor"),AND(AD137="Alta",AF137="Moderado"),AND(AD137="Alta",AF137="Mayor"),AND(AD137="Muy Alta",AF137="Leve"),AND(AD137="Muy Alta",AF137="Menor"),AND(AD137="Muy Alta",AF137="Moderado"),AND(AD137="Muy Alta",AF137="Mayor")),"Alto",IF(OR(AND(AD137="Muy Baja",AF137="Catastrófico"),AND(AD137="Baja",AF137="Catastrófico"),AND(AD137="Media",AF137="Catastrófico"),AND(AD137="Alta",AF137="Catastrófico"),AND(AD137="Muy Alta",AF137="Catastrófico")),"Extremo","")))),"")</f>
        <v>Extremo</v>
      </c>
      <c r="AI137" s="323" t="s">
        <v>26</v>
      </c>
      <c r="AJ137" s="249">
        <v>24</v>
      </c>
      <c r="AK137" s="249">
        <v>8</v>
      </c>
      <c r="AL137" s="249">
        <v>8</v>
      </c>
      <c r="AM137" s="249">
        <v>8</v>
      </c>
      <c r="AN137" s="240"/>
      <c r="AO137" s="259"/>
      <c r="AP137" s="259"/>
      <c r="AQ137" s="239"/>
      <c r="AR137" s="264"/>
      <c r="AS137" s="265"/>
      <c r="AT137" s="293"/>
      <c r="AU137" s="293"/>
      <c r="AV137" s="293"/>
      <c r="AW137" s="293"/>
      <c r="AX137" s="293"/>
      <c r="AY137" s="293"/>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293"/>
      <c r="BY137" s="293"/>
      <c r="BZ137" s="293"/>
    </row>
    <row r="138" spans="1:78" s="295" customFormat="1" ht="92.25" customHeight="1" x14ac:dyDescent="0.2">
      <c r="A138" s="458"/>
      <c r="B138" s="451"/>
      <c r="C138" s="452"/>
      <c r="D138" s="453"/>
      <c r="E138" s="454"/>
      <c r="F138" s="454"/>
      <c r="G138" s="446"/>
      <c r="H138" s="456"/>
      <c r="I138" s="446"/>
      <c r="J138" s="446"/>
      <c r="K138" s="457"/>
      <c r="L138" s="447"/>
      <c r="M138" s="445"/>
      <c r="N138" s="455"/>
      <c r="O138" s="285">
        <f ca="1">IF(NOT(ISERROR(MATCH(N138,_xlfn.ANCHORARRAY(#REF!),0))),#REF!&amp;"Por favor no seleccionar los criterios de impacto",N138)</f>
        <v>0</v>
      </c>
      <c r="P138" s="447"/>
      <c r="Q138" s="445"/>
      <c r="R138" s="459"/>
      <c r="S138" s="248">
        <v>2</v>
      </c>
      <c r="T138" s="321" t="s">
        <v>993</v>
      </c>
      <c r="U138" s="245" t="s">
        <v>293</v>
      </c>
      <c r="V138" s="322" t="str">
        <f>IF(OR(W138="Preventivo",W138="Detectivo"),"Probabilidad",IF(W138="Correctivo","Impacto",""))</f>
        <v>Probabilidad</v>
      </c>
      <c r="W138" s="323" t="s">
        <v>13</v>
      </c>
      <c r="X138" s="323" t="s">
        <v>8</v>
      </c>
      <c r="Y138" s="324" t="str">
        <f>IF(AND(W138="Preventivo",X138="Automático"),"50%",IF(AND(W138="Preventivo",X138="Manual"),"40%",IF(AND(W138="Detectivo",X138="Automático"),"40%",IF(AND(W138="Detectivo",X138="Manual"),"30%",IF(AND(W138="Correctivo",X138="Automático"),"35%",IF(AND(W138="Correctivo",X138="Manual"),"25%",""))))))</f>
        <v>40%</v>
      </c>
      <c r="Z138" s="323" t="s">
        <v>19</v>
      </c>
      <c r="AA138" s="323" t="s">
        <v>21</v>
      </c>
      <c r="AB138" s="323" t="s">
        <v>103</v>
      </c>
      <c r="AC138" s="325">
        <f t="shared" ref="AC138" si="251">IFERROR(IF(AND(V137="Probabilidad",V138="Probabilidad"),(AE137-(+AE137*Y138)),IF(V138="Probabilidad",(M137-(+M137*Y138)),IF(V138="Impacto",AE137,""))),"")</f>
        <v>0.216</v>
      </c>
      <c r="AD138" s="326" t="str">
        <f t="shared" ref="AD138:AD142" si="252">IFERROR(IF(AC138="","",IF(AC138&lt;=0.2,"Muy Baja",IF(AC138&lt;=0.4,"Baja",IF(AC138&lt;=0.6,"Media",IF(AC138&lt;=0.8,"Alta","Muy Alta"))))),"")</f>
        <v>Baja</v>
      </c>
      <c r="AE138" s="324">
        <f>+AC138</f>
        <v>0.216</v>
      </c>
      <c r="AF138" s="326" t="str">
        <f t="shared" ref="AF138:AF142" ca="1" si="253">IFERROR(IF(AG138="","",IF(AG138&lt;=0.2,"Leve",IF(AG138&lt;=0.4,"Menor",IF(AG138&lt;=0.6,"Moderado",IF(AG138&lt;=0.8,"Mayor","Catastrófico"))))),"")</f>
        <v>Catastrófico</v>
      </c>
      <c r="AG138" s="324">
        <f ca="1">IFERROR(IF(AND(V137="Impacto",V138="Impacto"),(AG137-(+AG137*Y138)),IF(V138="Impacto",($Q$137-(+$Q$137*Y138)),IF(V138="Probabilidad",AG137,""))),"")</f>
        <v>1</v>
      </c>
      <c r="AH138" s="328" t="str">
        <f t="shared" ref="AH138:AH139" ca="1" si="254">IFERROR(IF(OR(AND(AD138="Muy Baja",AF138="Leve"),AND(AD138="Muy Baja",AF138="Menor"),AND(AD138="Baja",AF138="Leve")),"Bajo",IF(OR(AND(AD138="Muy baja",AF138="Moderado"),AND(AD138="Baja",AF138="Menor"),AND(AD138="Baja",AF138="Moderado"),AND(AD138="Media",AF138="Leve"),AND(AD138="Media",AF138="Menor"),AND(AD138="Media",AF138="Moderado"),AND(AD138="Alta",AF138="Leve"),AND(AD138="Alta",AF138="Menor")),"Moderado",IF(OR(AND(AD138="Muy Baja",AF138="Mayor"),AND(AD138="Baja",AF138="Mayor"),AND(AD138="Media",AF138="Mayor"),AND(AD138="Alta",AF138="Moderado"),AND(AD138="Alta",AF138="Mayor"),AND(AD138="Muy Alta",AF138="Leve"),AND(AD138="Muy Alta",AF138="Menor"),AND(AD138="Muy Alta",AF138="Moderado"),AND(AD138="Muy Alta",AF138="Mayor")),"Alto",IF(OR(AND(AD138="Muy Baja",AF138="Catastrófico"),AND(AD138="Baja",AF138="Catastrófico"),AND(AD138="Media",AF138="Catastrófico"),AND(AD138="Alta",AF138="Catastrófico"),AND(AD138="Muy Alta",AF138="Catastrófico")),"Extremo","")))),"")</f>
        <v>Extremo</v>
      </c>
      <c r="AI138" s="323" t="s">
        <v>26</v>
      </c>
      <c r="AJ138" s="249">
        <v>0</v>
      </c>
      <c r="AK138" s="249">
        <v>0</v>
      </c>
      <c r="AL138" s="249">
        <v>0</v>
      </c>
      <c r="AM138" s="249">
        <v>0</v>
      </c>
      <c r="AN138" s="278"/>
      <c r="AO138" s="277"/>
      <c r="AP138" s="277"/>
      <c r="AQ138" s="276"/>
      <c r="AR138" s="263"/>
      <c r="AS138" s="277"/>
      <c r="AT138" s="293"/>
      <c r="AU138" s="293"/>
      <c r="AV138" s="293"/>
      <c r="AW138" s="293"/>
      <c r="AX138" s="293"/>
      <c r="AY138" s="293"/>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row>
    <row r="139" spans="1:78" s="295" customFormat="1" ht="9.75" customHeight="1" x14ac:dyDescent="0.2">
      <c r="A139" s="458"/>
      <c r="B139" s="451"/>
      <c r="C139" s="452"/>
      <c r="D139" s="453"/>
      <c r="E139" s="454"/>
      <c r="F139" s="454"/>
      <c r="G139" s="446"/>
      <c r="H139" s="456"/>
      <c r="I139" s="446"/>
      <c r="J139" s="446"/>
      <c r="K139" s="457"/>
      <c r="L139" s="447"/>
      <c r="M139" s="445"/>
      <c r="N139" s="455"/>
      <c r="O139" s="285">
        <f ca="1">IF(NOT(ISERROR(MATCH(N139,_xlfn.ANCHORARRAY(#REF!),0))),#REF!&amp;"Por favor no seleccionar los criterios de impacto",N139)</f>
        <v>0</v>
      </c>
      <c r="P139" s="447"/>
      <c r="Q139" s="445"/>
      <c r="R139" s="459"/>
      <c r="S139" s="248">
        <v>3</v>
      </c>
      <c r="T139" s="321"/>
      <c r="U139" s="245"/>
      <c r="V139" s="322" t="str">
        <f>IF(OR(W139="Preventivo",W139="Detectivo"),"Probabilidad",IF(W139="Correctivo","Impacto",""))</f>
        <v/>
      </c>
      <c r="W139" s="323"/>
      <c r="X139" s="323"/>
      <c r="Y139" s="324" t="str">
        <f>IF(AND(W139="Preventivo",X139="Automático"),"50%",IF(AND(W139="Preventivo",X139="Manual"),"40%",IF(AND(W139="Detectivo",X139="Automático"),"40%",IF(AND(W139="Detectivo",X139="Manual"),"30%",IF(AND(W139="Correctivo",X139="Automático"),"35%",IF(AND(W139="Correctivo",X139="Manual"),"25%",""))))))</f>
        <v/>
      </c>
      <c r="Z139" s="323"/>
      <c r="AA139" s="323"/>
      <c r="AB139" s="323"/>
      <c r="AC139" s="325" t="str">
        <f t="shared" ref="AC139:AC142" si="255">IFERROR(IF(AND(V138="Probabilidad",V139="Probabilidad"),(AE138-(+AE138*Y139)),IF(AND(V138="Impacto",V139="Probabilidad"),(AE137-(+AE137*Y139)),IF(V139="Impacto",AE138,""))),"")</f>
        <v/>
      </c>
      <c r="AD139" s="326" t="str">
        <f t="shared" si="252"/>
        <v/>
      </c>
      <c r="AE139" s="324" t="str">
        <f t="shared" ref="AE139:AE142" si="256">+AC139</f>
        <v/>
      </c>
      <c r="AF139" s="326" t="str">
        <f t="shared" si="253"/>
        <v/>
      </c>
      <c r="AG139" s="324" t="str">
        <f t="shared" ref="AG139:AG142" si="257">IFERROR(IF(AND(V138="Impacto",V139="Impacto"),(AG138-(+AG138*Y139)),IF(V139="Impacto",($Q$137-(+$Q$137*Y139)),IF(V139="Probabilidad",AG138,""))),"")</f>
        <v/>
      </c>
      <c r="AH139" s="328" t="str">
        <f t="shared" si="254"/>
        <v/>
      </c>
      <c r="AI139" s="323"/>
      <c r="AJ139" s="249"/>
      <c r="AK139" s="249"/>
      <c r="AL139" s="249"/>
      <c r="AM139" s="249"/>
      <c r="AN139" s="278"/>
      <c r="AO139" s="277"/>
      <c r="AP139" s="277"/>
      <c r="AQ139" s="276"/>
      <c r="AR139" s="263"/>
      <c r="AS139" s="277"/>
      <c r="AT139" s="293"/>
      <c r="AU139" s="293"/>
      <c r="AV139" s="293"/>
      <c r="AW139" s="293"/>
      <c r="AX139" s="293"/>
      <c r="AY139" s="293"/>
      <c r="AZ139" s="293"/>
      <c r="BA139" s="293"/>
      <c r="BB139" s="293"/>
      <c r="BC139" s="293"/>
      <c r="BD139" s="293"/>
      <c r="BE139" s="293"/>
      <c r="BF139" s="293"/>
      <c r="BG139" s="293"/>
      <c r="BH139" s="293"/>
      <c r="BI139" s="293"/>
      <c r="BJ139" s="293"/>
      <c r="BK139" s="293"/>
      <c r="BL139" s="293"/>
      <c r="BM139" s="293"/>
      <c r="BN139" s="293"/>
      <c r="BO139" s="293"/>
      <c r="BP139" s="293"/>
      <c r="BQ139" s="293"/>
      <c r="BR139" s="293"/>
      <c r="BS139" s="293"/>
      <c r="BT139" s="293"/>
      <c r="BU139" s="293"/>
      <c r="BV139" s="293"/>
      <c r="BW139" s="293"/>
      <c r="BX139" s="293"/>
      <c r="BY139" s="293"/>
      <c r="BZ139" s="293"/>
    </row>
    <row r="140" spans="1:78" s="295" customFormat="1" ht="8.25" customHeight="1" x14ac:dyDescent="0.2">
      <c r="A140" s="458"/>
      <c r="B140" s="451"/>
      <c r="C140" s="452"/>
      <c r="D140" s="453"/>
      <c r="E140" s="454"/>
      <c r="F140" s="454"/>
      <c r="G140" s="446"/>
      <c r="H140" s="456"/>
      <c r="I140" s="446"/>
      <c r="J140" s="446"/>
      <c r="K140" s="457"/>
      <c r="L140" s="447"/>
      <c r="M140" s="445"/>
      <c r="N140" s="455"/>
      <c r="O140" s="285">
        <f ca="1">IF(NOT(ISERROR(MATCH(N140,_xlfn.ANCHORARRAY(#REF!),0))),#REF!&amp;"Por favor no seleccionar los criterios de impacto",N140)</f>
        <v>0</v>
      </c>
      <c r="P140" s="447"/>
      <c r="Q140" s="445"/>
      <c r="R140" s="459"/>
      <c r="S140" s="248">
        <v>4</v>
      </c>
      <c r="T140" s="330"/>
      <c r="U140" s="245"/>
      <c r="V140" s="322" t="str">
        <f t="shared" ref="V140:V142" si="258">IF(OR(W140="Preventivo",W140="Detectivo"),"Probabilidad",IF(W140="Correctivo","Impacto",""))</f>
        <v/>
      </c>
      <c r="W140" s="323"/>
      <c r="X140" s="323"/>
      <c r="Y140" s="324" t="str">
        <f t="shared" ref="Y140:Y142" si="259">IF(AND(W140="Preventivo",X140="Automático"),"50%",IF(AND(W140="Preventivo",X140="Manual"),"40%",IF(AND(W140="Detectivo",X140="Automático"),"40%",IF(AND(W140="Detectivo",X140="Manual"),"30%",IF(AND(W140="Correctivo",X140="Automático"),"35%",IF(AND(W140="Correctivo",X140="Manual"),"25%",""))))))</f>
        <v/>
      </c>
      <c r="Z140" s="323"/>
      <c r="AA140" s="323"/>
      <c r="AB140" s="323"/>
      <c r="AC140" s="325" t="str">
        <f t="shared" si="255"/>
        <v/>
      </c>
      <c r="AD140" s="326" t="str">
        <f t="shared" si="252"/>
        <v/>
      </c>
      <c r="AE140" s="324" t="str">
        <f t="shared" si="256"/>
        <v/>
      </c>
      <c r="AF140" s="326" t="str">
        <f t="shared" si="253"/>
        <v/>
      </c>
      <c r="AG140" s="324" t="str">
        <f t="shared" si="257"/>
        <v/>
      </c>
      <c r="AH140" s="328" t="str">
        <f>IFERROR(IF(OR(AND(AD140="Muy Baja",AF140="Leve"),AND(AD140="Muy Baja",AF140="Menor"),AND(AD140="Baja",AF140="Leve")),"Bajo",IF(OR(AND(AD140="Muy baja",AF140="Moderado"),AND(AD140="Baja",AF140="Menor"),AND(AD140="Baja",AF140="Moderado"),AND(AD140="Media",AF140="Leve"),AND(AD140="Media",AF140="Menor"),AND(AD140="Media",AF140="Moderado"),AND(AD140="Alta",AF140="Leve"),AND(AD140="Alta",AF140="Menor")),"Moderado",IF(OR(AND(AD140="Muy Baja",AF140="Mayor"),AND(AD140="Baja",AF140="Mayor"),AND(AD140="Media",AF140="Mayor"),AND(AD140="Alta",AF140="Moderado"),AND(AD140="Alta",AF140="Mayor"),AND(AD140="Muy Alta",AF140="Leve"),AND(AD140="Muy Alta",AF140="Menor"),AND(AD140="Muy Alta",AF140="Moderado"),AND(AD140="Muy Alta",AF140="Mayor")),"Alto",IF(OR(AND(AD140="Muy Baja",AF140="Catastrófico"),AND(AD140="Baja",AF140="Catastrófico"),AND(AD140="Media",AF140="Catastrófico"),AND(AD140="Alta",AF140="Catastrófico"),AND(AD140="Muy Alta",AF140="Catastrófico")),"Extremo","")))),"")</f>
        <v/>
      </c>
      <c r="AI140" s="323"/>
      <c r="AJ140" s="249"/>
      <c r="AK140" s="249"/>
      <c r="AL140" s="249"/>
      <c r="AM140" s="249"/>
      <c r="AN140" s="278"/>
      <c r="AO140" s="209"/>
      <c r="AP140" s="209"/>
      <c r="AQ140" s="244"/>
      <c r="AR140" s="263"/>
      <c r="AS140" s="209"/>
      <c r="AT140" s="293"/>
      <c r="AU140" s="293"/>
      <c r="AV140" s="293"/>
      <c r="AW140" s="293"/>
      <c r="AX140" s="293"/>
      <c r="AY140" s="293"/>
      <c r="AZ140" s="293"/>
      <c r="BA140" s="293"/>
      <c r="BB140" s="293"/>
      <c r="BC140" s="293"/>
      <c r="BD140" s="293"/>
      <c r="BE140" s="293"/>
      <c r="BF140" s="293"/>
      <c r="BG140" s="293"/>
      <c r="BH140" s="293"/>
      <c r="BI140" s="293"/>
      <c r="BJ140" s="293"/>
      <c r="BK140" s="293"/>
      <c r="BL140" s="293"/>
      <c r="BM140" s="293"/>
      <c r="BN140" s="293"/>
      <c r="BO140" s="293"/>
      <c r="BP140" s="293"/>
      <c r="BQ140" s="293"/>
      <c r="BR140" s="293"/>
      <c r="BS140" s="293"/>
      <c r="BT140" s="293"/>
      <c r="BU140" s="293"/>
      <c r="BV140" s="293"/>
      <c r="BW140" s="293"/>
      <c r="BX140" s="293"/>
      <c r="BY140" s="293"/>
      <c r="BZ140" s="293"/>
    </row>
    <row r="141" spans="1:78" s="295" customFormat="1" ht="8.25" customHeight="1" x14ac:dyDescent="0.2">
      <c r="A141" s="458"/>
      <c r="B141" s="451"/>
      <c r="C141" s="452"/>
      <c r="D141" s="453"/>
      <c r="E141" s="454"/>
      <c r="F141" s="454"/>
      <c r="G141" s="446"/>
      <c r="H141" s="456"/>
      <c r="I141" s="446"/>
      <c r="J141" s="446"/>
      <c r="K141" s="457"/>
      <c r="L141" s="447"/>
      <c r="M141" s="445"/>
      <c r="N141" s="455"/>
      <c r="O141" s="285">
        <f ca="1">IF(NOT(ISERROR(MATCH(N141,_xlfn.ANCHORARRAY(#REF!),0))),#REF!&amp;"Por favor no seleccionar los criterios de impacto",N141)</f>
        <v>0</v>
      </c>
      <c r="P141" s="447"/>
      <c r="Q141" s="445"/>
      <c r="R141" s="459"/>
      <c r="S141" s="248">
        <v>5</v>
      </c>
      <c r="T141" s="330"/>
      <c r="U141" s="245"/>
      <c r="V141" s="322" t="str">
        <f t="shared" si="258"/>
        <v/>
      </c>
      <c r="W141" s="323"/>
      <c r="X141" s="323"/>
      <c r="Y141" s="324" t="str">
        <f t="shared" si="259"/>
        <v/>
      </c>
      <c r="Z141" s="323"/>
      <c r="AA141" s="323"/>
      <c r="AB141" s="323"/>
      <c r="AC141" s="325" t="str">
        <f t="shared" si="255"/>
        <v/>
      </c>
      <c r="AD141" s="326" t="str">
        <f t="shared" si="252"/>
        <v/>
      </c>
      <c r="AE141" s="324" t="str">
        <f t="shared" si="256"/>
        <v/>
      </c>
      <c r="AF141" s="326" t="str">
        <f t="shared" si="253"/>
        <v/>
      </c>
      <c r="AG141" s="324" t="str">
        <f t="shared" si="257"/>
        <v/>
      </c>
      <c r="AH141" s="328" t="str">
        <f t="shared" ref="AH141:AH142" si="260">IFERROR(IF(OR(AND(AD141="Muy Baja",AF141="Leve"),AND(AD141="Muy Baja",AF141="Menor"),AND(AD141="Baja",AF141="Leve")),"Bajo",IF(OR(AND(AD141="Muy baja",AF141="Moderado"),AND(AD141="Baja",AF141="Menor"),AND(AD141="Baja",AF141="Moderado"),AND(AD141="Media",AF141="Leve"),AND(AD141="Media",AF141="Menor"),AND(AD141="Media",AF141="Moderado"),AND(AD141="Alta",AF141="Leve"),AND(AD141="Alta",AF141="Menor")),"Moderado",IF(OR(AND(AD141="Muy Baja",AF141="Mayor"),AND(AD141="Baja",AF141="Mayor"),AND(AD141="Media",AF141="Mayor"),AND(AD141="Alta",AF141="Moderado"),AND(AD141="Alta",AF141="Mayor"),AND(AD141="Muy Alta",AF141="Leve"),AND(AD141="Muy Alta",AF141="Menor"),AND(AD141="Muy Alta",AF141="Moderado"),AND(AD141="Muy Alta",AF141="Mayor")),"Alto",IF(OR(AND(AD141="Muy Baja",AF141="Catastrófico"),AND(AD141="Baja",AF141="Catastrófico"),AND(AD141="Media",AF141="Catastrófico"),AND(AD141="Alta",AF141="Catastrófico"),AND(AD141="Muy Alta",AF141="Catastrófico")),"Extremo","")))),"")</f>
        <v/>
      </c>
      <c r="AI141" s="323"/>
      <c r="AJ141" s="249"/>
      <c r="AK141" s="249"/>
      <c r="AL141" s="249"/>
      <c r="AM141" s="249"/>
      <c r="AN141" s="278"/>
      <c r="AO141" s="276"/>
      <c r="AP141" s="276"/>
      <c r="AQ141" s="278"/>
      <c r="AR141" s="211"/>
      <c r="AS141" s="211"/>
      <c r="AT141" s="293"/>
      <c r="AU141" s="293"/>
      <c r="AV141" s="293"/>
      <c r="AW141" s="293"/>
      <c r="AX141" s="293"/>
      <c r="AY141" s="293"/>
      <c r="AZ141" s="293"/>
      <c r="BA141" s="293"/>
      <c r="BB141" s="293"/>
      <c r="BC141" s="293"/>
      <c r="BD141" s="293"/>
      <c r="BE141" s="293"/>
      <c r="BF141" s="293"/>
      <c r="BG141" s="293"/>
      <c r="BH141" s="293"/>
      <c r="BI141" s="293"/>
      <c r="BJ141" s="293"/>
      <c r="BK141" s="293"/>
      <c r="BL141" s="293"/>
      <c r="BM141" s="293"/>
      <c r="BN141" s="293"/>
      <c r="BO141" s="293"/>
      <c r="BP141" s="293"/>
      <c r="BQ141" s="293"/>
      <c r="BR141" s="293"/>
      <c r="BS141" s="293"/>
      <c r="BT141" s="293"/>
      <c r="BU141" s="293"/>
      <c r="BV141" s="293"/>
      <c r="BW141" s="293"/>
      <c r="BX141" s="293"/>
      <c r="BY141" s="293"/>
      <c r="BZ141" s="293"/>
    </row>
    <row r="142" spans="1:78" s="295" customFormat="1" ht="8.25" customHeight="1" x14ac:dyDescent="0.2">
      <c r="A142" s="458"/>
      <c r="B142" s="451"/>
      <c r="C142" s="452"/>
      <c r="D142" s="453"/>
      <c r="E142" s="454"/>
      <c r="F142" s="454"/>
      <c r="G142" s="446"/>
      <c r="H142" s="456"/>
      <c r="I142" s="446"/>
      <c r="J142" s="446"/>
      <c r="K142" s="457"/>
      <c r="L142" s="447"/>
      <c r="M142" s="445"/>
      <c r="N142" s="455"/>
      <c r="O142" s="285">
        <f ca="1">IF(NOT(ISERROR(MATCH(N142,_xlfn.ANCHORARRAY(#REF!),0))),M49&amp;"Por favor no seleccionar los criterios de impacto",N142)</f>
        <v>0</v>
      </c>
      <c r="P142" s="447"/>
      <c r="Q142" s="445"/>
      <c r="R142" s="459"/>
      <c r="S142" s="248">
        <v>6</v>
      </c>
      <c r="T142" s="330"/>
      <c r="U142" s="245"/>
      <c r="V142" s="322" t="str">
        <f t="shared" si="258"/>
        <v/>
      </c>
      <c r="W142" s="323"/>
      <c r="X142" s="323"/>
      <c r="Y142" s="324" t="str">
        <f t="shared" si="259"/>
        <v/>
      </c>
      <c r="Z142" s="323"/>
      <c r="AA142" s="323"/>
      <c r="AB142" s="323"/>
      <c r="AC142" s="325" t="str">
        <f t="shared" si="255"/>
        <v/>
      </c>
      <c r="AD142" s="326" t="str">
        <f t="shared" si="252"/>
        <v/>
      </c>
      <c r="AE142" s="324" t="str">
        <f t="shared" si="256"/>
        <v/>
      </c>
      <c r="AF142" s="326" t="str">
        <f t="shared" si="253"/>
        <v/>
      </c>
      <c r="AG142" s="324" t="str">
        <f t="shared" si="257"/>
        <v/>
      </c>
      <c r="AH142" s="328" t="str">
        <f t="shared" si="260"/>
        <v/>
      </c>
      <c r="AI142" s="323"/>
      <c r="AJ142" s="249"/>
      <c r="AK142" s="249"/>
      <c r="AL142" s="249"/>
      <c r="AM142" s="249"/>
      <c r="AN142" s="278"/>
      <c r="AO142" s="276"/>
      <c r="AP142" s="276"/>
      <c r="AQ142" s="278"/>
      <c r="AR142" s="211"/>
      <c r="AS142" s="211"/>
      <c r="AT142" s="293"/>
      <c r="AU142" s="293"/>
      <c r="AV142" s="293"/>
      <c r="AW142" s="293"/>
      <c r="AX142" s="293"/>
      <c r="AY142" s="293"/>
      <c r="AZ142" s="293"/>
      <c r="BA142" s="293"/>
      <c r="BB142" s="293"/>
      <c r="BC142" s="293"/>
      <c r="BD142" s="293"/>
      <c r="BE142" s="293"/>
      <c r="BF142" s="293"/>
      <c r="BG142" s="293"/>
      <c r="BH142" s="293"/>
      <c r="BI142" s="293"/>
      <c r="BJ142" s="293"/>
      <c r="BK142" s="293"/>
      <c r="BL142" s="293"/>
      <c r="BM142" s="293"/>
      <c r="BN142" s="293"/>
      <c r="BO142" s="293"/>
      <c r="BP142" s="293"/>
      <c r="BQ142" s="293"/>
      <c r="BR142" s="293"/>
      <c r="BS142" s="293"/>
      <c r="BT142" s="293"/>
      <c r="BU142" s="293"/>
      <c r="BV142" s="293"/>
      <c r="BW142" s="293"/>
      <c r="BX142" s="293"/>
      <c r="BY142" s="293"/>
      <c r="BZ142" s="293"/>
    </row>
    <row r="143" spans="1:78" s="294" customFormat="1" ht="146.25" customHeight="1" x14ac:dyDescent="0.2">
      <c r="A143" s="458" t="s">
        <v>728</v>
      </c>
      <c r="B143" s="451" t="s">
        <v>830</v>
      </c>
      <c r="C143" s="452" t="s">
        <v>608</v>
      </c>
      <c r="D143" s="453" t="s">
        <v>620</v>
      </c>
      <c r="E143" s="454" t="s">
        <v>107</v>
      </c>
      <c r="F143" s="454" t="s">
        <v>1047</v>
      </c>
      <c r="G143" s="446" t="s">
        <v>675</v>
      </c>
      <c r="H143" s="446" t="s">
        <v>850</v>
      </c>
      <c r="I143" s="446" t="s">
        <v>654</v>
      </c>
      <c r="J143" s="446" t="s">
        <v>1048</v>
      </c>
      <c r="K143" s="457">
        <v>25</v>
      </c>
      <c r="L143" s="447" t="str">
        <f t="shared" ref="L143" si="261">IF(K143&lt;=0,"",IF(K143&lt;=2,"Muy Baja",IF(K143&lt;=24,"Baja",IF(K143&lt;=500,"Media",IF(K143&lt;=5000,"Alta","Muy Alta")))))</f>
        <v>Media</v>
      </c>
      <c r="M143" s="445">
        <f>IF(L143="","",IF(L143="Muy Baja",0.2,IF(L143="Baja",0.4,IF(L143="Media",0.6,IF(L143="Alta",0.8,IF(L143="Muy Alta",1,))))))</f>
        <v>0.6</v>
      </c>
      <c r="N143" s="455" t="s">
        <v>121</v>
      </c>
      <c r="O143" s="285" t="str">
        <f ca="1">IF(NOT(ISERROR(MATCH(N155,'Tabla Impacto'!$B$221:$B$223,0))),'Tabla Impacto'!$F$223&amp;"Por favor no seleccionar los criterios de impacto(Afectación Económica o presupuestal y Pérdida Reputacional)",N155)</f>
        <v xml:space="preserve">     Entre 50 y 100 SMLMV </v>
      </c>
      <c r="P143" s="447" t="str">
        <f ca="1">IF(OR(O143='Tabla Impacto'!$C$11,O143='Tabla Impacto'!$D$11),"Leve",IF(OR(O143='Tabla Impacto'!$C$12,O143='Tabla Impacto'!$D$12),"Menor",IF(OR(O143='Tabla Impacto'!$C$13,O143='Tabla Impacto'!$D$13),"Moderado",IF(OR(O143='Tabla Impacto'!$C$14,O143='Tabla Impacto'!$D$14),"Mayor",IF(OR(O143='Tabla Impacto'!$C$15,O143='Tabla Impacto'!$D$15),"Catastrófico","")))))</f>
        <v>Moderado</v>
      </c>
      <c r="Q143" s="445">
        <f ca="1">IF(P143="","",IF(P143="Leve",0.2,IF(P143="Menor",0.4,IF(P143="Moderado",0.6,IF(P143="Mayor",0.8,IF(P143="Catastrófico",1,))))))</f>
        <v>0.6</v>
      </c>
      <c r="R143" s="459" t="str">
        <f ca="1">IF(OR(AND(L143="Muy Baja",P143="Leve"),AND(L143="Muy Baja",P143="Menor"),AND(L143="Baja",P143="Leve")),"Bajo",IF(OR(AND(L143="Muy baja",P143="Moderado"),AND(L143="Baja",P143="Menor"),AND(L143="Baja",P143="Moderado"),AND(L143="Media",P143="Leve"),AND(L143="Media",P143="Menor"),AND(L143="Media",P143="Moderado"),AND(L143="Alta",P143="Leve"),AND(L143="Alta",P143="Menor")),"Moderado",IF(OR(AND(L143="Muy Baja",P143="Mayor"),AND(L143="Baja",P143="Mayor"),AND(L143="Media",P143="Mayor"),AND(L143="Alta",P143="Moderado"),AND(L143="Alta",P143="Mayor"),AND(L143="Muy Alta",P143="Leve"),AND(L143="Muy Alta",P143="Menor"),AND(L143="Muy Alta",P143="Moderado"),AND(L143="Muy Alta",P143="Mayor")),"Alto",IF(OR(AND(L143="Muy Baja",P143="Catastrófico"),AND(L143="Baja",P143="Catastrófico"),AND(L143="Media",P143="Catastrófico"),AND(L143="Alta",P143="Catastrófico"),AND(L143="Muy Alta",P143="Catastrófico")),"Extremo",""))))</f>
        <v>Moderado</v>
      </c>
      <c r="S143" s="248">
        <v>1</v>
      </c>
      <c r="T143" s="321" t="s">
        <v>851</v>
      </c>
      <c r="U143" s="245" t="s">
        <v>293</v>
      </c>
      <c r="V143" s="322" t="str">
        <f>IF(OR(W143="Preventivo",W143="Detectivo"),"Probabilidad",IF(W143="Correctivo","Impacto",""))</f>
        <v>Probabilidad</v>
      </c>
      <c r="W143" s="323" t="s">
        <v>13</v>
      </c>
      <c r="X143" s="323" t="s">
        <v>8</v>
      </c>
      <c r="Y143" s="324" t="str">
        <f>IF(AND(W143="Preventivo",X143="Automático"),"50%",IF(AND(W143="Preventivo",X143="Manual"),"40%",IF(AND(W143="Detectivo",X143="Automático"),"40%",IF(AND(W143="Detectivo",X143="Manual"),"30%",IF(AND(W143="Correctivo",X143="Automático"),"35%",IF(AND(W143="Correctivo",X143="Manual"),"25%",""))))))</f>
        <v>40%</v>
      </c>
      <c r="Z143" s="323" t="s">
        <v>18</v>
      </c>
      <c r="AA143" s="323" t="s">
        <v>21</v>
      </c>
      <c r="AB143" s="323" t="s">
        <v>103</v>
      </c>
      <c r="AC143" s="325">
        <f t="shared" ref="AC143" si="262">IFERROR(IF(V143="Probabilidad",(M143-(+M143*Y143)),IF(V143="Impacto",M143,"")),"")</f>
        <v>0.36</v>
      </c>
      <c r="AD143" s="326" t="str">
        <f>IFERROR(IF(AC143="","",IF(AC143&lt;=0.2,"Muy Baja",IF(AC143&lt;=0.4,"Baja",IF(AC143&lt;=0.6,"Media",IF(AC143&lt;=0.8,"Alta","Muy Alta"))))),"")</f>
        <v>Baja</v>
      </c>
      <c r="AE143" s="324">
        <f>+AC143</f>
        <v>0.36</v>
      </c>
      <c r="AF143" s="326" t="str">
        <f ca="1">IFERROR(IF(AG143="","",IF(AG143&lt;=0.2,"Leve",IF(AG143&lt;=0.4,"Menor",IF(AG143&lt;=0.6,"Moderado",IF(AG143&lt;=0.8,"Mayor","Catastrófico"))))),"")</f>
        <v>Moderado</v>
      </c>
      <c r="AG143" s="324">
        <f ca="1">IFERROR(IF(V143="Impacto",(Q143-(+Q143*Y143)),IF(V143="Probabilidad",Q143,"")),"")</f>
        <v>0.6</v>
      </c>
      <c r="AH143" s="328" t="str">
        <f ca="1">IFERROR(IF(OR(AND(AD143="Muy Baja",AF143="Leve"),AND(AD143="Muy Baja",AF143="Menor"),AND(AD143="Baja",AF143="Leve")),"Bajo",IF(OR(AND(AD143="Muy baja",AF143="Moderado"),AND(AD143="Baja",AF143="Menor"),AND(AD143="Baja",AF143="Moderado"),AND(AD143="Media",AF143="Leve"),AND(AD143="Media",AF143="Menor"),AND(AD143="Media",AF143="Moderado"),AND(AD143="Alta",AF143="Leve"),AND(AD143="Alta",AF143="Menor")),"Moderado",IF(OR(AND(AD143="Muy Baja",AF143="Mayor"),AND(AD143="Baja",AF143="Mayor"),AND(AD143="Media",AF143="Mayor"),AND(AD143="Alta",AF143="Moderado"),AND(AD143="Alta",AF143="Mayor"),AND(AD143="Muy Alta",AF143="Leve"),AND(AD143="Muy Alta",AF143="Menor"),AND(AD143="Muy Alta",AF143="Moderado"),AND(AD143="Muy Alta",AF143="Mayor")),"Alto",IF(OR(AND(AD143="Muy Baja",AF143="Catastrófico"),AND(AD143="Baja",AF143="Catastrófico"),AND(AD143="Media",AF143="Catastrófico"),AND(AD143="Alta",AF143="Catastrófico"),AND(AD143="Muy Alta",AF143="Catastrófico")),"Extremo","")))),"")</f>
        <v>Moderado</v>
      </c>
      <c r="AI143" s="323" t="s">
        <v>26</v>
      </c>
      <c r="AJ143" s="249">
        <v>0</v>
      </c>
      <c r="AK143" s="249">
        <v>0</v>
      </c>
      <c r="AL143" s="249">
        <v>0</v>
      </c>
      <c r="AM143" s="249">
        <v>0</v>
      </c>
      <c r="AN143" s="282"/>
      <c r="AO143" s="259"/>
      <c r="AP143" s="259"/>
      <c r="AQ143" s="239"/>
      <c r="AR143" s="264"/>
      <c r="AS143" s="265"/>
      <c r="AT143" s="293"/>
      <c r="AU143" s="293"/>
      <c r="AV143" s="293"/>
      <c r="AW143" s="293"/>
      <c r="AX143" s="293"/>
      <c r="AY143" s="293"/>
      <c r="AZ143" s="293"/>
      <c r="BA143" s="293"/>
      <c r="BB143" s="293"/>
      <c r="BC143" s="293"/>
      <c r="BD143" s="293"/>
      <c r="BE143" s="293"/>
      <c r="BF143" s="293"/>
      <c r="BG143" s="293"/>
      <c r="BH143" s="293"/>
      <c r="BI143" s="293"/>
      <c r="BJ143" s="293"/>
      <c r="BK143" s="293"/>
      <c r="BL143" s="293"/>
      <c r="BM143" s="293"/>
      <c r="BN143" s="293"/>
      <c r="BO143" s="293"/>
      <c r="BP143" s="293"/>
      <c r="BQ143" s="293"/>
      <c r="BR143" s="293"/>
      <c r="BS143" s="293"/>
      <c r="BT143" s="293"/>
      <c r="BU143" s="293"/>
      <c r="BV143" s="293"/>
      <c r="BW143" s="293"/>
      <c r="BX143" s="293"/>
      <c r="BY143" s="293"/>
      <c r="BZ143" s="293"/>
    </row>
    <row r="144" spans="1:78" s="295" customFormat="1" ht="3" customHeight="1" x14ac:dyDescent="0.2">
      <c r="A144" s="458"/>
      <c r="B144" s="451"/>
      <c r="C144" s="452"/>
      <c r="D144" s="453"/>
      <c r="E144" s="454"/>
      <c r="F144" s="454"/>
      <c r="G144" s="446"/>
      <c r="H144" s="446"/>
      <c r="I144" s="446"/>
      <c r="J144" s="446"/>
      <c r="K144" s="457"/>
      <c r="L144" s="447"/>
      <c r="M144" s="445"/>
      <c r="N144" s="455"/>
      <c r="O144" s="285">
        <f ca="1">IF(NOT(ISERROR(MATCH(N144,_xlfn.ANCHORARRAY(H25),0))),M27&amp;"Por favor no seleccionar los criterios de impacto",N144)</f>
        <v>0</v>
      </c>
      <c r="P144" s="447"/>
      <c r="Q144" s="445"/>
      <c r="R144" s="459"/>
      <c r="S144" s="248">
        <v>2</v>
      </c>
      <c r="T144" s="330"/>
      <c r="U144" s="245"/>
      <c r="V144" s="322"/>
      <c r="W144" s="323"/>
      <c r="X144" s="323"/>
      <c r="Y144" s="324"/>
      <c r="Z144" s="323"/>
      <c r="AA144" s="323"/>
      <c r="AB144" s="323"/>
      <c r="AC144" s="325"/>
      <c r="AD144" s="326"/>
      <c r="AE144" s="324"/>
      <c r="AF144" s="326"/>
      <c r="AG144" s="324"/>
      <c r="AH144" s="328"/>
      <c r="AI144" s="323"/>
      <c r="AJ144" s="249"/>
      <c r="AK144" s="249"/>
      <c r="AL144" s="249"/>
      <c r="AM144" s="249"/>
      <c r="AN144" s="278"/>
      <c r="AO144" s="277"/>
      <c r="AP144" s="277"/>
      <c r="AQ144" s="276"/>
      <c r="AR144" s="263"/>
      <c r="AS144" s="277"/>
      <c r="AT144" s="293"/>
      <c r="AU144" s="293"/>
      <c r="AV144" s="293"/>
      <c r="AW144" s="293"/>
      <c r="AX144" s="293"/>
      <c r="AY144" s="293"/>
      <c r="AZ144" s="293"/>
      <c r="BA144" s="293"/>
      <c r="BB144" s="293"/>
      <c r="BC144" s="293"/>
      <c r="BD144" s="293"/>
      <c r="BE144" s="293"/>
      <c r="BF144" s="293"/>
      <c r="BG144" s="293"/>
      <c r="BH144" s="293"/>
      <c r="BI144" s="293"/>
      <c r="BJ144" s="293"/>
      <c r="BK144" s="293"/>
      <c r="BL144" s="293"/>
      <c r="BM144" s="293"/>
      <c r="BN144" s="293"/>
      <c r="BO144" s="293"/>
      <c r="BP144" s="293"/>
      <c r="BQ144" s="293"/>
      <c r="BR144" s="293"/>
      <c r="BS144" s="293"/>
      <c r="BT144" s="293"/>
      <c r="BU144" s="293"/>
      <c r="BV144" s="293"/>
      <c r="BW144" s="293"/>
      <c r="BX144" s="293"/>
      <c r="BY144" s="293"/>
      <c r="BZ144" s="293"/>
    </row>
    <row r="145" spans="1:78" s="295" customFormat="1" ht="3" customHeight="1" x14ac:dyDescent="0.2">
      <c r="A145" s="458"/>
      <c r="B145" s="451"/>
      <c r="C145" s="452"/>
      <c r="D145" s="453"/>
      <c r="E145" s="454"/>
      <c r="F145" s="454"/>
      <c r="G145" s="446"/>
      <c r="H145" s="446"/>
      <c r="I145" s="446"/>
      <c r="J145" s="446"/>
      <c r="K145" s="457"/>
      <c r="L145" s="447"/>
      <c r="M145" s="445"/>
      <c r="N145" s="455"/>
      <c r="O145" s="285">
        <f ca="1">IF(NOT(ISERROR(MATCH(N145,_xlfn.ANCHORARRAY(H26),0))),M28&amp;"Por favor no seleccionar los criterios de impacto",N145)</f>
        <v>0</v>
      </c>
      <c r="P145" s="447"/>
      <c r="Q145" s="445"/>
      <c r="R145" s="459"/>
      <c r="S145" s="248">
        <v>3</v>
      </c>
      <c r="T145" s="330"/>
      <c r="U145" s="245"/>
      <c r="V145" s="322" t="str">
        <f>IF(OR(W145="Preventivo",W145="Detectivo"),"Probabilidad",IF(W145="Correctivo","Impacto",""))</f>
        <v/>
      </c>
      <c r="W145" s="323"/>
      <c r="X145" s="323"/>
      <c r="Y145" s="324" t="str">
        <f>IF(AND(W145="Preventivo",X145="Automático"),"50%",IF(AND(W145="Preventivo",X145="Manual"),"40%",IF(AND(W145="Detectivo",X145="Automático"),"40%",IF(AND(W145="Detectivo",X145="Manual"),"30%",IF(AND(W145="Correctivo",X145="Automático"),"35%",IF(AND(W145="Correctivo",X145="Manual"),"25%",""))))))</f>
        <v/>
      </c>
      <c r="Z145" s="323"/>
      <c r="AA145" s="323"/>
      <c r="AB145" s="323"/>
      <c r="AC145" s="325" t="str">
        <f t="shared" ref="AC145:AC148" si="263">IFERROR(IF(AND(V144="Probabilidad",V145="Probabilidad"),(AE144-(+AE144*Y145)),IF(AND(V144="Impacto",V145="Probabilidad"),(AE143-(+AE143*Y145)),IF(V145="Impacto",AE144,""))),"")</f>
        <v/>
      </c>
      <c r="AD145" s="326" t="str">
        <f t="shared" ref="AD145:AD148" si="264">IFERROR(IF(AC145="","",IF(AC145&lt;=0.2,"Muy Baja",IF(AC145&lt;=0.4,"Baja",IF(AC145&lt;=0.6,"Media",IF(AC145&lt;=0.8,"Alta","Muy Alta"))))),"")</f>
        <v/>
      </c>
      <c r="AE145" s="324" t="str">
        <f t="shared" ref="AE145:AE148" si="265">+AC145</f>
        <v/>
      </c>
      <c r="AF145" s="326" t="str">
        <f t="shared" ref="AF145:AF148" si="266">IFERROR(IF(AG145="","",IF(AG145&lt;=0.2,"Leve",IF(AG145&lt;=0.4,"Menor",IF(AG145&lt;=0.6,"Moderado",IF(AG145&lt;=0.8,"Mayor","Catastrófico"))))),"")</f>
        <v/>
      </c>
      <c r="AG145" s="324" t="str">
        <f>IFERROR(IF(AND(V144="Impacto",V145="Impacto"),(AG144-(+AG144*Y145)),IF(V145="Impacto",(#REF!-(+#REF!*Y145)),IF(V145="Probabilidad",AG144,""))),"")</f>
        <v/>
      </c>
      <c r="AH145" s="328" t="str">
        <f t="shared" ref="AH145" si="267">IFERROR(IF(OR(AND(AD145="Muy Baja",AF145="Leve"),AND(AD145="Muy Baja",AF145="Menor"),AND(AD145="Baja",AF145="Leve")),"Bajo",IF(OR(AND(AD145="Muy baja",AF145="Moderado"),AND(AD145="Baja",AF145="Menor"),AND(AD145="Baja",AF145="Moderado"),AND(AD145="Media",AF145="Leve"),AND(AD145="Media",AF145="Menor"),AND(AD145="Media",AF145="Moderado"),AND(AD145="Alta",AF145="Leve"),AND(AD145="Alta",AF145="Menor")),"Moderado",IF(OR(AND(AD145="Muy Baja",AF145="Mayor"),AND(AD145="Baja",AF145="Mayor"),AND(AD145="Media",AF145="Mayor"),AND(AD145="Alta",AF145="Moderado"),AND(AD145="Alta",AF145="Mayor"),AND(AD145="Muy Alta",AF145="Leve"),AND(AD145="Muy Alta",AF145="Menor"),AND(AD145="Muy Alta",AF145="Moderado"),AND(AD145="Muy Alta",AF145="Mayor")),"Alto",IF(OR(AND(AD145="Muy Baja",AF145="Catastrófico"),AND(AD145="Baja",AF145="Catastrófico"),AND(AD145="Media",AF145="Catastrófico"),AND(AD145="Alta",AF145="Catastrófico"),AND(AD145="Muy Alta",AF145="Catastrófico")),"Extremo","")))),"")</f>
        <v/>
      </c>
      <c r="AI145" s="323"/>
      <c r="AJ145" s="249"/>
      <c r="AK145" s="249"/>
      <c r="AL145" s="249"/>
      <c r="AM145" s="249"/>
      <c r="AN145" s="278"/>
      <c r="AO145" s="277"/>
      <c r="AP145" s="277"/>
      <c r="AQ145" s="276"/>
      <c r="AR145" s="263"/>
      <c r="AS145" s="277"/>
      <c r="AT145" s="293"/>
      <c r="AU145" s="293"/>
      <c r="AV145" s="293"/>
      <c r="AW145" s="293"/>
      <c r="AX145" s="293"/>
      <c r="AY145" s="293"/>
      <c r="AZ145" s="293"/>
      <c r="BA145" s="293"/>
      <c r="BB145" s="293"/>
      <c r="BC145" s="293"/>
      <c r="BD145" s="293"/>
      <c r="BE145" s="293"/>
      <c r="BF145" s="293"/>
      <c r="BG145" s="293"/>
      <c r="BH145" s="293"/>
      <c r="BI145" s="293"/>
      <c r="BJ145" s="293"/>
      <c r="BK145" s="293"/>
      <c r="BL145" s="293"/>
      <c r="BM145" s="293"/>
      <c r="BN145" s="293"/>
      <c r="BO145" s="293"/>
      <c r="BP145" s="293"/>
      <c r="BQ145" s="293"/>
      <c r="BR145" s="293"/>
      <c r="BS145" s="293"/>
      <c r="BT145" s="293"/>
      <c r="BU145" s="293"/>
      <c r="BV145" s="293"/>
      <c r="BW145" s="293"/>
      <c r="BX145" s="293"/>
      <c r="BY145" s="293"/>
      <c r="BZ145" s="293"/>
    </row>
    <row r="146" spans="1:78" s="295" customFormat="1" ht="3" customHeight="1" x14ac:dyDescent="0.2">
      <c r="A146" s="458"/>
      <c r="B146" s="451"/>
      <c r="C146" s="452"/>
      <c r="D146" s="453"/>
      <c r="E146" s="454"/>
      <c r="F146" s="454"/>
      <c r="G146" s="446"/>
      <c r="H146" s="446"/>
      <c r="I146" s="446"/>
      <c r="J146" s="446"/>
      <c r="K146" s="457"/>
      <c r="L146" s="447"/>
      <c r="M146" s="445"/>
      <c r="N146" s="455"/>
      <c r="O146" s="285">
        <f ca="1">IF(NOT(ISERROR(MATCH(N146,_xlfn.ANCHORARRAY(H27),0))),M29&amp;"Por favor no seleccionar los criterios de impacto",N146)</f>
        <v>0</v>
      </c>
      <c r="P146" s="447"/>
      <c r="Q146" s="445"/>
      <c r="R146" s="459"/>
      <c r="S146" s="248">
        <v>4</v>
      </c>
      <c r="T146" s="330"/>
      <c r="U146" s="245"/>
      <c r="V146" s="322" t="str">
        <f t="shared" ref="V146:V148" si="268">IF(OR(W146="Preventivo",W146="Detectivo"),"Probabilidad",IF(W146="Correctivo","Impacto",""))</f>
        <v/>
      </c>
      <c r="W146" s="323"/>
      <c r="X146" s="323"/>
      <c r="Y146" s="324" t="str">
        <f t="shared" ref="Y146:Y148" si="269">IF(AND(W146="Preventivo",X146="Automático"),"50%",IF(AND(W146="Preventivo",X146="Manual"),"40%",IF(AND(W146="Detectivo",X146="Automático"),"40%",IF(AND(W146="Detectivo",X146="Manual"),"30%",IF(AND(W146="Correctivo",X146="Automático"),"35%",IF(AND(W146="Correctivo",X146="Manual"),"25%",""))))))</f>
        <v/>
      </c>
      <c r="Z146" s="323"/>
      <c r="AA146" s="323"/>
      <c r="AB146" s="323"/>
      <c r="AC146" s="325" t="str">
        <f t="shared" si="263"/>
        <v/>
      </c>
      <c r="AD146" s="326" t="str">
        <f t="shared" si="264"/>
        <v/>
      </c>
      <c r="AE146" s="324" t="str">
        <f t="shared" si="265"/>
        <v/>
      </c>
      <c r="AF146" s="326" t="str">
        <f t="shared" si="266"/>
        <v/>
      </c>
      <c r="AG146" s="324" t="str">
        <f>IFERROR(IF(AND(V145="Impacto",V146="Impacto"),(AG145-(+AG145*Y146)),IF(V146="Impacto",(#REF!-(+#REF!*Y146)),IF(V146="Probabilidad",AG145,""))),"")</f>
        <v/>
      </c>
      <c r="AH146" s="328" t="str">
        <f>IFERROR(IF(OR(AND(AD146="Muy Baja",AF146="Leve"),AND(AD146="Muy Baja",AF146="Menor"),AND(AD146="Baja",AF146="Leve")),"Bajo",IF(OR(AND(AD146="Muy baja",AF146="Moderado"),AND(AD146="Baja",AF146="Menor"),AND(AD146="Baja",AF146="Moderado"),AND(AD146="Media",AF146="Leve"),AND(AD146="Media",AF146="Menor"),AND(AD146="Media",AF146="Moderado"),AND(AD146="Alta",AF146="Leve"),AND(AD146="Alta",AF146="Menor")),"Moderado",IF(OR(AND(AD146="Muy Baja",AF146="Mayor"),AND(AD146="Baja",AF146="Mayor"),AND(AD146="Media",AF146="Mayor"),AND(AD146="Alta",AF146="Moderado"),AND(AD146="Alta",AF146="Mayor"),AND(AD146="Muy Alta",AF146="Leve"),AND(AD146="Muy Alta",AF146="Menor"),AND(AD146="Muy Alta",AF146="Moderado"),AND(AD146="Muy Alta",AF146="Mayor")),"Alto",IF(OR(AND(AD146="Muy Baja",AF146="Catastrófico"),AND(AD146="Baja",AF146="Catastrófico"),AND(AD146="Media",AF146="Catastrófico"),AND(AD146="Alta",AF146="Catastrófico"),AND(AD146="Muy Alta",AF146="Catastrófico")),"Extremo","")))),"")</f>
        <v/>
      </c>
      <c r="AI146" s="323"/>
      <c r="AJ146" s="249"/>
      <c r="AK146" s="249"/>
      <c r="AL146" s="249"/>
      <c r="AM146" s="249"/>
      <c r="AN146" s="278"/>
      <c r="AO146" s="209"/>
      <c r="AP146" s="209"/>
      <c r="AQ146" s="244"/>
      <c r="AR146" s="263"/>
      <c r="AS146" s="209"/>
      <c r="AT146" s="293"/>
      <c r="AU146" s="293"/>
      <c r="AV146" s="293"/>
      <c r="AW146" s="293"/>
      <c r="AX146" s="293"/>
      <c r="AY146" s="293"/>
      <c r="AZ146" s="293"/>
      <c r="BA146" s="293"/>
      <c r="BB146" s="293"/>
      <c r="BC146" s="293"/>
      <c r="BD146" s="293"/>
      <c r="BE146" s="293"/>
      <c r="BF146" s="293"/>
      <c r="BG146" s="293"/>
      <c r="BH146" s="293"/>
      <c r="BI146" s="293"/>
      <c r="BJ146" s="293"/>
      <c r="BK146" s="293"/>
      <c r="BL146" s="293"/>
      <c r="BM146" s="293"/>
      <c r="BN146" s="293"/>
      <c r="BO146" s="293"/>
      <c r="BP146" s="293"/>
      <c r="BQ146" s="293"/>
      <c r="BR146" s="293"/>
      <c r="BS146" s="293"/>
      <c r="BT146" s="293"/>
      <c r="BU146" s="293"/>
      <c r="BV146" s="293"/>
      <c r="BW146" s="293"/>
      <c r="BX146" s="293"/>
      <c r="BY146" s="293"/>
      <c r="BZ146" s="293"/>
    </row>
    <row r="147" spans="1:78" s="295" customFormat="1" ht="3" customHeight="1" x14ac:dyDescent="0.2">
      <c r="A147" s="458"/>
      <c r="B147" s="451"/>
      <c r="C147" s="452"/>
      <c r="D147" s="453"/>
      <c r="E147" s="454"/>
      <c r="F147" s="454"/>
      <c r="G147" s="446"/>
      <c r="H147" s="446"/>
      <c r="I147" s="446"/>
      <c r="J147" s="446"/>
      <c r="K147" s="457"/>
      <c r="L147" s="447"/>
      <c r="M147" s="445"/>
      <c r="N147" s="455"/>
      <c r="O147" s="285">
        <f ca="1">IF(NOT(ISERROR(MATCH(N147,_xlfn.ANCHORARRAY(H28),0))),M30&amp;"Por favor no seleccionar los criterios de impacto",N147)</f>
        <v>0</v>
      </c>
      <c r="P147" s="447"/>
      <c r="Q147" s="445"/>
      <c r="R147" s="459"/>
      <c r="S147" s="248">
        <v>5</v>
      </c>
      <c r="T147" s="330"/>
      <c r="U147" s="245"/>
      <c r="V147" s="322" t="str">
        <f t="shared" si="268"/>
        <v/>
      </c>
      <c r="W147" s="323"/>
      <c r="X147" s="323"/>
      <c r="Y147" s="324" t="str">
        <f t="shared" si="269"/>
        <v/>
      </c>
      <c r="Z147" s="323"/>
      <c r="AA147" s="323"/>
      <c r="AB147" s="323"/>
      <c r="AC147" s="325" t="str">
        <f t="shared" si="263"/>
        <v/>
      </c>
      <c r="AD147" s="326" t="str">
        <f t="shared" si="264"/>
        <v/>
      </c>
      <c r="AE147" s="324" t="str">
        <f t="shared" si="265"/>
        <v/>
      </c>
      <c r="AF147" s="326" t="str">
        <f t="shared" si="266"/>
        <v/>
      </c>
      <c r="AG147" s="324" t="str">
        <f>IFERROR(IF(AND(V146="Impacto",V147="Impacto"),(AG146-(+AG146*Y147)),IF(V147="Impacto",(#REF!-(+#REF!*Y147)),IF(V147="Probabilidad",AG146,""))),"")</f>
        <v/>
      </c>
      <c r="AH147" s="328" t="str">
        <f t="shared" ref="AH147:AH148" si="270">IFERROR(IF(OR(AND(AD147="Muy Baja",AF147="Leve"),AND(AD147="Muy Baja",AF147="Menor"),AND(AD147="Baja",AF147="Leve")),"Bajo",IF(OR(AND(AD147="Muy baja",AF147="Moderado"),AND(AD147="Baja",AF147="Menor"),AND(AD147="Baja",AF147="Moderado"),AND(AD147="Media",AF147="Leve"),AND(AD147="Media",AF147="Menor"),AND(AD147="Media",AF147="Moderado"),AND(AD147="Alta",AF147="Leve"),AND(AD147="Alta",AF147="Menor")),"Moderado",IF(OR(AND(AD147="Muy Baja",AF147="Mayor"),AND(AD147="Baja",AF147="Mayor"),AND(AD147="Media",AF147="Mayor"),AND(AD147="Alta",AF147="Moderado"),AND(AD147="Alta",AF147="Mayor"),AND(AD147="Muy Alta",AF147="Leve"),AND(AD147="Muy Alta",AF147="Menor"),AND(AD147="Muy Alta",AF147="Moderado"),AND(AD147="Muy Alta",AF147="Mayor")),"Alto",IF(OR(AND(AD147="Muy Baja",AF147="Catastrófico"),AND(AD147="Baja",AF147="Catastrófico"),AND(AD147="Media",AF147="Catastrófico"),AND(AD147="Alta",AF147="Catastrófico"),AND(AD147="Muy Alta",AF147="Catastrófico")),"Extremo","")))),"")</f>
        <v/>
      </c>
      <c r="AI147" s="323"/>
      <c r="AJ147" s="249"/>
      <c r="AK147" s="249"/>
      <c r="AL147" s="249"/>
      <c r="AM147" s="249"/>
      <c r="AN147" s="278"/>
      <c r="AO147" s="276"/>
      <c r="AP147" s="276"/>
      <c r="AQ147" s="278"/>
      <c r="AR147" s="211"/>
      <c r="AS147" s="211"/>
      <c r="AT147" s="293"/>
      <c r="AU147" s="293"/>
      <c r="AV147" s="293"/>
      <c r="AW147" s="293"/>
      <c r="AX147" s="293"/>
      <c r="AY147" s="293"/>
      <c r="AZ147" s="293"/>
      <c r="BA147" s="293"/>
      <c r="BB147" s="293"/>
      <c r="BC147" s="293"/>
      <c r="BD147" s="293"/>
      <c r="BE147" s="293"/>
      <c r="BF147" s="293"/>
      <c r="BG147" s="293"/>
      <c r="BH147" s="293"/>
      <c r="BI147" s="293"/>
      <c r="BJ147" s="293"/>
      <c r="BK147" s="293"/>
      <c r="BL147" s="293"/>
      <c r="BM147" s="293"/>
      <c r="BN147" s="293"/>
      <c r="BO147" s="293"/>
      <c r="BP147" s="293"/>
      <c r="BQ147" s="293"/>
      <c r="BR147" s="293"/>
      <c r="BS147" s="293"/>
      <c r="BT147" s="293"/>
      <c r="BU147" s="293"/>
      <c r="BV147" s="293"/>
      <c r="BW147" s="293"/>
      <c r="BX147" s="293"/>
      <c r="BY147" s="293"/>
      <c r="BZ147" s="293"/>
    </row>
    <row r="148" spans="1:78" s="295" customFormat="1" ht="3" customHeight="1" x14ac:dyDescent="0.2">
      <c r="A148" s="458"/>
      <c r="B148" s="451"/>
      <c r="C148" s="452"/>
      <c r="D148" s="453"/>
      <c r="E148" s="454"/>
      <c r="F148" s="454"/>
      <c r="G148" s="446"/>
      <c r="H148" s="446"/>
      <c r="I148" s="446"/>
      <c r="J148" s="446"/>
      <c r="K148" s="457"/>
      <c r="L148" s="447"/>
      <c r="M148" s="445"/>
      <c r="N148" s="455"/>
      <c r="O148" s="285">
        <f ca="1">IF(NOT(ISERROR(MATCH(N148,_xlfn.ANCHORARRAY(H29),0))),M37&amp;"Por favor no seleccionar los criterios de impacto",N148)</f>
        <v>0</v>
      </c>
      <c r="P148" s="447"/>
      <c r="Q148" s="445"/>
      <c r="R148" s="459"/>
      <c r="S148" s="248">
        <v>6</v>
      </c>
      <c r="T148" s="330"/>
      <c r="U148" s="245"/>
      <c r="V148" s="322" t="str">
        <f t="shared" si="268"/>
        <v/>
      </c>
      <c r="W148" s="323"/>
      <c r="X148" s="323"/>
      <c r="Y148" s="324" t="str">
        <f t="shared" si="269"/>
        <v/>
      </c>
      <c r="Z148" s="323"/>
      <c r="AA148" s="323"/>
      <c r="AB148" s="323"/>
      <c r="AC148" s="325" t="str">
        <f t="shared" si="263"/>
        <v/>
      </c>
      <c r="AD148" s="326" t="str">
        <f t="shared" si="264"/>
        <v/>
      </c>
      <c r="AE148" s="324" t="str">
        <f t="shared" si="265"/>
        <v/>
      </c>
      <c r="AF148" s="326" t="str">
        <f t="shared" si="266"/>
        <v/>
      </c>
      <c r="AG148" s="324" t="str">
        <f>IFERROR(IF(AND(V147="Impacto",V148="Impacto"),(AG147-(+AG147*Y148)),IF(V148="Impacto",(#REF!-(+#REF!*Y148)),IF(V148="Probabilidad",AG147,""))),"")</f>
        <v/>
      </c>
      <c r="AH148" s="328" t="str">
        <f t="shared" si="270"/>
        <v/>
      </c>
      <c r="AI148" s="323"/>
      <c r="AJ148" s="249"/>
      <c r="AK148" s="249"/>
      <c r="AL148" s="249"/>
      <c r="AM148" s="249"/>
      <c r="AN148" s="278"/>
      <c r="AO148" s="276"/>
      <c r="AP148" s="276"/>
      <c r="AQ148" s="278"/>
      <c r="AR148" s="211"/>
      <c r="AS148" s="211"/>
      <c r="AT148" s="293"/>
      <c r="AU148" s="293"/>
      <c r="AV148" s="293"/>
      <c r="AW148" s="293"/>
      <c r="AX148" s="293"/>
      <c r="AY148" s="293"/>
      <c r="AZ148" s="293"/>
      <c r="BA148" s="293"/>
      <c r="BB148" s="293"/>
      <c r="BC148" s="293"/>
      <c r="BD148" s="293"/>
      <c r="BE148" s="293"/>
      <c r="BF148" s="293"/>
      <c r="BG148" s="293"/>
      <c r="BH148" s="293"/>
      <c r="BI148" s="293"/>
      <c r="BJ148" s="293"/>
      <c r="BK148" s="293"/>
      <c r="BL148" s="293"/>
      <c r="BM148" s="293"/>
      <c r="BN148" s="293"/>
      <c r="BO148" s="293"/>
      <c r="BP148" s="293"/>
      <c r="BQ148" s="293"/>
      <c r="BR148" s="293"/>
      <c r="BS148" s="293"/>
      <c r="BT148" s="293"/>
      <c r="BU148" s="293"/>
      <c r="BV148" s="293"/>
      <c r="BW148" s="293"/>
      <c r="BX148" s="293"/>
      <c r="BY148" s="293"/>
      <c r="BZ148" s="293"/>
    </row>
    <row r="149" spans="1:78" s="294" customFormat="1" ht="135" customHeight="1" x14ac:dyDescent="0.2">
      <c r="A149" s="458" t="s">
        <v>733</v>
      </c>
      <c r="B149" s="451" t="s">
        <v>830</v>
      </c>
      <c r="C149" s="452" t="s">
        <v>608</v>
      </c>
      <c r="D149" s="453" t="s">
        <v>620</v>
      </c>
      <c r="E149" s="454" t="s">
        <v>107</v>
      </c>
      <c r="F149" s="454" t="s">
        <v>852</v>
      </c>
      <c r="G149" s="454" t="s">
        <v>853</v>
      </c>
      <c r="H149" s="446" t="s">
        <v>854</v>
      </c>
      <c r="I149" s="446" t="s">
        <v>654</v>
      </c>
      <c r="J149" s="446" t="s">
        <v>1049</v>
      </c>
      <c r="K149" s="457">
        <v>11</v>
      </c>
      <c r="L149" s="447" t="str">
        <f t="shared" ref="L149" si="271">IF(K149&lt;=0,"",IF(K149&lt;=2,"Muy Baja",IF(K149&lt;=24,"Baja",IF(K149&lt;=500,"Media",IF(K149&lt;=5000,"Alta","Muy Alta")))))</f>
        <v>Baja</v>
      </c>
      <c r="M149" s="445">
        <f>IF(L149="","",IF(L149="Muy Baja",0.2,IF(L149="Baja",0.4,IF(L149="Media",0.6,IF(L149="Alta",0.8,IF(L149="Muy Alta",1,))))))</f>
        <v>0.4</v>
      </c>
      <c r="N149" s="455" t="s">
        <v>121</v>
      </c>
      <c r="O149" s="285" t="str">
        <f ca="1">IF(NOT(ISERROR(MATCH(N155,'Tabla Impacto'!$B$221:$B$223,0))),'Tabla Impacto'!$F$223&amp;"Por favor no seleccionar los criterios de impacto(Afectación Económica o presupuestal y Pérdida Reputacional)",N155)</f>
        <v xml:space="preserve">     Entre 50 y 100 SMLMV </v>
      </c>
      <c r="P149" s="447" t="str">
        <f ca="1">IF(OR(O149='Tabla Impacto'!$C$11,O149='Tabla Impacto'!$D$11),"Leve",IF(OR(O149='Tabla Impacto'!$C$12,O149='Tabla Impacto'!$D$12),"Menor",IF(OR(O149='Tabla Impacto'!$C$13,O149='Tabla Impacto'!$D$13),"Moderado",IF(OR(O149='Tabla Impacto'!$C$14,O149='Tabla Impacto'!$D$14),"Mayor",IF(OR(O149='Tabla Impacto'!$C$15,O149='Tabla Impacto'!$D$15),"Catastrófico","")))))</f>
        <v>Moderado</v>
      </c>
      <c r="Q149" s="445">
        <f ca="1">IF(P149="","",IF(P149="Leve",0.2,IF(P149="Menor",0.4,IF(P149="Moderado",0.6,IF(P149="Mayor",0.8,IF(P149="Catastrófico",1,))))))</f>
        <v>0.6</v>
      </c>
      <c r="R149" s="459" t="str">
        <f ca="1">IF(OR(AND(L149="Muy Baja",P149="Leve"),AND(L149="Muy Baja",P149="Menor"),AND(L149="Baja",P149="Leve")),"Bajo",IF(OR(AND(L149="Muy baja",P149="Moderado"),AND(L149="Baja",P149="Menor"),AND(L149="Baja",P149="Moderado"),AND(L149="Media",P149="Leve"),AND(L149="Media",P149="Menor"),AND(L149="Media",P149="Moderado"),AND(L149="Alta",P149="Leve"),AND(L149="Alta",P149="Menor")),"Moderado",IF(OR(AND(L149="Muy Baja",P149="Mayor"),AND(L149="Baja",P149="Mayor"),AND(L149="Media",P149="Mayor"),AND(L149="Alta",P149="Moderado"),AND(L149="Alta",P149="Mayor"),AND(L149="Muy Alta",P149="Leve"),AND(L149="Muy Alta",P149="Menor"),AND(L149="Muy Alta",P149="Moderado"),AND(L149="Muy Alta",P149="Mayor")),"Alto",IF(OR(AND(L149="Muy Baja",P149="Catastrófico"),AND(L149="Baja",P149="Catastrófico"),AND(L149="Media",P149="Catastrófico"),AND(L149="Alta",P149="Catastrófico"),AND(L149="Muy Alta",P149="Catastrófico")),"Extremo",""))))</f>
        <v>Moderado</v>
      </c>
      <c r="S149" s="248">
        <v>1</v>
      </c>
      <c r="T149" s="321" t="s">
        <v>855</v>
      </c>
      <c r="U149" s="245" t="s">
        <v>293</v>
      </c>
      <c r="V149" s="322" t="str">
        <f>IF(OR(W149="Preventivo",W149="Detectivo"),"Probabilidad",IF(W149="Correctivo","Impacto",""))</f>
        <v>Probabilidad</v>
      </c>
      <c r="W149" s="323" t="s">
        <v>13</v>
      </c>
      <c r="X149" s="323" t="s">
        <v>8</v>
      </c>
      <c r="Y149" s="324" t="str">
        <f>IF(AND(W149="Preventivo",X149="Automático"),"50%",IF(AND(W149="Preventivo",X149="Manual"),"40%",IF(AND(W149="Detectivo",X149="Automático"),"40%",IF(AND(W149="Detectivo",X149="Manual"),"30%",IF(AND(W149="Correctivo",X149="Automático"),"35%",IF(AND(W149="Correctivo",X149="Manual"),"25%",""))))))</f>
        <v>40%</v>
      </c>
      <c r="Z149" s="323" t="s">
        <v>18</v>
      </c>
      <c r="AA149" s="323" t="s">
        <v>21</v>
      </c>
      <c r="AB149" s="323" t="s">
        <v>103</v>
      </c>
      <c r="AC149" s="325">
        <f t="shared" ref="AC149" si="272">IFERROR(IF(V149="Probabilidad",(M149-(+M149*Y149)),IF(V149="Impacto",M149,"")),"")</f>
        <v>0.24</v>
      </c>
      <c r="AD149" s="326" t="str">
        <f>IFERROR(IF(AC149="","",IF(AC149&lt;=0.2,"Muy Baja",IF(AC149&lt;=0.4,"Baja",IF(AC149&lt;=0.6,"Media",IF(AC149&lt;=0.8,"Alta","Muy Alta"))))),"")</f>
        <v>Baja</v>
      </c>
      <c r="AE149" s="324">
        <f>+AC149</f>
        <v>0.24</v>
      </c>
      <c r="AF149" s="326" t="str">
        <f ca="1">IFERROR(IF(AG149="","",IF(AG149&lt;=0.2,"Leve",IF(AG149&lt;=0.4,"Menor",IF(AG149&lt;=0.6,"Moderado",IF(AG149&lt;=0.8,"Mayor","Catastrófico"))))),"")</f>
        <v>Moderado</v>
      </c>
      <c r="AG149" s="324">
        <f ca="1">IFERROR(IF(V149="Impacto",(Q149-(+Q149*Y149)),IF(V149="Probabilidad",Q149,"")),"")</f>
        <v>0.6</v>
      </c>
      <c r="AH149" s="328" t="str">
        <f ca="1">IFERROR(IF(OR(AND(AD149="Muy Baja",AF149="Leve"),AND(AD149="Muy Baja",AF149="Menor"),AND(AD149="Baja",AF149="Leve")),"Bajo",IF(OR(AND(AD149="Muy baja",AF149="Moderado"),AND(AD149="Baja",AF149="Menor"),AND(AD149="Baja",AF149="Moderado"),AND(AD149="Media",AF149="Leve"),AND(AD149="Media",AF149="Menor"),AND(AD149="Media",AF149="Moderado"),AND(AD149="Alta",AF149="Leve"),AND(AD149="Alta",AF149="Menor")),"Moderado",IF(OR(AND(AD149="Muy Baja",AF149="Mayor"),AND(AD149="Baja",AF149="Mayor"),AND(AD149="Media",AF149="Mayor"),AND(AD149="Alta",AF149="Moderado"),AND(AD149="Alta",AF149="Mayor"),AND(AD149="Muy Alta",AF149="Leve"),AND(AD149="Muy Alta",AF149="Menor"),AND(AD149="Muy Alta",AF149="Moderado"),AND(AD149="Muy Alta",AF149="Mayor")),"Alto",IF(OR(AND(AD149="Muy Baja",AF149="Catastrófico"),AND(AD149="Baja",AF149="Catastrófico"),AND(AD149="Media",AF149="Catastrófico"),AND(AD149="Alta",AF149="Catastrófico"),AND(AD149="Muy Alta",AF149="Catastrófico")),"Extremo","")))),"")</f>
        <v>Moderado</v>
      </c>
      <c r="AI149" s="323" t="s">
        <v>26</v>
      </c>
      <c r="AJ149" s="249">
        <v>12</v>
      </c>
      <c r="AK149" s="249">
        <v>4</v>
      </c>
      <c r="AL149" s="249">
        <v>4</v>
      </c>
      <c r="AM149" s="249">
        <v>4</v>
      </c>
      <c r="AN149" s="282"/>
      <c r="AO149" s="259"/>
      <c r="AP149" s="259"/>
      <c r="AQ149" s="239"/>
      <c r="AR149" s="264"/>
      <c r="AS149" s="265"/>
      <c r="AT149" s="293"/>
      <c r="AU149" s="293"/>
      <c r="AV149" s="293"/>
      <c r="AW149" s="293"/>
      <c r="AX149" s="293"/>
      <c r="AY149" s="293"/>
      <c r="AZ149" s="293"/>
      <c r="BA149" s="293"/>
      <c r="BB149" s="293"/>
      <c r="BC149" s="293"/>
      <c r="BD149" s="293"/>
      <c r="BE149" s="293"/>
      <c r="BF149" s="293"/>
      <c r="BG149" s="293"/>
      <c r="BH149" s="293"/>
      <c r="BI149" s="293"/>
      <c r="BJ149" s="293"/>
      <c r="BK149" s="293"/>
      <c r="BL149" s="293"/>
      <c r="BM149" s="293"/>
      <c r="BN149" s="293"/>
      <c r="BO149" s="293"/>
      <c r="BP149" s="293"/>
      <c r="BQ149" s="293"/>
      <c r="BR149" s="293"/>
      <c r="BS149" s="293"/>
      <c r="BT149" s="293"/>
      <c r="BU149" s="293"/>
      <c r="BV149" s="293"/>
      <c r="BW149" s="293"/>
      <c r="BX149" s="293"/>
      <c r="BY149" s="293"/>
      <c r="BZ149" s="293"/>
    </row>
    <row r="150" spans="1:78" s="295" customFormat="1" ht="6.75" customHeight="1" x14ac:dyDescent="0.2">
      <c r="A150" s="458"/>
      <c r="B150" s="451"/>
      <c r="C150" s="452"/>
      <c r="D150" s="453"/>
      <c r="E150" s="454"/>
      <c r="F150" s="454"/>
      <c r="G150" s="454"/>
      <c r="H150" s="446"/>
      <c r="I150" s="446"/>
      <c r="J150" s="446"/>
      <c r="K150" s="457"/>
      <c r="L150" s="447"/>
      <c r="M150" s="445"/>
      <c r="N150" s="455"/>
      <c r="O150" s="285">
        <f ca="1">IF(NOT(ISERROR(MATCH(N150,_xlfn.ANCHORARRAY(H37),0))),M39&amp;"Por favor no seleccionar los criterios de impacto",N150)</f>
        <v>0</v>
      </c>
      <c r="P150" s="447"/>
      <c r="Q150" s="445"/>
      <c r="R150" s="459"/>
      <c r="S150" s="248">
        <v>2</v>
      </c>
      <c r="T150" s="321"/>
      <c r="U150" s="245"/>
      <c r="V150" s="322"/>
      <c r="W150" s="323"/>
      <c r="X150" s="323"/>
      <c r="Y150" s="324"/>
      <c r="Z150" s="323"/>
      <c r="AA150" s="323"/>
      <c r="AB150" s="323"/>
      <c r="AC150" s="325"/>
      <c r="AD150" s="326"/>
      <c r="AE150" s="324"/>
      <c r="AF150" s="326"/>
      <c r="AG150" s="324"/>
      <c r="AH150" s="328"/>
      <c r="AI150" s="323"/>
      <c r="AJ150" s="249"/>
      <c r="AK150" s="249"/>
      <c r="AL150" s="249"/>
      <c r="AM150" s="249"/>
      <c r="AN150" s="278"/>
      <c r="AO150" s="277"/>
      <c r="AP150" s="277"/>
      <c r="AQ150" s="276"/>
      <c r="AR150" s="263"/>
      <c r="AS150" s="277"/>
      <c r="AT150" s="293"/>
      <c r="AU150" s="293"/>
      <c r="AV150" s="293"/>
      <c r="AW150" s="293"/>
      <c r="AX150" s="293"/>
      <c r="AY150" s="293"/>
      <c r="AZ150" s="293"/>
      <c r="BA150" s="293"/>
      <c r="BB150" s="293"/>
      <c r="BC150" s="293"/>
      <c r="BD150" s="293"/>
      <c r="BE150" s="293"/>
      <c r="BF150" s="293"/>
      <c r="BG150" s="293"/>
      <c r="BH150" s="293"/>
      <c r="BI150" s="293"/>
      <c r="BJ150" s="293"/>
      <c r="BK150" s="293"/>
      <c r="BL150" s="293"/>
      <c r="BM150" s="293"/>
      <c r="BN150" s="293"/>
      <c r="BO150" s="293"/>
      <c r="BP150" s="293"/>
      <c r="BQ150" s="293"/>
      <c r="BR150" s="293"/>
      <c r="BS150" s="293"/>
      <c r="BT150" s="293"/>
      <c r="BU150" s="293"/>
      <c r="BV150" s="293"/>
      <c r="BW150" s="293"/>
      <c r="BX150" s="293"/>
      <c r="BY150" s="293"/>
      <c r="BZ150" s="293"/>
    </row>
    <row r="151" spans="1:78" s="295" customFormat="1" ht="10.5" customHeight="1" x14ac:dyDescent="0.2">
      <c r="A151" s="458"/>
      <c r="B151" s="451"/>
      <c r="C151" s="452"/>
      <c r="D151" s="453"/>
      <c r="E151" s="454"/>
      <c r="F151" s="454"/>
      <c r="G151" s="454"/>
      <c r="H151" s="446"/>
      <c r="I151" s="446"/>
      <c r="J151" s="446"/>
      <c r="K151" s="457"/>
      <c r="L151" s="447"/>
      <c r="M151" s="445"/>
      <c r="N151" s="455"/>
      <c r="O151" s="285">
        <f ca="1">IF(NOT(ISERROR(MATCH(N151,_xlfn.ANCHORARRAY(H38),0))),M40&amp;"Por favor no seleccionar los criterios de impacto",N151)</f>
        <v>0</v>
      </c>
      <c r="P151" s="447"/>
      <c r="Q151" s="445"/>
      <c r="R151" s="459"/>
      <c r="S151" s="248">
        <v>3</v>
      </c>
      <c r="T151" s="330"/>
      <c r="U151" s="245"/>
      <c r="V151" s="322" t="str">
        <f>IF(OR(W151="Preventivo",W151="Detectivo"),"Probabilidad",IF(W151="Correctivo","Impacto",""))</f>
        <v/>
      </c>
      <c r="W151" s="323"/>
      <c r="X151" s="323"/>
      <c r="Y151" s="324" t="str">
        <f>IF(AND(W151="Preventivo",X151="Automático"),"50%",IF(AND(W151="Preventivo",X151="Manual"),"40%",IF(AND(W151="Detectivo",X151="Automático"),"40%",IF(AND(W151="Detectivo",X151="Manual"),"30%",IF(AND(W151="Correctivo",X151="Automático"),"35%",IF(AND(W151="Correctivo",X151="Manual"),"25%",""))))))</f>
        <v/>
      </c>
      <c r="Z151" s="323"/>
      <c r="AA151" s="323"/>
      <c r="AB151" s="323"/>
      <c r="AC151" s="325" t="str">
        <f t="shared" ref="AC151:AC154" si="273">IFERROR(IF(AND(V150="Probabilidad",V151="Probabilidad"),(AE150-(+AE150*Y151)),IF(AND(V150="Impacto",V151="Probabilidad"),(AE149-(+AE149*Y151)),IF(V151="Impacto",AE150,""))),"")</f>
        <v/>
      </c>
      <c r="AD151" s="326" t="str">
        <f t="shared" ref="AD151:AD154" si="274">IFERROR(IF(AC151="","",IF(AC151&lt;=0.2,"Muy Baja",IF(AC151&lt;=0.4,"Baja",IF(AC151&lt;=0.6,"Media",IF(AC151&lt;=0.8,"Alta","Muy Alta"))))),"")</f>
        <v/>
      </c>
      <c r="AE151" s="324" t="str">
        <f t="shared" ref="AE151:AE154" si="275">+AC151</f>
        <v/>
      </c>
      <c r="AF151" s="326" t="str">
        <f t="shared" ref="AF151:AF154" si="276">IFERROR(IF(AG151="","",IF(AG151&lt;=0.2,"Leve",IF(AG151&lt;=0.4,"Menor",IF(AG151&lt;=0.6,"Moderado",IF(AG151&lt;=0.8,"Mayor","Catastrófico"))))),"")</f>
        <v/>
      </c>
      <c r="AG151" s="324" t="str">
        <f>IFERROR(IF(AND(V150="Impacto",V151="Impacto"),(AG150-(+AG150*Y151)),IF(V151="Impacto",(#REF!-(+#REF!*Y151)),IF(V151="Probabilidad",AG150,""))),"")</f>
        <v/>
      </c>
      <c r="AH151" s="328" t="str">
        <f t="shared" ref="AH151" si="277">IFERROR(IF(OR(AND(AD151="Muy Baja",AF151="Leve"),AND(AD151="Muy Baja",AF151="Menor"),AND(AD151="Baja",AF151="Leve")),"Bajo",IF(OR(AND(AD151="Muy baja",AF151="Moderado"),AND(AD151="Baja",AF151="Menor"),AND(AD151="Baja",AF151="Moderado"),AND(AD151="Media",AF151="Leve"),AND(AD151="Media",AF151="Menor"),AND(AD151="Media",AF151="Moderado"),AND(AD151="Alta",AF151="Leve"),AND(AD151="Alta",AF151="Menor")),"Moderado",IF(OR(AND(AD151="Muy Baja",AF151="Mayor"),AND(AD151="Baja",AF151="Mayor"),AND(AD151="Media",AF151="Mayor"),AND(AD151="Alta",AF151="Moderado"),AND(AD151="Alta",AF151="Mayor"),AND(AD151="Muy Alta",AF151="Leve"),AND(AD151="Muy Alta",AF151="Menor"),AND(AD151="Muy Alta",AF151="Moderado"),AND(AD151="Muy Alta",AF151="Mayor")),"Alto",IF(OR(AND(AD151="Muy Baja",AF151="Catastrófico"),AND(AD151="Baja",AF151="Catastrófico"),AND(AD151="Media",AF151="Catastrófico"),AND(AD151="Alta",AF151="Catastrófico"),AND(AD151="Muy Alta",AF151="Catastrófico")),"Extremo","")))),"")</f>
        <v/>
      </c>
      <c r="AI151" s="323"/>
      <c r="AJ151" s="249"/>
      <c r="AK151" s="249"/>
      <c r="AL151" s="249"/>
      <c r="AM151" s="249"/>
      <c r="AN151" s="278"/>
      <c r="AO151" s="277"/>
      <c r="AP151" s="277"/>
      <c r="AQ151" s="276"/>
      <c r="AR151" s="263"/>
      <c r="AS151" s="277"/>
      <c r="AT151" s="293"/>
      <c r="AU151" s="293"/>
      <c r="AV151" s="293"/>
      <c r="AW151" s="293"/>
      <c r="AX151" s="293"/>
      <c r="AY151" s="293"/>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93"/>
    </row>
    <row r="152" spans="1:78" s="295" customFormat="1" ht="10.5" customHeight="1" x14ac:dyDescent="0.2">
      <c r="A152" s="458"/>
      <c r="B152" s="451"/>
      <c r="C152" s="452"/>
      <c r="D152" s="453"/>
      <c r="E152" s="454"/>
      <c r="F152" s="454"/>
      <c r="G152" s="454"/>
      <c r="H152" s="446"/>
      <c r="I152" s="446"/>
      <c r="J152" s="446"/>
      <c r="K152" s="457"/>
      <c r="L152" s="447"/>
      <c r="M152" s="445"/>
      <c r="N152" s="455"/>
      <c r="O152" s="285">
        <f ca="1">IF(NOT(ISERROR(MATCH(N152,_xlfn.ANCHORARRAY(H39),0))),M41&amp;"Por favor no seleccionar los criterios de impacto",N152)</f>
        <v>0</v>
      </c>
      <c r="P152" s="447"/>
      <c r="Q152" s="445"/>
      <c r="R152" s="459"/>
      <c r="S152" s="248">
        <v>4</v>
      </c>
      <c r="T152" s="330"/>
      <c r="U152" s="245"/>
      <c r="V152" s="322" t="str">
        <f t="shared" ref="V152:V154" si="278">IF(OR(W152="Preventivo",W152="Detectivo"),"Probabilidad",IF(W152="Correctivo","Impacto",""))</f>
        <v/>
      </c>
      <c r="W152" s="323"/>
      <c r="X152" s="323"/>
      <c r="Y152" s="324" t="str">
        <f t="shared" ref="Y152:Y154" si="279">IF(AND(W152="Preventivo",X152="Automático"),"50%",IF(AND(W152="Preventivo",X152="Manual"),"40%",IF(AND(W152="Detectivo",X152="Automático"),"40%",IF(AND(W152="Detectivo",X152="Manual"),"30%",IF(AND(W152="Correctivo",X152="Automático"),"35%",IF(AND(W152="Correctivo",X152="Manual"),"25%",""))))))</f>
        <v/>
      </c>
      <c r="Z152" s="323"/>
      <c r="AA152" s="323"/>
      <c r="AB152" s="323"/>
      <c r="AC152" s="325" t="str">
        <f t="shared" si="273"/>
        <v/>
      </c>
      <c r="AD152" s="326" t="str">
        <f t="shared" si="274"/>
        <v/>
      </c>
      <c r="AE152" s="324" t="str">
        <f t="shared" si="275"/>
        <v/>
      </c>
      <c r="AF152" s="326" t="str">
        <f t="shared" si="276"/>
        <v/>
      </c>
      <c r="AG152" s="324" t="str">
        <f>IFERROR(IF(AND(V151="Impacto",V152="Impacto"),(AG151-(+AG151*Y152)),IF(V152="Impacto",(#REF!-(+#REF!*Y152)),IF(V152="Probabilidad",AG151,""))),"")</f>
        <v/>
      </c>
      <c r="AH152" s="328" t="str">
        <f>IFERROR(IF(OR(AND(AD152="Muy Baja",AF152="Leve"),AND(AD152="Muy Baja",AF152="Menor"),AND(AD152="Baja",AF152="Leve")),"Bajo",IF(OR(AND(AD152="Muy baja",AF152="Moderado"),AND(AD152="Baja",AF152="Menor"),AND(AD152="Baja",AF152="Moderado"),AND(AD152="Media",AF152="Leve"),AND(AD152="Media",AF152="Menor"),AND(AD152="Media",AF152="Moderado"),AND(AD152="Alta",AF152="Leve"),AND(AD152="Alta",AF152="Menor")),"Moderado",IF(OR(AND(AD152="Muy Baja",AF152="Mayor"),AND(AD152="Baja",AF152="Mayor"),AND(AD152="Media",AF152="Mayor"),AND(AD152="Alta",AF152="Moderado"),AND(AD152="Alta",AF152="Mayor"),AND(AD152="Muy Alta",AF152="Leve"),AND(AD152="Muy Alta",AF152="Menor"),AND(AD152="Muy Alta",AF152="Moderado"),AND(AD152="Muy Alta",AF152="Mayor")),"Alto",IF(OR(AND(AD152="Muy Baja",AF152="Catastrófico"),AND(AD152="Baja",AF152="Catastrófico"),AND(AD152="Media",AF152="Catastrófico"),AND(AD152="Alta",AF152="Catastrófico"),AND(AD152="Muy Alta",AF152="Catastrófico")),"Extremo","")))),"")</f>
        <v/>
      </c>
      <c r="AI152" s="323"/>
      <c r="AJ152" s="249"/>
      <c r="AK152" s="249"/>
      <c r="AL152" s="249"/>
      <c r="AM152" s="249"/>
      <c r="AN152" s="278"/>
      <c r="AO152" s="209"/>
      <c r="AP152" s="209"/>
      <c r="AQ152" s="244"/>
      <c r="AR152" s="263"/>
      <c r="AS152" s="209"/>
      <c r="AT152" s="293"/>
      <c r="AU152" s="293"/>
      <c r="AV152" s="293"/>
      <c r="AW152" s="293"/>
      <c r="AX152" s="293"/>
      <c r="AY152" s="293"/>
      <c r="AZ152" s="293"/>
      <c r="BA152" s="293"/>
      <c r="BB152" s="293"/>
      <c r="BC152" s="293"/>
      <c r="BD152" s="293"/>
      <c r="BE152" s="293"/>
      <c r="BF152" s="293"/>
      <c r="BG152" s="293"/>
      <c r="BH152" s="293"/>
      <c r="BI152" s="293"/>
      <c r="BJ152" s="293"/>
      <c r="BK152" s="293"/>
      <c r="BL152" s="293"/>
      <c r="BM152" s="293"/>
      <c r="BN152" s="293"/>
      <c r="BO152" s="293"/>
      <c r="BP152" s="293"/>
      <c r="BQ152" s="293"/>
      <c r="BR152" s="293"/>
      <c r="BS152" s="293"/>
      <c r="BT152" s="293"/>
      <c r="BU152" s="293"/>
      <c r="BV152" s="293"/>
      <c r="BW152" s="293"/>
      <c r="BX152" s="293"/>
      <c r="BY152" s="293"/>
      <c r="BZ152" s="293"/>
    </row>
    <row r="153" spans="1:78" s="295" customFormat="1" ht="10.5" customHeight="1" x14ac:dyDescent="0.2">
      <c r="A153" s="458"/>
      <c r="B153" s="451"/>
      <c r="C153" s="452"/>
      <c r="D153" s="453"/>
      <c r="E153" s="454"/>
      <c r="F153" s="454"/>
      <c r="G153" s="454"/>
      <c r="H153" s="446"/>
      <c r="I153" s="446"/>
      <c r="J153" s="446"/>
      <c r="K153" s="457"/>
      <c r="L153" s="447"/>
      <c r="M153" s="445"/>
      <c r="N153" s="455"/>
      <c r="O153" s="285">
        <f ca="1">IF(NOT(ISERROR(MATCH(N153,_xlfn.ANCHORARRAY(H40),0))),M42&amp;"Por favor no seleccionar los criterios de impacto",N153)</f>
        <v>0</v>
      </c>
      <c r="P153" s="447"/>
      <c r="Q153" s="445"/>
      <c r="R153" s="459"/>
      <c r="S153" s="248">
        <v>5</v>
      </c>
      <c r="T153" s="330"/>
      <c r="U153" s="245"/>
      <c r="V153" s="322" t="str">
        <f t="shared" si="278"/>
        <v/>
      </c>
      <c r="W153" s="323"/>
      <c r="X153" s="323"/>
      <c r="Y153" s="324" t="str">
        <f t="shared" si="279"/>
        <v/>
      </c>
      <c r="Z153" s="323"/>
      <c r="AA153" s="323"/>
      <c r="AB153" s="323"/>
      <c r="AC153" s="325" t="str">
        <f t="shared" si="273"/>
        <v/>
      </c>
      <c r="AD153" s="326" t="str">
        <f t="shared" si="274"/>
        <v/>
      </c>
      <c r="AE153" s="324" t="str">
        <f t="shared" si="275"/>
        <v/>
      </c>
      <c r="AF153" s="326" t="str">
        <f t="shared" si="276"/>
        <v/>
      </c>
      <c r="AG153" s="324" t="str">
        <f>IFERROR(IF(AND(V152="Impacto",V153="Impacto"),(AG152-(+AG152*Y153)),IF(V153="Impacto",(#REF!-(+#REF!*Y153)),IF(V153="Probabilidad",AG152,""))),"")</f>
        <v/>
      </c>
      <c r="AH153" s="328" t="str">
        <f t="shared" ref="AH153:AH154" si="280">IFERROR(IF(OR(AND(AD153="Muy Baja",AF153="Leve"),AND(AD153="Muy Baja",AF153="Menor"),AND(AD153="Baja",AF153="Leve")),"Bajo",IF(OR(AND(AD153="Muy baja",AF153="Moderado"),AND(AD153="Baja",AF153="Menor"),AND(AD153="Baja",AF153="Moderado"),AND(AD153="Media",AF153="Leve"),AND(AD153="Media",AF153="Menor"),AND(AD153="Media",AF153="Moderado"),AND(AD153="Alta",AF153="Leve"),AND(AD153="Alta",AF153="Menor")),"Moderado",IF(OR(AND(AD153="Muy Baja",AF153="Mayor"),AND(AD153="Baja",AF153="Mayor"),AND(AD153="Media",AF153="Mayor"),AND(AD153="Alta",AF153="Moderado"),AND(AD153="Alta",AF153="Mayor"),AND(AD153="Muy Alta",AF153="Leve"),AND(AD153="Muy Alta",AF153="Menor"),AND(AD153="Muy Alta",AF153="Moderado"),AND(AD153="Muy Alta",AF153="Mayor")),"Alto",IF(OR(AND(AD153="Muy Baja",AF153="Catastrófico"),AND(AD153="Baja",AF153="Catastrófico"),AND(AD153="Media",AF153="Catastrófico"),AND(AD153="Alta",AF153="Catastrófico"),AND(AD153="Muy Alta",AF153="Catastrófico")),"Extremo","")))),"")</f>
        <v/>
      </c>
      <c r="AI153" s="323"/>
      <c r="AJ153" s="249"/>
      <c r="AK153" s="249"/>
      <c r="AL153" s="249"/>
      <c r="AM153" s="249"/>
      <c r="AN153" s="278"/>
      <c r="AO153" s="276"/>
      <c r="AP153" s="276"/>
      <c r="AQ153" s="278"/>
      <c r="AR153" s="211"/>
      <c r="AS153" s="211"/>
      <c r="AT153" s="293"/>
      <c r="AU153" s="293"/>
      <c r="AV153" s="293"/>
      <c r="AW153" s="293"/>
      <c r="AX153" s="293"/>
      <c r="AY153" s="293"/>
      <c r="AZ153" s="293"/>
      <c r="BA153" s="293"/>
      <c r="BB153" s="293"/>
      <c r="BC153" s="293"/>
      <c r="BD153" s="293"/>
      <c r="BE153" s="293"/>
      <c r="BF153" s="293"/>
      <c r="BG153" s="293"/>
      <c r="BH153" s="293"/>
      <c r="BI153" s="293"/>
      <c r="BJ153" s="293"/>
      <c r="BK153" s="293"/>
      <c r="BL153" s="293"/>
      <c r="BM153" s="293"/>
      <c r="BN153" s="293"/>
      <c r="BO153" s="293"/>
      <c r="BP153" s="293"/>
      <c r="BQ153" s="293"/>
      <c r="BR153" s="293"/>
      <c r="BS153" s="293"/>
      <c r="BT153" s="293"/>
      <c r="BU153" s="293"/>
      <c r="BV153" s="293"/>
      <c r="BW153" s="293"/>
      <c r="BX153" s="293"/>
      <c r="BY153" s="293"/>
      <c r="BZ153" s="293"/>
    </row>
    <row r="154" spans="1:78" s="295" customFormat="1" ht="10.5" customHeight="1" x14ac:dyDescent="0.2">
      <c r="A154" s="458"/>
      <c r="B154" s="451"/>
      <c r="C154" s="452"/>
      <c r="D154" s="453"/>
      <c r="E154" s="454"/>
      <c r="F154" s="454"/>
      <c r="G154" s="454"/>
      <c r="H154" s="446"/>
      <c r="I154" s="446"/>
      <c r="J154" s="446"/>
      <c r="K154" s="457"/>
      <c r="L154" s="447"/>
      <c r="M154" s="445"/>
      <c r="N154" s="455"/>
      <c r="O154" s="285">
        <f ca="1">IF(NOT(ISERROR(MATCH(N154,_xlfn.ANCHORARRAY(H41),0))),#REF!&amp;"Por favor no seleccionar los criterios de impacto",N154)</f>
        <v>0</v>
      </c>
      <c r="P154" s="447"/>
      <c r="Q154" s="445"/>
      <c r="R154" s="459"/>
      <c r="S154" s="248">
        <v>6</v>
      </c>
      <c r="T154" s="330"/>
      <c r="U154" s="245"/>
      <c r="V154" s="322" t="str">
        <f t="shared" si="278"/>
        <v/>
      </c>
      <c r="W154" s="323"/>
      <c r="X154" s="323"/>
      <c r="Y154" s="324" t="str">
        <f t="shared" si="279"/>
        <v/>
      </c>
      <c r="Z154" s="323"/>
      <c r="AA154" s="323"/>
      <c r="AB154" s="323"/>
      <c r="AC154" s="325" t="str">
        <f t="shared" si="273"/>
        <v/>
      </c>
      <c r="AD154" s="326" t="str">
        <f t="shared" si="274"/>
        <v/>
      </c>
      <c r="AE154" s="324" t="str">
        <f t="shared" si="275"/>
        <v/>
      </c>
      <c r="AF154" s="326" t="str">
        <f t="shared" si="276"/>
        <v/>
      </c>
      <c r="AG154" s="324" t="str">
        <f>IFERROR(IF(AND(V153="Impacto",V154="Impacto"),(AG153-(+AG153*Y154)),IF(V154="Impacto",(#REF!-(+#REF!*Y154)),IF(V154="Probabilidad",AG153,""))),"")</f>
        <v/>
      </c>
      <c r="AH154" s="328" t="str">
        <f t="shared" si="280"/>
        <v/>
      </c>
      <c r="AI154" s="323"/>
      <c r="AJ154" s="249"/>
      <c r="AK154" s="249"/>
      <c r="AL154" s="249"/>
      <c r="AM154" s="249"/>
      <c r="AN154" s="278"/>
      <c r="AO154" s="276"/>
      <c r="AP154" s="276"/>
      <c r="AQ154" s="278"/>
      <c r="AR154" s="211"/>
      <c r="AS154" s="211"/>
      <c r="AT154" s="293"/>
      <c r="AU154" s="293"/>
      <c r="AV154" s="293"/>
      <c r="AW154" s="293"/>
      <c r="AX154" s="293"/>
      <c r="AY154" s="293"/>
      <c r="AZ154" s="293"/>
      <c r="BA154" s="293"/>
      <c r="BB154" s="293"/>
      <c r="BC154" s="293"/>
      <c r="BD154" s="293"/>
      <c r="BE154" s="293"/>
      <c r="BF154" s="293"/>
      <c r="BG154" s="293"/>
      <c r="BH154" s="293"/>
      <c r="BI154" s="293"/>
      <c r="BJ154" s="293"/>
      <c r="BK154" s="293"/>
      <c r="BL154" s="293"/>
      <c r="BM154" s="293"/>
      <c r="BN154" s="293"/>
      <c r="BO154" s="293"/>
      <c r="BP154" s="293"/>
      <c r="BQ154" s="293"/>
      <c r="BR154" s="293"/>
      <c r="BS154" s="293"/>
      <c r="BT154" s="293"/>
      <c r="BU154" s="293"/>
      <c r="BV154" s="293"/>
      <c r="BW154" s="293"/>
      <c r="BX154" s="293"/>
      <c r="BY154" s="293"/>
      <c r="BZ154" s="293"/>
    </row>
    <row r="155" spans="1:78" s="294" customFormat="1" ht="114" x14ac:dyDescent="0.2">
      <c r="A155" s="458" t="s">
        <v>734</v>
      </c>
      <c r="B155" s="451" t="s">
        <v>830</v>
      </c>
      <c r="C155" s="452" t="s">
        <v>607</v>
      </c>
      <c r="D155" s="453" t="s">
        <v>620</v>
      </c>
      <c r="E155" s="454" t="s">
        <v>109</v>
      </c>
      <c r="F155" s="454" t="s">
        <v>857</v>
      </c>
      <c r="G155" s="446" t="s">
        <v>858</v>
      </c>
      <c r="H155" s="456" t="s">
        <v>856</v>
      </c>
      <c r="I155" s="446" t="s">
        <v>654</v>
      </c>
      <c r="J155" s="446" t="s">
        <v>735</v>
      </c>
      <c r="K155" s="457">
        <v>365</v>
      </c>
      <c r="L155" s="447" t="str">
        <f t="shared" ref="L155" si="281">IF(K155&lt;=0,"",IF(K155&lt;=2,"Muy Baja",IF(K155&lt;=24,"Baja",IF(K155&lt;=500,"Media",IF(K155&lt;=5000,"Alta","Muy Alta")))))</f>
        <v>Media</v>
      </c>
      <c r="M155" s="445">
        <f>IF(L155="","",IF(L155="Muy Baja",0.2,IF(L155="Baja",0.4,IF(L155="Media",0.6,IF(L155="Alta",0.8,IF(L155="Muy Alta",1,))))))</f>
        <v>0.6</v>
      </c>
      <c r="N155" s="455" t="s">
        <v>115</v>
      </c>
      <c r="O155" s="285" t="str">
        <f ca="1">IF(NOT(ISERROR(MATCH(N155,'Tabla Impacto'!$B$221:$B$223,0))),'Tabla Impacto'!$F$223&amp;"Por favor no seleccionar los criterios de impacto(Afectación Económica o presupuestal y Pérdida Reputacional)",N155)</f>
        <v xml:space="preserve">     Entre 50 y 100 SMLMV </v>
      </c>
      <c r="P155" s="447" t="str">
        <f ca="1">IF(OR(O155='Tabla Impacto'!$C$11,O155='Tabla Impacto'!$D$11),"Leve",IF(OR(O155='Tabla Impacto'!$C$12,O155='Tabla Impacto'!$D$12),"Menor",IF(OR(O155='Tabla Impacto'!$C$13,O155='Tabla Impacto'!$D$13),"Moderado",IF(OR(O155='Tabla Impacto'!$C$14,O155='Tabla Impacto'!$D$14),"Mayor",IF(OR(O155='Tabla Impacto'!$C$15,O155='Tabla Impacto'!$D$15),"Catastrófico","")))))</f>
        <v>Moderado</v>
      </c>
      <c r="Q155" s="445">
        <f ca="1">IF(P155="","",IF(P155="Leve",0.2,IF(P155="Menor",0.4,IF(P155="Moderado",0.6,IF(P155="Mayor",0.8,IF(P155="Catastrófico",1,))))))</f>
        <v>0.6</v>
      </c>
      <c r="R155" s="459" t="str">
        <f ca="1">IF(OR(AND(L155="Muy Baja",P155="Leve"),AND(L155="Muy Baja",P155="Menor"),AND(L155="Baja",P155="Leve")),"Bajo",IF(OR(AND(L155="Muy baja",P155="Moderado"),AND(L155="Baja",P155="Menor"),AND(L155="Baja",P155="Moderado"),AND(L155="Media",P155="Leve"),AND(L155="Media",P155="Menor"),AND(L155="Media",P155="Moderado"),AND(L155="Alta",P155="Leve"),AND(L155="Alta",P155="Menor")),"Moderado",IF(OR(AND(L155="Muy Baja",P155="Mayor"),AND(L155="Baja",P155="Mayor"),AND(L155="Media",P155="Mayor"),AND(L155="Alta",P155="Moderado"),AND(L155="Alta",P155="Mayor"),AND(L155="Muy Alta",P155="Leve"),AND(L155="Muy Alta",P155="Menor"),AND(L155="Muy Alta",P155="Moderado"),AND(L155="Muy Alta",P155="Mayor")),"Alto",IF(OR(AND(L155="Muy Baja",P155="Catastrófico"),AND(L155="Baja",P155="Catastrófico"),AND(L155="Media",P155="Catastrófico"),AND(L155="Alta",P155="Catastrófico"),AND(L155="Muy Alta",P155="Catastrófico")),"Extremo",""))))</f>
        <v>Moderado</v>
      </c>
      <c r="S155" s="248">
        <v>1</v>
      </c>
      <c r="T155" s="321" t="s">
        <v>808</v>
      </c>
      <c r="U155" s="245" t="s">
        <v>293</v>
      </c>
      <c r="V155" s="322" t="str">
        <f>IF(OR(W155="Preventivo",W155="Detectivo"),"Probabilidad",IF(W155="Correctivo","Impacto",""))</f>
        <v>Impacto</v>
      </c>
      <c r="W155" s="323" t="s">
        <v>15</v>
      </c>
      <c r="X155" s="323" t="s">
        <v>8</v>
      </c>
      <c r="Y155" s="324" t="str">
        <f>IF(AND(W155="Preventivo",X155="Automático"),"50%",IF(AND(W155="Preventivo",X155="Manual"),"40%",IF(AND(W155="Detectivo",X155="Automático"),"40%",IF(AND(W155="Detectivo",X155="Manual"),"30%",IF(AND(W155="Correctivo",X155="Automático"),"35%",IF(AND(W155="Correctivo",X155="Manual"),"25%",""))))))</f>
        <v>25%</v>
      </c>
      <c r="Z155" s="323" t="s">
        <v>18</v>
      </c>
      <c r="AA155" s="323" t="s">
        <v>21</v>
      </c>
      <c r="AB155" s="323" t="s">
        <v>103</v>
      </c>
      <c r="AC155" s="325">
        <f t="shared" ref="AC155" si="282">IFERROR(IF(V155="Probabilidad",(M155-(+M155*Y155)),IF(V155="Impacto",M155,"")),"")</f>
        <v>0.6</v>
      </c>
      <c r="AD155" s="326" t="str">
        <f>IFERROR(IF(AC155="","",IF(AC155&lt;=0.2,"Muy Baja",IF(AC155&lt;=0.4,"Baja",IF(AC155&lt;=0.6,"Media",IF(AC155&lt;=0.8,"Alta","Muy Alta"))))),"")</f>
        <v>Media</v>
      </c>
      <c r="AE155" s="324">
        <f>+AC155</f>
        <v>0.6</v>
      </c>
      <c r="AF155" s="326" t="str">
        <f ca="1">IFERROR(IF(AG155="","",IF(AG155&lt;=0.2,"Leve",IF(AG155&lt;=0.4,"Menor",IF(AG155&lt;=0.6,"Moderado",IF(AG155&lt;=0.8,"Mayor","Catastrófico"))))),"")</f>
        <v>Moderado</v>
      </c>
      <c r="AG155" s="324">
        <f ca="1">IFERROR(IF(V155="Impacto",(Q155-(+Q155*Y155)),IF(V155="Probabilidad",Q155,"")),"")</f>
        <v>0.44999999999999996</v>
      </c>
      <c r="AH155" s="328" t="str">
        <f ca="1">IFERROR(IF(OR(AND(AD155="Muy Baja",AF155="Leve"),AND(AD155="Muy Baja",AF155="Menor"),AND(AD155="Baja",AF155="Leve")),"Bajo",IF(OR(AND(AD155="Muy baja",AF155="Moderado"),AND(AD155="Baja",AF155="Menor"),AND(AD155="Baja",AF155="Moderado"),AND(AD155="Media",AF155="Leve"),AND(AD155="Media",AF155="Menor"),AND(AD155="Media",AF155="Moderado"),AND(AD155="Alta",AF155="Leve"),AND(AD155="Alta",AF155="Menor")),"Moderado",IF(OR(AND(AD155="Muy Baja",AF155="Mayor"),AND(AD155="Baja",AF155="Mayor"),AND(AD155="Media",AF155="Mayor"),AND(AD155="Alta",AF155="Moderado"),AND(AD155="Alta",AF155="Mayor"),AND(AD155="Muy Alta",AF155="Leve"),AND(AD155="Muy Alta",AF155="Menor"),AND(AD155="Muy Alta",AF155="Moderado"),AND(AD155="Muy Alta",AF155="Mayor")),"Alto",IF(OR(AND(AD155="Muy Baja",AF155="Catastrófico"),AND(AD155="Baja",AF155="Catastrófico"),AND(AD155="Media",AF155="Catastrófico"),AND(AD155="Alta",AF155="Catastrófico"),AND(AD155="Muy Alta",AF155="Catastrófico")),"Extremo","")))),"")</f>
        <v>Moderado</v>
      </c>
      <c r="AI155" s="323" t="s">
        <v>26</v>
      </c>
      <c r="AJ155" s="249">
        <v>12</v>
      </c>
      <c r="AK155" s="249">
        <v>4</v>
      </c>
      <c r="AL155" s="249">
        <v>4</v>
      </c>
      <c r="AM155" s="249">
        <v>4</v>
      </c>
      <c r="AN155" s="282"/>
      <c r="AO155" s="259"/>
      <c r="AP155" s="259"/>
      <c r="AQ155" s="239"/>
      <c r="AR155" s="264"/>
      <c r="AS155" s="265"/>
      <c r="AT155" s="293"/>
      <c r="AU155" s="293"/>
      <c r="AV155" s="293"/>
      <c r="AW155" s="293"/>
      <c r="AX155" s="293"/>
      <c r="AY155" s="293"/>
      <c r="AZ155" s="293"/>
      <c r="BA155" s="293"/>
      <c r="BB155" s="293"/>
      <c r="BC155" s="293"/>
      <c r="BD155" s="293"/>
      <c r="BE155" s="293"/>
      <c r="BF155" s="293"/>
      <c r="BG155" s="293"/>
      <c r="BH155" s="293"/>
      <c r="BI155" s="293"/>
      <c r="BJ155" s="293"/>
      <c r="BK155" s="293"/>
      <c r="BL155" s="293"/>
      <c r="BM155" s="293"/>
      <c r="BN155" s="293"/>
      <c r="BO155" s="293"/>
      <c r="BP155" s="293"/>
      <c r="BQ155" s="293"/>
      <c r="BR155" s="293"/>
      <c r="BS155" s="293"/>
      <c r="BT155" s="293"/>
      <c r="BU155" s="293"/>
      <c r="BV155" s="293"/>
      <c r="BW155" s="293"/>
      <c r="BX155" s="293"/>
      <c r="BY155" s="293"/>
      <c r="BZ155" s="293"/>
    </row>
    <row r="156" spans="1:78" s="295" customFormat="1" ht="99.75" x14ac:dyDescent="0.2">
      <c r="A156" s="458"/>
      <c r="B156" s="451"/>
      <c r="C156" s="452"/>
      <c r="D156" s="453"/>
      <c r="E156" s="454"/>
      <c r="F156" s="454"/>
      <c r="G156" s="446"/>
      <c r="H156" s="456"/>
      <c r="I156" s="446"/>
      <c r="J156" s="446"/>
      <c r="K156" s="457"/>
      <c r="L156" s="447"/>
      <c r="M156" s="445"/>
      <c r="N156" s="455"/>
      <c r="O156" s="285">
        <f ca="1">IF(NOT(ISERROR(MATCH(N156,_xlfn.ANCHORARRAY(#REF!),0))),#REF!&amp;"Por favor no seleccionar los criterios de impacto",N156)</f>
        <v>0</v>
      </c>
      <c r="P156" s="447"/>
      <c r="Q156" s="445"/>
      <c r="R156" s="459"/>
      <c r="S156" s="248">
        <v>2</v>
      </c>
      <c r="T156" s="321" t="s">
        <v>809</v>
      </c>
      <c r="U156" s="245" t="s">
        <v>293</v>
      </c>
      <c r="V156" s="322" t="str">
        <f>IF(OR(W156="Preventivo",W156="Detectivo"),"Probabilidad",IF(W156="Correctivo","Impacto",""))</f>
        <v>Probabilidad</v>
      </c>
      <c r="W156" s="323" t="s">
        <v>13</v>
      </c>
      <c r="X156" s="323" t="s">
        <v>8</v>
      </c>
      <c r="Y156" s="324" t="str">
        <f>IF(AND(W156="Preventivo",X156="Automático"),"50%",IF(AND(W156="Preventivo",X156="Manual"),"40%",IF(AND(W156="Detectivo",X156="Automático"),"40%",IF(AND(W156="Detectivo",X156="Manual"),"30%",IF(AND(W156="Correctivo",X156="Automático"),"35%",IF(AND(W156="Correctivo",X156="Manual"),"25%",""))))))</f>
        <v>40%</v>
      </c>
      <c r="Z156" s="323" t="s">
        <v>18</v>
      </c>
      <c r="AA156" s="323" t="s">
        <v>21</v>
      </c>
      <c r="AB156" s="323" t="s">
        <v>103</v>
      </c>
      <c r="AC156" s="325">
        <f t="shared" ref="AC156" si="283">IFERROR(IF(AND(V155="Probabilidad",V156="Probabilidad"),(AE155-(+AE155*Y156)),IF(V156="Probabilidad",(M155-(+M155*Y156)),IF(V156="Impacto",AE155,""))),"")</f>
        <v>0.36</v>
      </c>
      <c r="AD156" s="326" t="str">
        <f t="shared" ref="AD156:AD160" si="284">IFERROR(IF(AC156="","",IF(AC156&lt;=0.2,"Muy Baja",IF(AC156&lt;=0.4,"Baja",IF(AC156&lt;=0.6,"Media",IF(AC156&lt;=0.8,"Alta","Muy Alta"))))),"")</f>
        <v>Baja</v>
      </c>
      <c r="AE156" s="324">
        <f>+AC156</f>
        <v>0.36</v>
      </c>
      <c r="AF156" s="326" t="str">
        <f t="shared" ref="AF156:AF160" ca="1" si="285">IFERROR(IF(AG156="","",IF(AG156&lt;=0.2,"Leve",IF(AG156&lt;=0.4,"Menor",IF(AG156&lt;=0.6,"Moderado",IF(AG156&lt;=0.8,"Mayor","Catastrófico"))))),"")</f>
        <v>Moderado</v>
      </c>
      <c r="AG156" s="324">
        <f ca="1">IFERROR(IF(AND(V155="Impacto",V156="Impacto"),(AG155-(+AG155*Y156)),IF(V156="Impacto",($Q$155-(+$Q$155*Y156)),IF(V156="Probabilidad",AG155,""))),"")</f>
        <v>0.44999999999999996</v>
      </c>
      <c r="AH156" s="328" t="str">
        <f t="shared" ref="AH156:AH157" ca="1" si="286">IFERROR(IF(OR(AND(AD156="Muy Baja",AF156="Leve"),AND(AD156="Muy Baja",AF156="Menor"),AND(AD156="Baja",AF156="Leve")),"Bajo",IF(OR(AND(AD156="Muy baja",AF156="Moderado"),AND(AD156="Baja",AF156="Menor"),AND(AD156="Baja",AF156="Moderado"),AND(AD156="Media",AF156="Leve"),AND(AD156="Media",AF156="Menor"),AND(AD156="Media",AF156="Moderado"),AND(AD156="Alta",AF156="Leve"),AND(AD156="Alta",AF156="Menor")),"Moderado",IF(OR(AND(AD156="Muy Baja",AF156="Mayor"),AND(AD156="Baja",AF156="Mayor"),AND(AD156="Media",AF156="Mayor"),AND(AD156="Alta",AF156="Moderado"),AND(AD156="Alta",AF156="Mayor"),AND(AD156="Muy Alta",AF156="Leve"),AND(AD156="Muy Alta",AF156="Menor"),AND(AD156="Muy Alta",AF156="Moderado"),AND(AD156="Muy Alta",AF156="Mayor")),"Alto",IF(OR(AND(AD156="Muy Baja",AF156="Catastrófico"),AND(AD156="Baja",AF156="Catastrófico"),AND(AD156="Media",AF156="Catastrófico"),AND(AD156="Alta",AF156="Catastrófico"),AND(AD156="Muy Alta",AF156="Catastrófico")),"Extremo","")))),"")</f>
        <v>Moderado</v>
      </c>
      <c r="AI156" s="323" t="s">
        <v>26</v>
      </c>
      <c r="AJ156" s="249">
        <v>12</v>
      </c>
      <c r="AK156" s="249">
        <v>4</v>
      </c>
      <c r="AL156" s="249">
        <v>4</v>
      </c>
      <c r="AM156" s="249">
        <v>4</v>
      </c>
      <c r="AN156" s="249"/>
      <c r="AO156" s="277"/>
      <c r="AP156" s="277"/>
      <c r="AQ156" s="276"/>
      <c r="AR156" s="263"/>
      <c r="AS156" s="277"/>
      <c r="AT156" s="293"/>
      <c r="AU156" s="293"/>
      <c r="AV156" s="293"/>
      <c r="AW156" s="293"/>
      <c r="AX156" s="293"/>
      <c r="AY156" s="293"/>
      <c r="AZ156" s="293"/>
      <c r="BA156" s="293"/>
      <c r="BB156" s="293"/>
      <c r="BC156" s="293"/>
      <c r="BD156" s="293"/>
      <c r="BE156" s="293"/>
      <c r="BF156" s="293"/>
      <c r="BG156" s="293"/>
      <c r="BH156" s="293"/>
      <c r="BI156" s="293"/>
      <c r="BJ156" s="293"/>
      <c r="BK156" s="293"/>
      <c r="BL156" s="293"/>
      <c r="BM156" s="293"/>
      <c r="BN156" s="293"/>
      <c r="BO156" s="293"/>
      <c r="BP156" s="293"/>
      <c r="BQ156" s="293"/>
      <c r="BR156" s="293"/>
      <c r="BS156" s="293"/>
      <c r="BT156" s="293"/>
      <c r="BU156" s="293"/>
      <c r="BV156" s="293"/>
      <c r="BW156" s="293"/>
      <c r="BX156" s="293"/>
      <c r="BY156" s="293"/>
      <c r="BZ156" s="293"/>
    </row>
    <row r="157" spans="1:78" s="295" customFormat="1" ht="85.5" x14ac:dyDescent="0.2">
      <c r="A157" s="458"/>
      <c r="B157" s="451"/>
      <c r="C157" s="452"/>
      <c r="D157" s="453"/>
      <c r="E157" s="454"/>
      <c r="F157" s="454"/>
      <c r="G157" s="446"/>
      <c r="H157" s="456"/>
      <c r="I157" s="446"/>
      <c r="J157" s="446"/>
      <c r="K157" s="457"/>
      <c r="L157" s="447"/>
      <c r="M157" s="445"/>
      <c r="N157" s="455"/>
      <c r="O157" s="285">
        <f ca="1">IF(NOT(ISERROR(MATCH(N157,_xlfn.ANCHORARRAY(#REF!),0))),#REF!&amp;"Por favor no seleccionar los criterios de impacto",N157)</f>
        <v>0</v>
      </c>
      <c r="P157" s="447"/>
      <c r="Q157" s="445"/>
      <c r="R157" s="459"/>
      <c r="S157" s="248">
        <v>3</v>
      </c>
      <c r="T157" s="321" t="s">
        <v>810</v>
      </c>
      <c r="U157" s="245" t="s">
        <v>293</v>
      </c>
      <c r="V157" s="322" t="str">
        <f>IF(OR(W157="Preventivo",W157="Detectivo"),"Probabilidad",IF(W157="Correctivo","Impacto",""))</f>
        <v>Impacto</v>
      </c>
      <c r="W157" s="323" t="s">
        <v>15</v>
      </c>
      <c r="X157" s="323" t="s">
        <v>8</v>
      </c>
      <c r="Y157" s="324" t="str">
        <f>IF(AND(W157="Preventivo",X157="Automático"),"50%",IF(AND(W157="Preventivo",X157="Manual"),"40%",IF(AND(W157="Detectivo",X157="Automático"),"40%",IF(AND(W157="Detectivo",X157="Manual"),"30%",IF(AND(W157="Correctivo",X157="Automático"),"35%",IF(AND(W157="Correctivo",X157="Manual"),"25%",""))))))</f>
        <v>25%</v>
      </c>
      <c r="Z157" s="323" t="s">
        <v>18</v>
      </c>
      <c r="AA157" s="323" t="s">
        <v>21</v>
      </c>
      <c r="AB157" s="323" t="s">
        <v>103</v>
      </c>
      <c r="AC157" s="325">
        <f t="shared" ref="AC157:AC160" si="287">IFERROR(IF(AND(V156="Probabilidad",V157="Probabilidad"),(AE156-(+AE156*Y157)),IF(AND(V156="Impacto",V157="Probabilidad"),(AE155-(+AE155*Y157)),IF(V157="Impacto",AE156,""))),"")</f>
        <v>0.36</v>
      </c>
      <c r="AD157" s="326" t="str">
        <f t="shared" si="284"/>
        <v>Baja</v>
      </c>
      <c r="AE157" s="324">
        <f t="shared" ref="AE157:AE160" si="288">+AC157</f>
        <v>0.36</v>
      </c>
      <c r="AF157" s="326" t="str">
        <f t="shared" ca="1" si="285"/>
        <v>Moderado</v>
      </c>
      <c r="AG157" s="324">
        <f t="shared" ref="AG157:AG158" ca="1" si="289">IFERROR(IF(AND(V156="Impacto",V157="Impacto"),(AG156-(+AG156*Y157)),IF(V157="Impacto",($Q$155-(+$Q$155*Y157)),IF(V157="Probabilidad",AG156,""))),"")</f>
        <v>0.44999999999999996</v>
      </c>
      <c r="AH157" s="328" t="str">
        <f t="shared" ca="1" si="286"/>
        <v>Moderado</v>
      </c>
      <c r="AI157" s="323" t="s">
        <v>26</v>
      </c>
      <c r="AJ157" s="249">
        <v>0</v>
      </c>
      <c r="AK157" s="249">
        <v>0</v>
      </c>
      <c r="AL157" s="249">
        <v>0</v>
      </c>
      <c r="AM157" s="249">
        <v>0</v>
      </c>
      <c r="AN157" s="278"/>
      <c r="AO157" s="277"/>
      <c r="AP157" s="277"/>
      <c r="AQ157" s="276"/>
      <c r="AR157" s="263"/>
      <c r="AS157" s="277"/>
      <c r="AT157" s="293"/>
      <c r="AU157" s="293"/>
      <c r="AV157" s="293"/>
      <c r="AW157" s="293"/>
      <c r="AX157" s="293"/>
      <c r="AY157" s="293"/>
      <c r="AZ157" s="293"/>
      <c r="BA157" s="293"/>
      <c r="BB157" s="293"/>
      <c r="BC157" s="293"/>
      <c r="BD157" s="293"/>
      <c r="BE157" s="293"/>
      <c r="BF157" s="293"/>
      <c r="BG157" s="293"/>
      <c r="BH157" s="293"/>
      <c r="BI157" s="293"/>
      <c r="BJ157" s="293"/>
      <c r="BK157" s="293"/>
      <c r="BL157" s="293"/>
      <c r="BM157" s="293"/>
      <c r="BN157" s="293"/>
      <c r="BO157" s="293"/>
      <c r="BP157" s="293"/>
      <c r="BQ157" s="293"/>
      <c r="BR157" s="293"/>
      <c r="BS157" s="293"/>
      <c r="BT157" s="293"/>
      <c r="BU157" s="293"/>
      <c r="BV157" s="293"/>
      <c r="BW157" s="293"/>
      <c r="BX157" s="293"/>
      <c r="BY157" s="293"/>
      <c r="BZ157" s="293"/>
    </row>
    <row r="158" spans="1:78" s="295" customFormat="1" ht="90.75" customHeight="1" x14ac:dyDescent="0.2">
      <c r="A158" s="458"/>
      <c r="B158" s="451"/>
      <c r="C158" s="452"/>
      <c r="D158" s="453"/>
      <c r="E158" s="454"/>
      <c r="F158" s="454"/>
      <c r="G158" s="446"/>
      <c r="H158" s="456"/>
      <c r="I158" s="446"/>
      <c r="J158" s="446"/>
      <c r="K158" s="457"/>
      <c r="L158" s="447"/>
      <c r="M158" s="445"/>
      <c r="N158" s="455"/>
      <c r="O158" s="285">
        <f ca="1">IF(NOT(ISERROR(MATCH(N158,_xlfn.ANCHORARRAY(#REF!),0))),#REF!&amp;"Por favor no seleccionar los criterios de impacto",N158)</f>
        <v>0</v>
      </c>
      <c r="P158" s="447"/>
      <c r="Q158" s="445"/>
      <c r="R158" s="459"/>
      <c r="S158" s="248">
        <v>4</v>
      </c>
      <c r="T158" s="321" t="s">
        <v>817</v>
      </c>
      <c r="U158" s="245" t="s">
        <v>293</v>
      </c>
      <c r="V158" s="322" t="str">
        <f t="shared" ref="V158:V160" si="290">IF(OR(W158="Preventivo",W158="Detectivo"),"Probabilidad",IF(W158="Correctivo","Impacto",""))</f>
        <v>Probabilidad</v>
      </c>
      <c r="W158" s="323" t="s">
        <v>13</v>
      </c>
      <c r="X158" s="323" t="s">
        <v>8</v>
      </c>
      <c r="Y158" s="324" t="str">
        <f t="shared" ref="Y158:Y160" si="291">IF(AND(W158="Preventivo",X158="Automático"),"50%",IF(AND(W158="Preventivo",X158="Manual"),"40%",IF(AND(W158="Detectivo",X158="Automático"),"40%",IF(AND(W158="Detectivo",X158="Manual"),"30%",IF(AND(W158="Correctivo",X158="Automático"),"35%",IF(AND(W158="Correctivo",X158="Manual"),"25%",""))))))</f>
        <v>40%</v>
      </c>
      <c r="Z158" s="323" t="s">
        <v>18</v>
      </c>
      <c r="AA158" s="323" t="s">
        <v>21</v>
      </c>
      <c r="AB158" s="323" t="s">
        <v>103</v>
      </c>
      <c r="AC158" s="325">
        <f t="shared" si="287"/>
        <v>0.216</v>
      </c>
      <c r="AD158" s="326" t="str">
        <f t="shared" si="284"/>
        <v>Baja</v>
      </c>
      <c r="AE158" s="324">
        <f t="shared" si="288"/>
        <v>0.216</v>
      </c>
      <c r="AF158" s="326" t="str">
        <f t="shared" ca="1" si="285"/>
        <v>Moderado</v>
      </c>
      <c r="AG158" s="324">
        <f t="shared" ca="1" si="289"/>
        <v>0.44999999999999996</v>
      </c>
      <c r="AH158" s="328" t="str">
        <f ca="1">IFERROR(IF(OR(AND(AD158="Muy Baja",AF158="Leve"),AND(AD158="Muy Baja",AF158="Menor"),AND(AD158="Baja",AF158="Leve")),"Bajo",IF(OR(AND(AD158="Muy baja",AF158="Moderado"),AND(AD158="Baja",AF158="Menor"),AND(AD158="Baja",AF158="Moderado"),AND(AD158="Media",AF158="Leve"),AND(AD158="Media",AF158="Menor"),AND(AD158="Media",AF158="Moderado"),AND(AD158="Alta",AF158="Leve"),AND(AD158="Alta",AF158="Menor")),"Moderado",IF(OR(AND(AD158="Muy Baja",AF158="Mayor"),AND(AD158="Baja",AF158="Mayor"),AND(AD158="Media",AF158="Mayor"),AND(AD158="Alta",AF158="Moderado"),AND(AD158="Alta",AF158="Mayor"),AND(AD158="Muy Alta",AF158="Leve"),AND(AD158="Muy Alta",AF158="Menor"),AND(AD158="Muy Alta",AF158="Moderado"),AND(AD158="Muy Alta",AF158="Mayor")),"Alto",IF(OR(AND(AD158="Muy Baja",AF158="Catastrófico"),AND(AD158="Baja",AF158="Catastrófico"),AND(AD158="Media",AF158="Catastrófico"),AND(AD158="Alta",AF158="Catastrófico"),AND(AD158="Muy Alta",AF158="Catastrófico")),"Extremo","")))),"")</f>
        <v>Moderado</v>
      </c>
      <c r="AI158" s="323" t="s">
        <v>26</v>
      </c>
      <c r="AJ158" s="249">
        <v>0</v>
      </c>
      <c r="AK158" s="249">
        <v>0</v>
      </c>
      <c r="AL158" s="249">
        <v>0</v>
      </c>
      <c r="AM158" s="249">
        <v>0</v>
      </c>
      <c r="AN158" s="278"/>
      <c r="AO158" s="209"/>
      <c r="AP158" s="209"/>
      <c r="AQ158" s="244"/>
      <c r="AR158" s="263"/>
      <c r="AS158" s="209"/>
      <c r="AT158" s="293"/>
      <c r="AU158" s="293"/>
      <c r="AV158" s="293"/>
      <c r="AW158" s="293"/>
      <c r="AX158" s="293"/>
      <c r="AY158" s="293"/>
      <c r="AZ158" s="293"/>
      <c r="BA158" s="293"/>
      <c r="BB158" s="293"/>
      <c r="BC158" s="293"/>
      <c r="BD158" s="293"/>
      <c r="BE158" s="293"/>
      <c r="BF158" s="293"/>
      <c r="BG158" s="293"/>
      <c r="BH158" s="293"/>
      <c r="BI158" s="293"/>
      <c r="BJ158" s="293"/>
      <c r="BK158" s="293"/>
      <c r="BL158" s="293"/>
      <c r="BM158" s="293"/>
      <c r="BN158" s="293"/>
      <c r="BO158" s="293"/>
      <c r="BP158" s="293"/>
      <c r="BQ158" s="293"/>
      <c r="BR158" s="293"/>
      <c r="BS158" s="293"/>
      <c r="BT158" s="293"/>
      <c r="BU158" s="293"/>
      <c r="BV158" s="293"/>
      <c r="BW158" s="293"/>
      <c r="BX158" s="293"/>
      <c r="BY158" s="293"/>
      <c r="BZ158" s="293"/>
    </row>
    <row r="159" spans="1:78" s="295" customFormat="1" ht="9.75" customHeight="1" x14ac:dyDescent="0.2">
      <c r="A159" s="458"/>
      <c r="B159" s="451"/>
      <c r="C159" s="452"/>
      <c r="D159" s="453"/>
      <c r="E159" s="454"/>
      <c r="F159" s="454"/>
      <c r="G159" s="446"/>
      <c r="H159" s="456"/>
      <c r="I159" s="446"/>
      <c r="J159" s="446"/>
      <c r="K159" s="457"/>
      <c r="L159" s="447"/>
      <c r="M159" s="445"/>
      <c r="N159" s="455"/>
      <c r="O159" s="285">
        <f ca="1">IF(NOT(ISERROR(MATCH(N159,_xlfn.ANCHORARRAY(#REF!),0))),#REF!&amp;"Por favor no seleccionar los criterios de impacto",N159)</f>
        <v>0</v>
      </c>
      <c r="P159" s="447"/>
      <c r="Q159" s="445"/>
      <c r="R159" s="459"/>
      <c r="S159" s="248">
        <v>5</v>
      </c>
      <c r="T159" s="330"/>
      <c r="U159" s="245"/>
      <c r="V159" s="322" t="str">
        <f t="shared" si="290"/>
        <v/>
      </c>
      <c r="W159" s="323"/>
      <c r="X159" s="323"/>
      <c r="Y159" s="324" t="str">
        <f t="shared" si="291"/>
        <v/>
      </c>
      <c r="Z159" s="323"/>
      <c r="AA159" s="323"/>
      <c r="AB159" s="323"/>
      <c r="AC159" s="325" t="str">
        <f t="shared" si="287"/>
        <v/>
      </c>
      <c r="AD159" s="326" t="str">
        <f t="shared" si="284"/>
        <v/>
      </c>
      <c r="AE159" s="324" t="str">
        <f t="shared" si="288"/>
        <v/>
      </c>
      <c r="AF159" s="326" t="str">
        <f t="shared" si="285"/>
        <v/>
      </c>
      <c r="AG159" s="324" t="str">
        <f>IFERROR(IF(AND(V158="Impacto",V159="Impacto"),(AG158-(+AG158*Y159)),IF(V159="Impacto",(#REF!-(+#REF!*Y159)),IF(V159="Probabilidad",AG158,""))),"")</f>
        <v/>
      </c>
      <c r="AH159" s="328" t="str">
        <f t="shared" ref="AH159:AH160" si="292">IFERROR(IF(OR(AND(AD159="Muy Baja",AF159="Leve"),AND(AD159="Muy Baja",AF159="Menor"),AND(AD159="Baja",AF159="Leve")),"Bajo",IF(OR(AND(AD159="Muy baja",AF159="Moderado"),AND(AD159="Baja",AF159="Menor"),AND(AD159="Baja",AF159="Moderado"),AND(AD159="Media",AF159="Leve"),AND(AD159="Media",AF159="Menor"),AND(AD159="Media",AF159="Moderado"),AND(AD159="Alta",AF159="Leve"),AND(AD159="Alta",AF159="Menor")),"Moderado",IF(OR(AND(AD159="Muy Baja",AF159="Mayor"),AND(AD159="Baja",AF159="Mayor"),AND(AD159="Media",AF159="Mayor"),AND(AD159="Alta",AF159="Moderado"),AND(AD159="Alta",AF159="Mayor"),AND(AD159="Muy Alta",AF159="Leve"),AND(AD159="Muy Alta",AF159="Menor"),AND(AD159="Muy Alta",AF159="Moderado"),AND(AD159="Muy Alta",AF159="Mayor")),"Alto",IF(OR(AND(AD159="Muy Baja",AF159="Catastrófico"),AND(AD159="Baja",AF159="Catastrófico"),AND(AD159="Media",AF159="Catastrófico"),AND(AD159="Alta",AF159="Catastrófico"),AND(AD159="Muy Alta",AF159="Catastrófico")),"Extremo","")))),"")</f>
        <v/>
      </c>
      <c r="AI159" s="323"/>
      <c r="AJ159" s="249"/>
      <c r="AK159" s="249"/>
      <c r="AL159" s="249"/>
      <c r="AM159" s="249"/>
      <c r="AN159" s="278"/>
      <c r="AO159" s="276"/>
      <c r="AP159" s="276"/>
      <c r="AQ159" s="278"/>
      <c r="AR159" s="211"/>
      <c r="AS159" s="211"/>
      <c r="AT159" s="293"/>
      <c r="AU159" s="293"/>
      <c r="AV159" s="293"/>
      <c r="AW159" s="293"/>
      <c r="AX159" s="293"/>
      <c r="AY159" s="293"/>
      <c r="AZ159" s="293"/>
      <c r="BA159" s="293"/>
      <c r="BB159" s="293"/>
      <c r="BC159" s="293"/>
      <c r="BD159" s="293"/>
      <c r="BE159" s="293"/>
      <c r="BF159" s="293"/>
      <c r="BG159" s="293"/>
      <c r="BH159" s="293"/>
      <c r="BI159" s="293"/>
      <c r="BJ159" s="293"/>
      <c r="BK159" s="293"/>
      <c r="BL159" s="293"/>
      <c r="BM159" s="293"/>
      <c r="BN159" s="293"/>
      <c r="BO159" s="293"/>
      <c r="BP159" s="293"/>
      <c r="BQ159" s="293"/>
      <c r="BR159" s="293"/>
      <c r="BS159" s="293"/>
      <c r="BT159" s="293"/>
      <c r="BU159" s="293"/>
      <c r="BV159" s="293"/>
      <c r="BW159" s="293"/>
      <c r="BX159" s="293"/>
      <c r="BY159" s="293"/>
      <c r="BZ159" s="293"/>
    </row>
    <row r="160" spans="1:78" s="295" customFormat="1" ht="9.75" customHeight="1" x14ac:dyDescent="0.2">
      <c r="A160" s="458"/>
      <c r="B160" s="451"/>
      <c r="C160" s="452"/>
      <c r="D160" s="453"/>
      <c r="E160" s="454"/>
      <c r="F160" s="454"/>
      <c r="G160" s="446"/>
      <c r="H160" s="456"/>
      <c r="I160" s="446"/>
      <c r="J160" s="446"/>
      <c r="K160" s="457"/>
      <c r="L160" s="447"/>
      <c r="M160" s="445"/>
      <c r="N160" s="455"/>
      <c r="O160" s="285">
        <f ca="1">IF(NOT(ISERROR(MATCH(N160,_xlfn.ANCHORARRAY(#REF!),0))),M25&amp;"Por favor no seleccionar los criterios de impacto",N160)</f>
        <v>0</v>
      </c>
      <c r="P160" s="447"/>
      <c r="Q160" s="445"/>
      <c r="R160" s="459"/>
      <c r="S160" s="248">
        <v>6</v>
      </c>
      <c r="T160" s="330"/>
      <c r="U160" s="245"/>
      <c r="V160" s="322" t="str">
        <f t="shared" si="290"/>
        <v/>
      </c>
      <c r="W160" s="323"/>
      <c r="X160" s="323"/>
      <c r="Y160" s="324" t="str">
        <f t="shared" si="291"/>
        <v/>
      </c>
      <c r="Z160" s="323"/>
      <c r="AA160" s="323"/>
      <c r="AB160" s="323"/>
      <c r="AC160" s="325" t="str">
        <f t="shared" si="287"/>
        <v/>
      </c>
      <c r="AD160" s="326" t="str">
        <f t="shared" si="284"/>
        <v/>
      </c>
      <c r="AE160" s="324" t="str">
        <f t="shared" si="288"/>
        <v/>
      </c>
      <c r="AF160" s="326" t="str">
        <f t="shared" si="285"/>
        <v/>
      </c>
      <c r="AG160" s="324" t="str">
        <f>IFERROR(IF(AND(V159="Impacto",V160="Impacto"),(AG159-(+AG159*Y160)),IF(V160="Impacto",(#REF!-(+#REF!*Y160)),IF(V160="Probabilidad",AG159,""))),"")</f>
        <v/>
      </c>
      <c r="AH160" s="328" t="str">
        <f t="shared" si="292"/>
        <v/>
      </c>
      <c r="AI160" s="323"/>
      <c r="AJ160" s="249"/>
      <c r="AK160" s="249"/>
      <c r="AL160" s="249"/>
      <c r="AM160" s="249"/>
      <c r="AN160" s="278"/>
      <c r="AO160" s="276"/>
      <c r="AP160" s="276"/>
      <c r="AQ160" s="278"/>
      <c r="AR160" s="211"/>
      <c r="AS160" s="211"/>
      <c r="AT160" s="293"/>
      <c r="AU160" s="293"/>
      <c r="AV160" s="293"/>
      <c r="AW160" s="293"/>
      <c r="AX160" s="293"/>
      <c r="AY160" s="293"/>
      <c r="AZ160" s="293"/>
      <c r="BA160" s="293"/>
      <c r="BB160" s="293"/>
      <c r="BC160" s="293"/>
      <c r="BD160" s="293"/>
      <c r="BE160" s="293"/>
      <c r="BF160" s="293"/>
      <c r="BG160" s="293"/>
      <c r="BH160" s="293"/>
      <c r="BI160" s="293"/>
      <c r="BJ160" s="293"/>
      <c r="BK160" s="293"/>
      <c r="BL160" s="293"/>
      <c r="BM160" s="293"/>
      <c r="BN160" s="293"/>
      <c r="BO160" s="293"/>
      <c r="BP160" s="293"/>
      <c r="BQ160" s="293"/>
      <c r="BR160" s="293"/>
      <c r="BS160" s="293"/>
      <c r="BT160" s="293"/>
      <c r="BU160" s="293"/>
      <c r="BV160" s="293"/>
      <c r="BW160" s="293"/>
      <c r="BX160" s="293"/>
      <c r="BY160" s="293"/>
      <c r="BZ160" s="293"/>
    </row>
    <row r="161" spans="1:78" s="294" customFormat="1" ht="149.25" customHeight="1" x14ac:dyDescent="0.2">
      <c r="A161" s="458" t="s">
        <v>736</v>
      </c>
      <c r="B161" s="451" t="s">
        <v>830</v>
      </c>
      <c r="C161" s="452" t="s">
        <v>607</v>
      </c>
      <c r="D161" s="453" t="s">
        <v>620</v>
      </c>
      <c r="E161" s="454" t="s">
        <v>107</v>
      </c>
      <c r="F161" s="454" t="s">
        <v>811</v>
      </c>
      <c r="G161" s="446" t="s">
        <v>675</v>
      </c>
      <c r="H161" s="446" t="s">
        <v>812</v>
      </c>
      <c r="I161" s="446" t="s">
        <v>654</v>
      </c>
      <c r="J161" s="446" t="s">
        <v>735</v>
      </c>
      <c r="K161" s="457">
        <v>12</v>
      </c>
      <c r="L161" s="447" t="str">
        <f t="shared" ref="L161" si="293">IF(K161&lt;=0,"",IF(K161&lt;=2,"Muy Baja",IF(K161&lt;=24,"Baja",IF(K161&lt;=500,"Media",IF(K161&lt;=5000,"Alta","Muy Alta")))))</f>
        <v>Baja</v>
      </c>
      <c r="M161" s="445">
        <f>IF(L161="","",IF(L161="Muy Baja",0.2,IF(L161="Baja",0.4,IF(L161="Media",0.6,IF(L161="Alta",0.8,IF(L161="Muy Alta",1,))))))</f>
        <v>0.4</v>
      </c>
      <c r="N161" s="455" t="s">
        <v>123</v>
      </c>
      <c r="O161" s="285" t="str">
        <f ca="1">IF(NOT(ISERROR(MATCH(N161,'Tabla Impacto'!$B$221:$B$223,0))),'Tabla Impacto'!$F$223&amp;"Por favor no seleccionar los criterios de impacto(Afectación Económica o presupuestal y Pérdida Reputacional)",N161)</f>
        <v xml:space="preserve">     El riesgo afecta la imagen de la entidad a nivel nacional, con efecto publicitarios sostenible a nivel país</v>
      </c>
      <c r="P161" s="447" t="str">
        <f ca="1">IF(OR(O161='Tabla Impacto'!$C$11,O161='Tabla Impacto'!$D$11),"Leve",IF(OR(O161='Tabla Impacto'!$C$12,O161='Tabla Impacto'!$D$12),"Menor",IF(OR(O161='Tabla Impacto'!$C$13,O161='Tabla Impacto'!$D$13),"Moderado",IF(OR(O161='Tabla Impacto'!$C$14,O161='Tabla Impacto'!$D$14),"Mayor",IF(OR(O161='Tabla Impacto'!$C$15,O161='Tabla Impacto'!$D$15),"Catastrófico","")))))</f>
        <v>Catastrófico</v>
      </c>
      <c r="Q161" s="445">
        <f ca="1">IF(P161="","",IF(P161="Leve",0.2,IF(P161="Menor",0.4,IF(P161="Moderado",0.6,IF(P161="Mayor",0.8,IF(P161="Catastrófico",1,))))))</f>
        <v>1</v>
      </c>
      <c r="R161" s="459" t="str">
        <f ca="1">IF(OR(AND(L161="Muy Baja",P161="Leve"),AND(L161="Muy Baja",P161="Menor"),AND(L161="Baja",P161="Leve")),"Bajo",IF(OR(AND(L161="Muy baja",P161="Moderado"),AND(L161="Baja",P161="Menor"),AND(L161="Baja",P161="Moderado"),AND(L161="Media",P161="Leve"),AND(L161="Media",P161="Menor"),AND(L161="Media",P161="Moderado"),AND(L161="Alta",P161="Leve"),AND(L161="Alta",P161="Menor")),"Moderado",IF(OR(AND(L161="Muy Baja",P161="Mayor"),AND(L161="Baja",P161="Mayor"),AND(L161="Media",P161="Mayor"),AND(L161="Alta",P161="Moderado"),AND(L161="Alta",P161="Mayor"),AND(L161="Muy Alta",P161="Leve"),AND(L161="Muy Alta",P161="Menor"),AND(L161="Muy Alta",P161="Moderado"),AND(L161="Muy Alta",P161="Mayor")),"Alto",IF(OR(AND(L161="Muy Baja",P161="Catastrófico"),AND(L161="Baja",P161="Catastrófico"),AND(L161="Media",P161="Catastrófico"),AND(L161="Alta",P161="Catastrófico"),AND(L161="Muy Alta",P161="Catastrófico")),"Extremo",""))))</f>
        <v>Extremo</v>
      </c>
      <c r="S161" s="248">
        <v>1</v>
      </c>
      <c r="T161" s="321" t="s">
        <v>813</v>
      </c>
      <c r="U161" s="245" t="s">
        <v>293</v>
      </c>
      <c r="V161" s="322" t="str">
        <f>IF(OR(W161="Preventivo",W161="Detectivo"),"Probabilidad",IF(W161="Correctivo","Impacto",""))</f>
        <v>Probabilidad</v>
      </c>
      <c r="W161" s="323" t="s">
        <v>13</v>
      </c>
      <c r="X161" s="323" t="s">
        <v>9</v>
      </c>
      <c r="Y161" s="324" t="str">
        <f>IF(AND(W161="Preventivo",X161="Automático"),"50%",IF(AND(W161="Preventivo",X161="Manual"),"40%",IF(AND(W161="Detectivo",X161="Automático"),"40%",IF(AND(W161="Detectivo",X161="Manual"),"30%",IF(AND(W161="Correctivo",X161="Automático"),"35%",IF(AND(W161="Correctivo",X161="Manual"),"25%",""))))))</f>
        <v>50%</v>
      </c>
      <c r="Z161" s="323" t="s">
        <v>18</v>
      </c>
      <c r="AA161" s="323" t="s">
        <v>21</v>
      </c>
      <c r="AB161" s="323" t="s">
        <v>103</v>
      </c>
      <c r="AC161" s="325">
        <f t="shared" ref="AC161" si="294">IFERROR(IF(V161="Probabilidad",(M161-(+M161*Y161)),IF(V161="Impacto",M161,"")),"")</f>
        <v>0.2</v>
      </c>
      <c r="AD161" s="326" t="str">
        <f>IFERROR(IF(AC161="","",IF(AC161&lt;=0.2,"Muy Baja",IF(AC161&lt;=0.4,"Baja",IF(AC161&lt;=0.6,"Media",IF(AC161&lt;=0.8,"Alta","Muy Alta"))))),"")</f>
        <v>Muy Baja</v>
      </c>
      <c r="AE161" s="324">
        <f>+AC161</f>
        <v>0.2</v>
      </c>
      <c r="AF161" s="326" t="str">
        <f ca="1">IFERROR(IF(AG161="","",IF(AG161&lt;=0.2,"Leve",IF(AG161&lt;=0.4,"Menor",IF(AG161&lt;=0.6,"Moderado",IF(AG161&lt;=0.8,"Mayor","Catastrófico"))))),"")</f>
        <v>Catastrófico</v>
      </c>
      <c r="AG161" s="324">
        <f ca="1">IFERROR(IF(V161="Impacto",(Q161-(+Q161*Y161)),IF(V161="Probabilidad",Q161,"")),"")</f>
        <v>1</v>
      </c>
      <c r="AH161" s="328" t="str">
        <f ca="1">IFERROR(IF(OR(AND(AD161="Muy Baja",AF161="Leve"),AND(AD161="Muy Baja",AF161="Menor"),AND(AD161="Baja",AF161="Leve")),"Bajo",IF(OR(AND(AD161="Muy baja",AF161="Moderado"),AND(AD161="Baja",AF161="Menor"),AND(AD161="Baja",AF161="Moderado"),AND(AD161="Media",AF161="Leve"),AND(AD161="Media",AF161="Menor"),AND(AD161="Media",AF161="Moderado"),AND(AD161="Alta",AF161="Leve"),AND(AD161="Alta",AF161="Menor")),"Moderado",IF(OR(AND(AD161="Muy Baja",AF161="Mayor"),AND(AD161="Baja",AF161="Mayor"),AND(AD161="Media",AF161="Mayor"),AND(AD161="Alta",AF161="Moderado"),AND(AD161="Alta",AF161="Mayor"),AND(AD161="Muy Alta",AF161="Leve"),AND(AD161="Muy Alta",AF161="Menor"),AND(AD161="Muy Alta",AF161="Moderado"),AND(AD161="Muy Alta",AF161="Mayor")),"Alto",IF(OR(AND(AD161="Muy Baja",AF161="Catastrófico"),AND(AD161="Baja",AF161="Catastrófico"),AND(AD161="Media",AF161="Catastrófico"),AND(AD161="Alta",AF161="Catastrófico"),AND(AD161="Muy Alta",AF161="Catastrófico")),"Extremo","")))),"")</f>
        <v>Extremo</v>
      </c>
      <c r="AI161" s="323" t="s">
        <v>26</v>
      </c>
      <c r="AJ161" s="249">
        <v>0</v>
      </c>
      <c r="AK161" s="249">
        <v>0</v>
      </c>
      <c r="AL161" s="249">
        <v>0</v>
      </c>
      <c r="AM161" s="249">
        <v>0</v>
      </c>
      <c r="AN161" s="282"/>
      <c r="AO161" s="259"/>
      <c r="AP161" s="259"/>
      <c r="AQ161" s="239"/>
      <c r="AR161" s="264"/>
      <c r="AS161" s="265"/>
      <c r="AT161" s="293"/>
      <c r="AU161" s="293"/>
      <c r="AV161" s="293"/>
      <c r="AW161" s="293"/>
      <c r="AX161" s="293"/>
      <c r="AY161" s="293"/>
      <c r="AZ161" s="293"/>
      <c r="BA161" s="293"/>
      <c r="BB161" s="293"/>
      <c r="BC161" s="293"/>
      <c r="BD161" s="293"/>
      <c r="BE161" s="293"/>
      <c r="BF161" s="293"/>
      <c r="BG161" s="293"/>
      <c r="BH161" s="293"/>
      <c r="BI161" s="293"/>
      <c r="BJ161" s="293"/>
      <c r="BK161" s="293"/>
      <c r="BL161" s="293"/>
      <c r="BM161" s="293"/>
      <c r="BN161" s="293"/>
      <c r="BO161" s="293"/>
      <c r="BP161" s="293"/>
      <c r="BQ161" s="293"/>
      <c r="BR161" s="293"/>
      <c r="BS161" s="293"/>
      <c r="BT161" s="293"/>
      <c r="BU161" s="293"/>
      <c r="BV161" s="293"/>
      <c r="BW161" s="293"/>
      <c r="BX161" s="293"/>
      <c r="BY161" s="293"/>
      <c r="BZ161" s="293"/>
    </row>
    <row r="162" spans="1:78" s="295" customFormat="1" ht="100.5" customHeight="1" x14ac:dyDescent="0.2">
      <c r="A162" s="458"/>
      <c r="B162" s="451"/>
      <c r="C162" s="452"/>
      <c r="D162" s="453"/>
      <c r="E162" s="454"/>
      <c r="F162" s="454"/>
      <c r="G162" s="446"/>
      <c r="H162" s="446"/>
      <c r="I162" s="446"/>
      <c r="J162" s="446"/>
      <c r="K162" s="457"/>
      <c r="L162" s="447"/>
      <c r="M162" s="445"/>
      <c r="N162" s="455"/>
      <c r="O162" s="285">
        <f ca="1">IF(NOT(ISERROR(MATCH(N162,_xlfn.ANCHORARRAY(H25),0))),M27&amp;"Por favor no seleccionar los criterios de impacto",N162)</f>
        <v>0</v>
      </c>
      <c r="P162" s="447"/>
      <c r="Q162" s="445"/>
      <c r="R162" s="459"/>
      <c r="S162" s="248">
        <v>2</v>
      </c>
      <c r="T162" s="321" t="s">
        <v>814</v>
      </c>
      <c r="U162" s="245" t="s">
        <v>293</v>
      </c>
      <c r="V162" s="322" t="str">
        <f>IF(OR(W162="Preventivo",W162="Detectivo"),"Probabilidad",IF(W162="Correctivo","Impacto",""))</f>
        <v>Probabilidad</v>
      </c>
      <c r="W162" s="323" t="s">
        <v>13</v>
      </c>
      <c r="X162" s="323" t="s">
        <v>8</v>
      </c>
      <c r="Y162" s="324" t="str">
        <f>IF(AND(W162="Preventivo",X162="Automático"),"50%",IF(AND(W162="Preventivo",X162="Manual"),"40%",IF(AND(W162="Detectivo",X162="Automático"),"40%",IF(AND(W162="Detectivo",X162="Manual"),"30%",IF(AND(W162="Correctivo",X162="Automático"),"35%",IF(AND(W162="Correctivo",X162="Manual"),"25%",""))))))</f>
        <v>40%</v>
      </c>
      <c r="Z162" s="323" t="s">
        <v>18</v>
      </c>
      <c r="AA162" s="323" t="s">
        <v>21</v>
      </c>
      <c r="AB162" s="323" t="s">
        <v>103</v>
      </c>
      <c r="AC162" s="325">
        <f t="shared" ref="AC162" si="295">IFERROR(IF(AND(V161="Probabilidad",V162="Probabilidad"),(AE161-(+AE161*Y162)),IF(V162="Probabilidad",(M161-(+M161*Y162)),IF(V162="Impacto",AE161,""))),"")</f>
        <v>0.12</v>
      </c>
      <c r="AD162" s="326" t="str">
        <f t="shared" ref="AD162:AD166" si="296">IFERROR(IF(AC162="","",IF(AC162&lt;=0.2,"Muy Baja",IF(AC162&lt;=0.4,"Baja",IF(AC162&lt;=0.6,"Media",IF(AC162&lt;=0.8,"Alta","Muy Alta"))))),"")</f>
        <v>Muy Baja</v>
      </c>
      <c r="AE162" s="324">
        <f>+AC162</f>
        <v>0.12</v>
      </c>
      <c r="AF162" s="326" t="str">
        <f t="shared" ref="AF162:AF166" ca="1" si="297">IFERROR(IF(AG162="","",IF(AG162&lt;=0.2,"Leve",IF(AG162&lt;=0.4,"Menor",IF(AG162&lt;=0.6,"Moderado",IF(AG162&lt;=0.8,"Mayor","Catastrófico"))))),"")</f>
        <v>Catastrófico</v>
      </c>
      <c r="AG162" s="324">
        <f ca="1">IFERROR(IF(AND(V161="Impacto",V162="Impacto"),(AG161-(+AG161*Y162)),IF(V162="Impacto",($Q$161-(+$Q$161*Y162)),IF(V162="Probabilidad",AG161,""))),"")</f>
        <v>1</v>
      </c>
      <c r="AH162" s="328" t="str">
        <f t="shared" ref="AH162:AH163" ca="1" si="298">IFERROR(IF(OR(AND(AD162="Muy Baja",AF162="Leve"),AND(AD162="Muy Baja",AF162="Menor"),AND(AD162="Baja",AF162="Leve")),"Bajo",IF(OR(AND(AD162="Muy baja",AF162="Moderado"),AND(AD162="Baja",AF162="Menor"),AND(AD162="Baja",AF162="Moderado"),AND(AD162="Media",AF162="Leve"),AND(AD162="Media",AF162="Menor"),AND(AD162="Media",AF162="Moderado"),AND(AD162="Alta",AF162="Leve"),AND(AD162="Alta",AF162="Menor")),"Moderado",IF(OR(AND(AD162="Muy Baja",AF162="Mayor"),AND(AD162="Baja",AF162="Mayor"),AND(AD162="Media",AF162="Mayor"),AND(AD162="Alta",AF162="Moderado"),AND(AD162="Alta",AF162="Mayor"),AND(AD162="Muy Alta",AF162="Leve"),AND(AD162="Muy Alta",AF162="Menor"),AND(AD162="Muy Alta",AF162="Moderado"),AND(AD162="Muy Alta",AF162="Mayor")),"Alto",IF(OR(AND(AD162="Muy Baja",AF162="Catastrófico"),AND(AD162="Baja",AF162="Catastrófico"),AND(AD162="Media",AF162="Catastrófico"),AND(AD162="Alta",AF162="Catastrófico"),AND(AD162="Muy Alta",AF162="Catastrófico")),"Extremo","")))),"")</f>
        <v>Extremo</v>
      </c>
      <c r="AI162" s="323" t="s">
        <v>26</v>
      </c>
      <c r="AJ162" s="249">
        <v>12</v>
      </c>
      <c r="AK162" s="249">
        <v>4</v>
      </c>
      <c r="AL162" s="249">
        <v>4</v>
      </c>
      <c r="AM162" s="249">
        <v>4</v>
      </c>
      <c r="AN162" s="278"/>
      <c r="AO162" s="277"/>
      <c r="AP162" s="277"/>
      <c r="AQ162" s="276"/>
      <c r="AR162" s="263"/>
      <c r="AS162" s="277"/>
      <c r="AT162" s="293"/>
      <c r="AU162" s="293"/>
      <c r="AV162" s="293"/>
      <c r="AW162" s="293"/>
      <c r="AX162" s="293"/>
      <c r="AY162" s="293"/>
      <c r="AZ162" s="293"/>
      <c r="BA162" s="293"/>
      <c r="BB162" s="293"/>
      <c r="BC162" s="293"/>
      <c r="BD162" s="293"/>
      <c r="BE162" s="293"/>
      <c r="BF162" s="293"/>
      <c r="BG162" s="293"/>
      <c r="BH162" s="293"/>
      <c r="BI162" s="293"/>
      <c r="BJ162" s="293"/>
      <c r="BK162" s="293"/>
      <c r="BL162" s="293"/>
      <c r="BM162" s="293"/>
      <c r="BN162" s="293"/>
      <c r="BO162" s="293"/>
      <c r="BP162" s="293"/>
      <c r="BQ162" s="293"/>
      <c r="BR162" s="293"/>
      <c r="BS162" s="293"/>
      <c r="BT162" s="293"/>
      <c r="BU162" s="293"/>
      <c r="BV162" s="293"/>
      <c r="BW162" s="293"/>
      <c r="BX162" s="293"/>
      <c r="BY162" s="293"/>
      <c r="BZ162" s="293"/>
    </row>
    <row r="163" spans="1:78" s="295" customFormat="1" ht="100.5" customHeight="1" x14ac:dyDescent="0.2">
      <c r="A163" s="458"/>
      <c r="B163" s="451"/>
      <c r="C163" s="452"/>
      <c r="D163" s="453"/>
      <c r="E163" s="454"/>
      <c r="F163" s="454"/>
      <c r="G163" s="446"/>
      <c r="H163" s="446"/>
      <c r="I163" s="446"/>
      <c r="J163" s="446"/>
      <c r="K163" s="457"/>
      <c r="L163" s="447"/>
      <c r="M163" s="445"/>
      <c r="N163" s="455"/>
      <c r="O163" s="285">
        <f ca="1">IF(NOT(ISERROR(MATCH(N163,_xlfn.ANCHORARRAY(H26),0))),M28&amp;"Por favor no seleccionar los criterios de impacto",N163)</f>
        <v>0</v>
      </c>
      <c r="P163" s="447"/>
      <c r="Q163" s="445"/>
      <c r="R163" s="459"/>
      <c r="S163" s="248">
        <v>3</v>
      </c>
      <c r="T163" s="321" t="s">
        <v>815</v>
      </c>
      <c r="U163" s="245" t="s">
        <v>293</v>
      </c>
      <c r="V163" s="322" t="str">
        <f>IF(OR(W163="Preventivo",W163="Detectivo"),"Probabilidad",IF(W163="Correctivo","Impacto",""))</f>
        <v>Probabilidad</v>
      </c>
      <c r="W163" s="323" t="s">
        <v>13</v>
      </c>
      <c r="X163" s="323" t="s">
        <v>8</v>
      </c>
      <c r="Y163" s="324" t="str">
        <f>IF(AND(W163="Preventivo",X163="Automático"),"50%",IF(AND(W163="Preventivo",X163="Manual"),"40%",IF(AND(W163="Detectivo",X163="Automático"),"40%",IF(AND(W163="Detectivo",X163="Manual"),"30%",IF(AND(W163="Correctivo",X163="Automático"),"35%",IF(AND(W163="Correctivo",X163="Manual"),"25%",""))))))</f>
        <v>40%</v>
      </c>
      <c r="Z163" s="323" t="s">
        <v>18</v>
      </c>
      <c r="AA163" s="323" t="s">
        <v>21</v>
      </c>
      <c r="AB163" s="323" t="s">
        <v>103</v>
      </c>
      <c r="AC163" s="325">
        <f t="shared" ref="AC163:AC166" si="299">IFERROR(IF(AND(V162="Probabilidad",V163="Probabilidad"),(AE162-(+AE162*Y163)),IF(AND(V162="Impacto",V163="Probabilidad"),(AE161-(+AE161*Y163)),IF(V163="Impacto",AE162,""))),"")</f>
        <v>7.1999999999999995E-2</v>
      </c>
      <c r="AD163" s="326" t="str">
        <f t="shared" si="296"/>
        <v>Muy Baja</v>
      </c>
      <c r="AE163" s="324">
        <f t="shared" ref="AE163:AE166" si="300">+AC163</f>
        <v>7.1999999999999995E-2</v>
      </c>
      <c r="AF163" s="326" t="str">
        <f t="shared" ca="1" si="297"/>
        <v>Catastrófico</v>
      </c>
      <c r="AG163" s="324">
        <f t="shared" ref="AG163:AG164" ca="1" si="301">IFERROR(IF(AND(V162="Impacto",V163="Impacto"),(AG162-(+AG162*Y163)),IF(V163="Impacto",($Q$161-(+$Q$161*Y163)),IF(V163="Probabilidad",AG162,""))),"")</f>
        <v>1</v>
      </c>
      <c r="AH163" s="328" t="str">
        <f t="shared" ca="1" si="298"/>
        <v>Extremo</v>
      </c>
      <c r="AI163" s="323" t="s">
        <v>26</v>
      </c>
      <c r="AJ163" s="249">
        <v>0</v>
      </c>
      <c r="AK163" s="249">
        <v>0</v>
      </c>
      <c r="AL163" s="249">
        <v>0</v>
      </c>
      <c r="AM163" s="249">
        <v>0</v>
      </c>
      <c r="AN163" s="278"/>
      <c r="AO163" s="277"/>
      <c r="AP163" s="277"/>
      <c r="AQ163" s="276"/>
      <c r="AR163" s="263"/>
      <c r="AS163" s="277"/>
      <c r="AT163" s="293"/>
      <c r="AU163" s="293"/>
      <c r="AV163" s="293"/>
      <c r="AW163" s="293"/>
      <c r="AX163" s="293"/>
      <c r="AY163" s="293"/>
      <c r="AZ163" s="293"/>
      <c r="BA163" s="293"/>
      <c r="BB163" s="293"/>
      <c r="BC163" s="293"/>
      <c r="BD163" s="293"/>
      <c r="BE163" s="293"/>
      <c r="BF163" s="293"/>
      <c r="BG163" s="293"/>
      <c r="BH163" s="293"/>
      <c r="BI163" s="293"/>
      <c r="BJ163" s="293"/>
      <c r="BK163" s="293"/>
      <c r="BL163" s="293"/>
      <c r="BM163" s="293"/>
      <c r="BN163" s="293"/>
      <c r="BO163" s="293"/>
      <c r="BP163" s="293"/>
      <c r="BQ163" s="293"/>
      <c r="BR163" s="293"/>
      <c r="BS163" s="293"/>
      <c r="BT163" s="293"/>
      <c r="BU163" s="293"/>
      <c r="BV163" s="293"/>
      <c r="BW163" s="293"/>
      <c r="BX163" s="293"/>
      <c r="BY163" s="293"/>
      <c r="BZ163" s="293"/>
    </row>
    <row r="164" spans="1:78" s="295" customFormat="1" ht="108" customHeight="1" x14ac:dyDescent="0.2">
      <c r="A164" s="458"/>
      <c r="B164" s="451"/>
      <c r="C164" s="452"/>
      <c r="D164" s="453"/>
      <c r="E164" s="454"/>
      <c r="F164" s="454"/>
      <c r="G164" s="446"/>
      <c r="H164" s="446"/>
      <c r="I164" s="446"/>
      <c r="J164" s="446"/>
      <c r="K164" s="457"/>
      <c r="L164" s="447"/>
      <c r="M164" s="445"/>
      <c r="N164" s="455"/>
      <c r="O164" s="285">
        <f ca="1">IF(NOT(ISERROR(MATCH(N164,_xlfn.ANCHORARRAY(H27),0))),M29&amp;"Por favor no seleccionar los criterios de impacto",N164)</f>
        <v>0</v>
      </c>
      <c r="P164" s="447"/>
      <c r="Q164" s="445"/>
      <c r="R164" s="459"/>
      <c r="S164" s="248">
        <v>4</v>
      </c>
      <c r="T164" s="321" t="s">
        <v>816</v>
      </c>
      <c r="U164" s="245" t="s">
        <v>293</v>
      </c>
      <c r="V164" s="322" t="str">
        <f t="shared" ref="V164:V166" si="302">IF(OR(W164="Preventivo",W164="Detectivo"),"Probabilidad",IF(W164="Correctivo","Impacto",""))</f>
        <v>Probabilidad</v>
      </c>
      <c r="W164" s="323" t="s">
        <v>13</v>
      </c>
      <c r="X164" s="323" t="s">
        <v>8</v>
      </c>
      <c r="Y164" s="324" t="str">
        <f t="shared" ref="Y164:Y166" si="303">IF(AND(W164="Preventivo",X164="Automático"),"50%",IF(AND(W164="Preventivo",X164="Manual"),"40%",IF(AND(W164="Detectivo",X164="Automático"),"40%",IF(AND(W164="Detectivo",X164="Manual"),"30%",IF(AND(W164="Correctivo",X164="Automático"),"35%",IF(AND(W164="Correctivo",X164="Manual"),"25%",""))))))</f>
        <v>40%</v>
      </c>
      <c r="Z164" s="323" t="s">
        <v>18</v>
      </c>
      <c r="AA164" s="323" t="s">
        <v>21</v>
      </c>
      <c r="AB164" s="323" t="s">
        <v>103</v>
      </c>
      <c r="AC164" s="325">
        <f t="shared" si="299"/>
        <v>4.3199999999999995E-2</v>
      </c>
      <c r="AD164" s="326" t="str">
        <f t="shared" si="296"/>
        <v>Muy Baja</v>
      </c>
      <c r="AE164" s="324">
        <f t="shared" si="300"/>
        <v>4.3199999999999995E-2</v>
      </c>
      <c r="AF164" s="326" t="str">
        <f t="shared" ca="1" si="297"/>
        <v>Catastrófico</v>
      </c>
      <c r="AG164" s="324">
        <f t="shared" ca="1" si="301"/>
        <v>1</v>
      </c>
      <c r="AH164" s="328" t="str">
        <f ca="1">IFERROR(IF(OR(AND(AD164="Muy Baja",AF164="Leve"),AND(AD164="Muy Baja",AF164="Menor"),AND(AD164="Baja",AF164="Leve")),"Bajo",IF(OR(AND(AD164="Muy baja",AF164="Moderado"),AND(AD164="Baja",AF164="Menor"),AND(AD164="Baja",AF164="Moderado"),AND(AD164="Media",AF164="Leve"),AND(AD164="Media",AF164="Menor"),AND(AD164="Media",AF164="Moderado"),AND(AD164="Alta",AF164="Leve"),AND(AD164="Alta",AF164="Menor")),"Moderado",IF(OR(AND(AD164="Muy Baja",AF164="Mayor"),AND(AD164="Baja",AF164="Mayor"),AND(AD164="Media",AF164="Mayor"),AND(AD164="Alta",AF164="Moderado"),AND(AD164="Alta",AF164="Mayor"),AND(AD164="Muy Alta",AF164="Leve"),AND(AD164="Muy Alta",AF164="Menor"),AND(AD164="Muy Alta",AF164="Moderado"),AND(AD164="Muy Alta",AF164="Mayor")),"Alto",IF(OR(AND(AD164="Muy Baja",AF164="Catastrófico"),AND(AD164="Baja",AF164="Catastrófico"),AND(AD164="Media",AF164="Catastrófico"),AND(AD164="Alta",AF164="Catastrófico"),AND(AD164="Muy Alta",AF164="Catastrófico")),"Extremo","")))),"")</f>
        <v>Extremo</v>
      </c>
      <c r="AI164" s="323" t="s">
        <v>26</v>
      </c>
      <c r="AJ164" s="249">
        <v>0</v>
      </c>
      <c r="AK164" s="249">
        <v>0</v>
      </c>
      <c r="AL164" s="249">
        <v>0</v>
      </c>
      <c r="AM164" s="249">
        <v>0</v>
      </c>
      <c r="AN164" s="278"/>
      <c r="AO164" s="209"/>
      <c r="AP164" s="209"/>
      <c r="AQ164" s="244"/>
      <c r="AR164" s="263"/>
      <c r="AS164" s="209"/>
      <c r="AT164" s="293"/>
      <c r="AU164" s="293"/>
      <c r="AV164" s="293"/>
      <c r="AW164" s="293"/>
      <c r="AX164" s="293"/>
      <c r="AY164" s="293"/>
      <c r="AZ164" s="293"/>
      <c r="BA164" s="293"/>
      <c r="BB164" s="293"/>
      <c r="BC164" s="293"/>
      <c r="BD164" s="293"/>
      <c r="BE164" s="293"/>
      <c r="BF164" s="293"/>
      <c r="BG164" s="293"/>
      <c r="BH164" s="293"/>
      <c r="BI164" s="293"/>
      <c r="BJ164" s="293"/>
      <c r="BK164" s="293"/>
      <c r="BL164" s="293"/>
      <c r="BM164" s="293"/>
      <c r="BN164" s="293"/>
      <c r="BO164" s="293"/>
      <c r="BP164" s="293"/>
      <c r="BQ164" s="293"/>
      <c r="BR164" s="293"/>
      <c r="BS164" s="293"/>
      <c r="BT164" s="293"/>
      <c r="BU164" s="293"/>
      <c r="BV164" s="293"/>
      <c r="BW164" s="293"/>
      <c r="BX164" s="293"/>
      <c r="BY164" s="293"/>
      <c r="BZ164" s="293"/>
    </row>
    <row r="165" spans="1:78" s="295" customFormat="1" ht="25.5" customHeight="1" x14ac:dyDescent="0.2">
      <c r="A165" s="458"/>
      <c r="B165" s="451"/>
      <c r="C165" s="452"/>
      <c r="D165" s="453"/>
      <c r="E165" s="454"/>
      <c r="F165" s="454"/>
      <c r="G165" s="446"/>
      <c r="H165" s="446"/>
      <c r="I165" s="446"/>
      <c r="J165" s="446"/>
      <c r="K165" s="457"/>
      <c r="L165" s="447"/>
      <c r="M165" s="445"/>
      <c r="N165" s="455"/>
      <c r="O165" s="285">
        <f ca="1">IF(NOT(ISERROR(MATCH(N165,_xlfn.ANCHORARRAY(H28),0))),M30&amp;"Por favor no seleccionar los criterios de impacto",N165)</f>
        <v>0</v>
      </c>
      <c r="P165" s="447"/>
      <c r="Q165" s="445"/>
      <c r="R165" s="459"/>
      <c r="S165" s="248">
        <v>5</v>
      </c>
      <c r="T165" s="330"/>
      <c r="U165" s="245"/>
      <c r="V165" s="322" t="str">
        <f t="shared" si="302"/>
        <v/>
      </c>
      <c r="W165" s="323"/>
      <c r="X165" s="323"/>
      <c r="Y165" s="324" t="str">
        <f t="shared" si="303"/>
        <v/>
      </c>
      <c r="Z165" s="323"/>
      <c r="AA165" s="323"/>
      <c r="AB165" s="323"/>
      <c r="AC165" s="325" t="str">
        <f t="shared" si="299"/>
        <v/>
      </c>
      <c r="AD165" s="326" t="str">
        <f t="shared" si="296"/>
        <v/>
      </c>
      <c r="AE165" s="324" t="str">
        <f t="shared" si="300"/>
        <v/>
      </c>
      <c r="AF165" s="326" t="str">
        <f t="shared" si="297"/>
        <v/>
      </c>
      <c r="AG165" s="324" t="str">
        <f>IFERROR(IF(AND(V164="Impacto",V165="Impacto"),(AG164-(+AG164*Y165)),IF(V165="Impacto",(#REF!-(+#REF!*Y165)),IF(V165="Probabilidad",AG164,""))),"")</f>
        <v/>
      </c>
      <c r="AH165" s="328" t="str">
        <f t="shared" ref="AH165:AH166" si="304">IFERROR(IF(OR(AND(AD165="Muy Baja",AF165="Leve"),AND(AD165="Muy Baja",AF165="Menor"),AND(AD165="Baja",AF165="Leve")),"Bajo",IF(OR(AND(AD165="Muy baja",AF165="Moderado"),AND(AD165="Baja",AF165="Menor"),AND(AD165="Baja",AF165="Moderado"),AND(AD165="Media",AF165="Leve"),AND(AD165="Media",AF165="Menor"),AND(AD165="Media",AF165="Moderado"),AND(AD165="Alta",AF165="Leve"),AND(AD165="Alta",AF165="Menor")),"Moderado",IF(OR(AND(AD165="Muy Baja",AF165="Mayor"),AND(AD165="Baja",AF165="Mayor"),AND(AD165="Media",AF165="Mayor"),AND(AD165="Alta",AF165="Moderado"),AND(AD165="Alta",AF165="Mayor"),AND(AD165="Muy Alta",AF165="Leve"),AND(AD165="Muy Alta",AF165="Menor"),AND(AD165="Muy Alta",AF165="Moderado"),AND(AD165="Muy Alta",AF165="Mayor")),"Alto",IF(OR(AND(AD165="Muy Baja",AF165="Catastrófico"),AND(AD165="Baja",AF165="Catastrófico"),AND(AD165="Media",AF165="Catastrófico"),AND(AD165="Alta",AF165="Catastrófico"),AND(AD165="Muy Alta",AF165="Catastrófico")),"Extremo","")))),"")</f>
        <v/>
      </c>
      <c r="AI165" s="323"/>
      <c r="AJ165" s="249"/>
      <c r="AK165" s="249"/>
      <c r="AL165" s="249"/>
      <c r="AM165" s="249"/>
      <c r="AN165" s="278"/>
      <c r="AO165" s="276"/>
      <c r="AP165" s="276"/>
      <c r="AQ165" s="278"/>
      <c r="AR165" s="211"/>
      <c r="AS165" s="211"/>
      <c r="AT165" s="293"/>
      <c r="AU165" s="293"/>
      <c r="AV165" s="293"/>
      <c r="AW165" s="293"/>
      <c r="AX165" s="293"/>
      <c r="AY165" s="293"/>
      <c r="AZ165" s="293"/>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293"/>
      <c r="BY165" s="293"/>
      <c r="BZ165" s="293"/>
    </row>
    <row r="166" spans="1:78" s="295" customFormat="1" ht="25.5" customHeight="1" x14ac:dyDescent="0.2">
      <c r="A166" s="458"/>
      <c r="B166" s="451"/>
      <c r="C166" s="452"/>
      <c r="D166" s="453"/>
      <c r="E166" s="454"/>
      <c r="F166" s="454"/>
      <c r="G166" s="446"/>
      <c r="H166" s="446"/>
      <c r="I166" s="446"/>
      <c r="J166" s="446"/>
      <c r="K166" s="457"/>
      <c r="L166" s="447"/>
      <c r="M166" s="445"/>
      <c r="N166" s="455"/>
      <c r="O166" s="285">
        <f ca="1">IF(NOT(ISERROR(MATCH(N166,_xlfn.ANCHORARRAY(H29),0))),M37&amp;"Por favor no seleccionar los criterios de impacto",N166)</f>
        <v>0</v>
      </c>
      <c r="P166" s="447"/>
      <c r="Q166" s="445"/>
      <c r="R166" s="459"/>
      <c r="S166" s="248">
        <v>6</v>
      </c>
      <c r="T166" s="330"/>
      <c r="U166" s="245"/>
      <c r="V166" s="322" t="str">
        <f t="shared" si="302"/>
        <v/>
      </c>
      <c r="W166" s="323"/>
      <c r="X166" s="323"/>
      <c r="Y166" s="324" t="str">
        <f t="shared" si="303"/>
        <v/>
      </c>
      <c r="Z166" s="323"/>
      <c r="AA166" s="323"/>
      <c r="AB166" s="323"/>
      <c r="AC166" s="325" t="str">
        <f t="shared" si="299"/>
        <v/>
      </c>
      <c r="AD166" s="326" t="str">
        <f t="shared" si="296"/>
        <v/>
      </c>
      <c r="AE166" s="324" t="str">
        <f t="shared" si="300"/>
        <v/>
      </c>
      <c r="AF166" s="326" t="str">
        <f t="shared" si="297"/>
        <v/>
      </c>
      <c r="AG166" s="324" t="str">
        <f>IFERROR(IF(AND(V165="Impacto",V166="Impacto"),(AG165-(+AG165*Y166)),IF(V166="Impacto",(#REF!-(+#REF!*Y166)),IF(V166="Probabilidad",AG165,""))),"")</f>
        <v/>
      </c>
      <c r="AH166" s="328" t="str">
        <f t="shared" si="304"/>
        <v/>
      </c>
      <c r="AI166" s="323"/>
      <c r="AJ166" s="249"/>
      <c r="AK166" s="249"/>
      <c r="AL166" s="249"/>
      <c r="AM166" s="249"/>
      <c r="AN166" s="278"/>
      <c r="AO166" s="276"/>
      <c r="AP166" s="276"/>
      <c r="AQ166" s="278"/>
      <c r="AR166" s="211"/>
      <c r="AS166" s="211"/>
      <c r="AT166" s="293"/>
      <c r="AU166" s="293"/>
      <c r="AV166" s="293"/>
      <c r="AW166" s="293"/>
      <c r="AX166" s="293"/>
      <c r="AY166" s="293"/>
      <c r="AZ166" s="293"/>
      <c r="BA166" s="293"/>
      <c r="BB166" s="293"/>
      <c r="BC166" s="293"/>
      <c r="BD166" s="293"/>
      <c r="BE166" s="293"/>
      <c r="BF166" s="293"/>
      <c r="BG166" s="293"/>
      <c r="BH166" s="293"/>
      <c r="BI166" s="293"/>
      <c r="BJ166" s="293"/>
      <c r="BK166" s="293"/>
      <c r="BL166" s="293"/>
      <c r="BM166" s="293"/>
      <c r="BN166" s="293"/>
      <c r="BO166" s="293"/>
      <c r="BP166" s="293"/>
      <c r="BQ166" s="293"/>
      <c r="BR166" s="293"/>
      <c r="BS166" s="293"/>
      <c r="BT166" s="293"/>
      <c r="BU166" s="293"/>
      <c r="BV166" s="293"/>
      <c r="BW166" s="293"/>
      <c r="BX166" s="293"/>
      <c r="BY166" s="293"/>
      <c r="BZ166" s="293"/>
    </row>
    <row r="167" spans="1:78" s="294" customFormat="1" ht="110.25" customHeight="1" x14ac:dyDescent="0.2">
      <c r="A167" s="458" t="s">
        <v>737</v>
      </c>
      <c r="B167" s="451" t="s">
        <v>830</v>
      </c>
      <c r="C167" s="452" t="s">
        <v>607</v>
      </c>
      <c r="D167" s="453" t="s">
        <v>620</v>
      </c>
      <c r="E167" s="454" t="s">
        <v>107</v>
      </c>
      <c r="F167" s="454" t="s">
        <v>819</v>
      </c>
      <c r="G167" s="446" t="s">
        <v>675</v>
      </c>
      <c r="H167" s="446" t="s">
        <v>818</v>
      </c>
      <c r="I167" s="446" t="s">
        <v>654</v>
      </c>
      <c r="J167" s="446" t="s">
        <v>735</v>
      </c>
      <c r="K167" s="457">
        <v>10</v>
      </c>
      <c r="L167" s="447" t="str">
        <f t="shared" ref="L167" si="305">IF(K167&lt;=0,"",IF(K167&lt;=2,"Muy Baja",IF(K167&lt;=24,"Baja",IF(K167&lt;=500,"Media",IF(K167&lt;=5000,"Alta","Muy Alta")))))</f>
        <v>Baja</v>
      </c>
      <c r="M167" s="445">
        <f>IF(L167="","",IF(L167="Muy Baja",0.2,IF(L167="Baja",0.4,IF(L167="Media",0.6,IF(L167="Alta",0.8,IF(L167="Muy Alta",1,))))))</f>
        <v>0.4</v>
      </c>
      <c r="N167" s="455" t="s">
        <v>123</v>
      </c>
      <c r="O167" s="285" t="str">
        <f ca="1">IF(NOT(ISERROR(MATCH(N167,'Tabla Impacto'!$B$221:$B$223,0))),'Tabla Impacto'!$F$223&amp;"Por favor no seleccionar los criterios de impacto(Afectación Económica o presupuestal y Pérdida Reputacional)",N167)</f>
        <v xml:space="preserve">     El riesgo afecta la imagen de la entidad a nivel nacional, con efecto publicitarios sostenible a nivel país</v>
      </c>
      <c r="P167" s="447" t="str">
        <f ca="1">IF(OR(O167='Tabla Impacto'!$C$11,O167='Tabla Impacto'!$D$11),"Leve",IF(OR(O167='Tabla Impacto'!$C$12,O167='Tabla Impacto'!$D$12),"Menor",IF(OR(O167='Tabla Impacto'!$C$13,O167='Tabla Impacto'!$D$13),"Moderado",IF(OR(O167='Tabla Impacto'!$C$14,O167='Tabla Impacto'!$D$14),"Mayor",IF(OR(O167='Tabla Impacto'!$C$15,O167='Tabla Impacto'!$D$15),"Catastrófico","")))))</f>
        <v>Catastrófico</v>
      </c>
      <c r="Q167" s="445">
        <f ca="1">IF(P167="","",IF(P167="Leve",0.2,IF(P167="Menor",0.4,IF(P167="Moderado",0.6,IF(P167="Mayor",0.8,IF(P167="Catastrófico",1,))))))</f>
        <v>1</v>
      </c>
      <c r="R167" s="459" t="str">
        <f ca="1">IF(OR(AND(L167="Muy Baja",P167="Leve"),AND(L167="Muy Baja",P167="Menor"),AND(L167="Baja",P167="Leve")),"Bajo",IF(OR(AND(L167="Muy baja",P167="Moderado"),AND(L167="Baja",P167="Menor"),AND(L167="Baja",P167="Moderado"),AND(L167="Media",P167="Leve"),AND(L167="Media",P167="Menor"),AND(L167="Media",P167="Moderado"),AND(L167="Alta",P167="Leve"),AND(L167="Alta",P167="Menor")),"Moderado",IF(OR(AND(L167="Muy Baja",P167="Mayor"),AND(L167="Baja",P167="Mayor"),AND(L167="Media",P167="Mayor"),AND(L167="Alta",P167="Moderado"),AND(L167="Alta",P167="Mayor"),AND(L167="Muy Alta",P167="Leve"),AND(L167="Muy Alta",P167="Menor"),AND(L167="Muy Alta",P167="Moderado"),AND(L167="Muy Alta",P167="Mayor")),"Alto",IF(OR(AND(L167="Muy Baja",P167="Catastrófico"),AND(L167="Baja",P167="Catastrófico"),AND(L167="Media",P167="Catastrófico"),AND(L167="Alta",P167="Catastrófico"),AND(L167="Muy Alta",P167="Catastrófico")),"Extremo",""))))</f>
        <v>Extremo</v>
      </c>
      <c r="S167" s="248">
        <v>1</v>
      </c>
      <c r="T167" s="321" t="s">
        <v>859</v>
      </c>
      <c r="U167" s="245" t="s">
        <v>293</v>
      </c>
      <c r="V167" s="322" t="str">
        <f>IF(OR(W167="Preventivo",W167="Detectivo"),"Probabilidad",IF(W167="Correctivo","Impacto",""))</f>
        <v>Probabilidad</v>
      </c>
      <c r="W167" s="323" t="s">
        <v>13</v>
      </c>
      <c r="X167" s="323" t="s">
        <v>8</v>
      </c>
      <c r="Y167" s="324" t="str">
        <f>IF(AND(W167="Preventivo",X167="Automático"),"50%",IF(AND(W167="Preventivo",X167="Manual"),"40%",IF(AND(W167="Detectivo",X167="Automático"),"40%",IF(AND(W167="Detectivo",X167="Manual"),"30%",IF(AND(W167="Correctivo",X167="Automático"),"35%",IF(AND(W167="Correctivo",X167="Manual"),"25%",""))))))</f>
        <v>40%</v>
      </c>
      <c r="Z167" s="323" t="s">
        <v>18</v>
      </c>
      <c r="AA167" s="323" t="s">
        <v>21</v>
      </c>
      <c r="AB167" s="323" t="s">
        <v>103</v>
      </c>
      <c r="AC167" s="325">
        <f t="shared" ref="AC167" si="306">IFERROR(IF(V167="Probabilidad",(M167-(+M167*Y167)),IF(V167="Impacto",M167,"")),"")</f>
        <v>0.24</v>
      </c>
      <c r="AD167" s="326" t="str">
        <f>IFERROR(IF(AC167="","",IF(AC167&lt;=0.2,"Muy Baja",IF(AC167&lt;=0.4,"Baja",IF(AC167&lt;=0.6,"Media",IF(AC167&lt;=0.8,"Alta","Muy Alta"))))),"")</f>
        <v>Baja</v>
      </c>
      <c r="AE167" s="324">
        <f>+AC167</f>
        <v>0.24</v>
      </c>
      <c r="AF167" s="326" t="str">
        <f ca="1">IFERROR(IF(AG167="","",IF(AG167&lt;=0.2,"Leve",IF(AG167&lt;=0.4,"Menor",IF(AG167&lt;=0.6,"Moderado",IF(AG167&lt;=0.8,"Mayor","Catastrófico"))))),"")</f>
        <v>Catastrófico</v>
      </c>
      <c r="AG167" s="324">
        <f ca="1">IFERROR(IF(V167="Impacto",(Q167-(+Q167*Y167)),IF(V167="Probabilidad",Q167,"")),"")</f>
        <v>1</v>
      </c>
      <c r="AH167" s="328" t="str">
        <f ca="1">IFERROR(IF(OR(AND(AD167="Muy Baja",AF167="Leve"),AND(AD167="Muy Baja",AF167="Menor"),AND(AD167="Baja",AF167="Leve")),"Bajo",IF(OR(AND(AD167="Muy baja",AF167="Moderado"),AND(AD167="Baja",AF167="Menor"),AND(AD167="Baja",AF167="Moderado"),AND(AD167="Media",AF167="Leve"),AND(AD167="Media",AF167="Menor"),AND(AD167="Media",AF167="Moderado"),AND(AD167="Alta",AF167="Leve"),AND(AD167="Alta",AF167="Menor")),"Moderado",IF(OR(AND(AD167="Muy Baja",AF167="Mayor"),AND(AD167="Baja",AF167="Mayor"),AND(AD167="Media",AF167="Mayor"),AND(AD167="Alta",AF167="Moderado"),AND(AD167="Alta",AF167="Mayor"),AND(AD167="Muy Alta",AF167="Leve"),AND(AD167="Muy Alta",AF167="Menor"),AND(AD167="Muy Alta",AF167="Moderado"),AND(AD167="Muy Alta",AF167="Mayor")),"Alto",IF(OR(AND(AD167="Muy Baja",AF167="Catastrófico"),AND(AD167="Baja",AF167="Catastrófico"),AND(AD167="Media",AF167="Catastrófico"),AND(AD167="Alta",AF167="Catastrófico"),AND(AD167="Muy Alta",AF167="Catastrófico")),"Extremo","")))),"")</f>
        <v>Extremo</v>
      </c>
      <c r="AI167" s="323" t="s">
        <v>26</v>
      </c>
      <c r="AJ167" s="249">
        <v>0</v>
      </c>
      <c r="AK167" s="249">
        <v>0</v>
      </c>
      <c r="AL167" s="249">
        <v>0</v>
      </c>
      <c r="AM167" s="249">
        <v>0</v>
      </c>
      <c r="AN167" s="282"/>
      <c r="AO167" s="259"/>
      <c r="AP167" s="259"/>
      <c r="AQ167" s="239"/>
      <c r="AR167" s="264"/>
      <c r="AS167" s="265"/>
      <c r="AT167" s="293"/>
      <c r="AU167" s="293"/>
      <c r="AV167" s="293"/>
      <c r="AW167" s="293"/>
      <c r="AX167" s="293"/>
      <c r="AY167" s="293"/>
      <c r="AZ167" s="293"/>
      <c r="BA167" s="293"/>
      <c r="BB167" s="293"/>
      <c r="BC167" s="293"/>
      <c r="BD167" s="293"/>
      <c r="BE167" s="293"/>
      <c r="BF167" s="293"/>
      <c r="BG167" s="293"/>
      <c r="BH167" s="293"/>
      <c r="BI167" s="293"/>
      <c r="BJ167" s="293"/>
      <c r="BK167" s="293"/>
      <c r="BL167" s="293"/>
      <c r="BM167" s="293"/>
      <c r="BN167" s="293"/>
      <c r="BO167" s="293"/>
      <c r="BP167" s="293"/>
      <c r="BQ167" s="293"/>
      <c r="BR167" s="293"/>
      <c r="BS167" s="293"/>
      <c r="BT167" s="293"/>
      <c r="BU167" s="293"/>
      <c r="BV167" s="293"/>
      <c r="BW167" s="293"/>
      <c r="BX167" s="293"/>
      <c r="BY167" s="293"/>
      <c r="BZ167" s="293"/>
    </row>
    <row r="168" spans="1:78" s="295" customFormat="1" ht="6" customHeight="1" x14ac:dyDescent="0.2">
      <c r="A168" s="458"/>
      <c r="B168" s="451"/>
      <c r="C168" s="452"/>
      <c r="D168" s="453"/>
      <c r="E168" s="454"/>
      <c r="F168" s="454"/>
      <c r="G168" s="446"/>
      <c r="H168" s="446"/>
      <c r="I168" s="446"/>
      <c r="J168" s="446"/>
      <c r="K168" s="457"/>
      <c r="L168" s="447"/>
      <c r="M168" s="445"/>
      <c r="N168" s="455"/>
      <c r="O168" s="285">
        <f ca="1">IF(NOT(ISERROR(MATCH(N168,_xlfn.ANCHORARRAY(#REF!),0))),#REF!&amp;"Por favor no seleccionar los criterios de impacto",N168)</f>
        <v>0</v>
      </c>
      <c r="P168" s="447"/>
      <c r="Q168" s="445"/>
      <c r="R168" s="459"/>
      <c r="S168" s="248">
        <v>2</v>
      </c>
      <c r="T168" s="332"/>
      <c r="U168" s="245"/>
      <c r="V168" s="322"/>
      <c r="W168" s="323"/>
      <c r="X168" s="323"/>
      <c r="Y168" s="324" t="str">
        <f>IF(AND(W168="Preventivo",X168="Automático"),"50%",IF(AND(W168="Preventivo",X168="Manual"),"40%",IF(AND(W168="Detectivo",X168="Automático"),"40%",IF(AND(W168="Detectivo",X168="Manual"),"30%",IF(AND(W168="Correctivo",X168="Automático"),"35%",IF(AND(W168="Correctivo",X168="Manual"),"25%",""))))))</f>
        <v/>
      </c>
      <c r="Z168" s="323"/>
      <c r="AA168" s="323"/>
      <c r="AB168" s="323"/>
      <c r="AC168" s="325" t="str">
        <f t="shared" ref="AC168" si="307">IFERROR(IF(AND(V167="Probabilidad",V168="Probabilidad"),(AE167-(+AE167*Y168)),IF(V168="Probabilidad",(M167-(+M167*Y168)),IF(V168="Impacto",AE167,""))),"")</f>
        <v/>
      </c>
      <c r="AD168" s="326" t="str">
        <f t="shared" ref="AD168:AD172" si="308">IFERROR(IF(AC168="","",IF(AC168&lt;=0.2,"Muy Baja",IF(AC168&lt;=0.4,"Baja",IF(AC168&lt;=0.6,"Media",IF(AC168&lt;=0.8,"Alta","Muy Alta"))))),"")</f>
        <v/>
      </c>
      <c r="AE168" s="324" t="str">
        <f>+AC168</f>
        <v/>
      </c>
      <c r="AF168" s="326" t="str">
        <f t="shared" ref="AF168:AF172" si="309">IFERROR(IF(AG168="","",IF(AG168&lt;=0.2,"Leve",IF(AG168&lt;=0.4,"Menor",IF(AG168&lt;=0.6,"Moderado",IF(AG168&lt;=0.8,"Mayor","Catastrófico"))))),"")</f>
        <v/>
      </c>
      <c r="AG168" s="324" t="str">
        <f>IFERROR(IF(AND(V167="Impacto",V168="Impacto"),(AG167-(+AG167*Y168)),IF(V168="Impacto",($Q$25-(+$Q$25*Y168)),IF(V168="Probabilidad",AG167,""))),"")</f>
        <v/>
      </c>
      <c r="AH168" s="328" t="str">
        <f t="shared" ref="AH168:AH169" si="310">IFERROR(IF(OR(AND(AD168="Muy Baja",AF168="Leve"),AND(AD168="Muy Baja",AF168="Menor"),AND(AD168="Baja",AF168="Leve")),"Bajo",IF(OR(AND(AD168="Muy baja",AF168="Moderado"),AND(AD168="Baja",AF168="Menor"),AND(AD168="Baja",AF168="Moderado"),AND(AD168="Media",AF168="Leve"),AND(AD168="Media",AF168="Menor"),AND(AD168="Media",AF168="Moderado"),AND(AD168="Alta",AF168="Leve"),AND(AD168="Alta",AF168="Menor")),"Moderado",IF(OR(AND(AD168="Muy Baja",AF168="Mayor"),AND(AD168="Baja",AF168="Mayor"),AND(AD168="Media",AF168="Mayor"),AND(AD168="Alta",AF168="Moderado"),AND(AD168="Alta",AF168="Mayor"),AND(AD168="Muy Alta",AF168="Leve"),AND(AD168="Muy Alta",AF168="Menor"),AND(AD168="Muy Alta",AF168="Moderado"),AND(AD168="Muy Alta",AF168="Mayor")),"Alto",IF(OR(AND(AD168="Muy Baja",AF168="Catastrófico"),AND(AD168="Baja",AF168="Catastrófico"),AND(AD168="Media",AF168="Catastrófico"),AND(AD168="Alta",AF168="Catastrófico"),AND(AD168="Muy Alta",AF168="Catastrófico")),"Extremo","")))),"")</f>
        <v/>
      </c>
      <c r="AI168" s="323"/>
      <c r="AJ168" s="249"/>
      <c r="AK168" s="249"/>
      <c r="AL168" s="249"/>
      <c r="AM168" s="249"/>
      <c r="AN168" s="278"/>
      <c r="AO168" s="277"/>
      <c r="AP168" s="277"/>
      <c r="AQ168" s="276"/>
      <c r="AR168" s="263"/>
      <c r="AS168" s="277"/>
      <c r="AT168" s="293"/>
      <c r="AU168" s="293"/>
      <c r="AV168" s="293"/>
      <c r="AW168" s="293"/>
      <c r="AX168" s="293"/>
      <c r="AY168" s="293"/>
      <c r="AZ168" s="293"/>
      <c r="BA168" s="293"/>
      <c r="BB168" s="293"/>
      <c r="BC168" s="293"/>
      <c r="BD168" s="293"/>
      <c r="BE168" s="293"/>
      <c r="BF168" s="293"/>
      <c r="BG168" s="293"/>
      <c r="BH168" s="293"/>
      <c r="BI168" s="293"/>
      <c r="BJ168" s="293"/>
      <c r="BK168" s="293"/>
      <c r="BL168" s="293"/>
      <c r="BM168" s="293"/>
      <c r="BN168" s="293"/>
      <c r="BO168" s="293"/>
      <c r="BP168" s="293"/>
      <c r="BQ168" s="293"/>
      <c r="BR168" s="293"/>
      <c r="BS168" s="293"/>
      <c r="BT168" s="293"/>
      <c r="BU168" s="293"/>
      <c r="BV168" s="293"/>
      <c r="BW168" s="293"/>
      <c r="BX168" s="293"/>
      <c r="BY168" s="293"/>
      <c r="BZ168" s="293"/>
    </row>
    <row r="169" spans="1:78" s="295" customFormat="1" ht="6" customHeight="1" x14ac:dyDescent="0.2">
      <c r="A169" s="458"/>
      <c r="B169" s="451"/>
      <c r="C169" s="452"/>
      <c r="D169" s="453"/>
      <c r="E169" s="454"/>
      <c r="F169" s="454"/>
      <c r="G169" s="446"/>
      <c r="H169" s="446"/>
      <c r="I169" s="446"/>
      <c r="J169" s="446"/>
      <c r="K169" s="457"/>
      <c r="L169" s="447"/>
      <c r="M169" s="445"/>
      <c r="N169" s="455"/>
      <c r="O169" s="285">
        <f ca="1">IF(NOT(ISERROR(MATCH(N169,_xlfn.ANCHORARRAY(#REF!),0))),#REF!&amp;"Por favor no seleccionar los criterios de impacto",N169)</f>
        <v>0</v>
      </c>
      <c r="P169" s="447"/>
      <c r="Q169" s="445"/>
      <c r="R169" s="459"/>
      <c r="S169" s="248">
        <v>3</v>
      </c>
      <c r="T169" s="330"/>
      <c r="U169" s="245"/>
      <c r="V169" s="322" t="str">
        <f>IF(OR(W169="Preventivo",W169="Detectivo"),"Probabilidad",IF(W169="Correctivo","Impacto",""))</f>
        <v/>
      </c>
      <c r="W169" s="323"/>
      <c r="X169" s="323"/>
      <c r="Y169" s="324" t="str">
        <f>IF(AND(W169="Preventivo",X169="Automático"),"50%",IF(AND(W169="Preventivo",X169="Manual"),"40%",IF(AND(W169="Detectivo",X169="Automático"),"40%",IF(AND(W169="Detectivo",X169="Manual"),"30%",IF(AND(W169="Correctivo",X169="Automático"),"35%",IF(AND(W169="Correctivo",X169="Manual"),"25%",""))))))</f>
        <v/>
      </c>
      <c r="Z169" s="323"/>
      <c r="AA169" s="323"/>
      <c r="AB169" s="323"/>
      <c r="AC169" s="325" t="str">
        <f t="shared" ref="AC169:AC172" si="311">IFERROR(IF(AND(V168="Probabilidad",V169="Probabilidad"),(AE168-(+AE168*Y169)),IF(AND(V168="Impacto",V169="Probabilidad"),(AE167-(+AE167*Y169)),IF(V169="Impacto",AE168,""))),"")</f>
        <v/>
      </c>
      <c r="AD169" s="326" t="str">
        <f t="shared" si="308"/>
        <v/>
      </c>
      <c r="AE169" s="324" t="str">
        <f t="shared" ref="AE169:AE172" si="312">+AC169</f>
        <v/>
      </c>
      <c r="AF169" s="326" t="str">
        <f t="shared" si="309"/>
        <v/>
      </c>
      <c r="AG169" s="324" t="str">
        <f>IFERROR(IF(AND(V168="Impacto",V169="Impacto"),(AG168-(+AG168*Y169)),IF(V169="Impacto",(#REF!-(+#REF!*Y169)),IF(V169="Probabilidad",AG168,""))),"")</f>
        <v/>
      </c>
      <c r="AH169" s="328" t="str">
        <f t="shared" si="310"/>
        <v/>
      </c>
      <c r="AI169" s="323"/>
      <c r="AJ169" s="249"/>
      <c r="AK169" s="249"/>
      <c r="AL169" s="249"/>
      <c r="AM169" s="249"/>
      <c r="AN169" s="278"/>
      <c r="AO169" s="277"/>
      <c r="AP169" s="277"/>
      <c r="AQ169" s="276"/>
      <c r="AR169" s="263"/>
      <c r="AS169" s="277"/>
      <c r="AT169" s="293"/>
      <c r="AU169" s="293"/>
      <c r="AV169" s="293"/>
      <c r="AW169" s="293"/>
      <c r="AX169" s="293"/>
      <c r="AY169" s="293"/>
      <c r="AZ169" s="293"/>
      <c r="BA169" s="293"/>
      <c r="BB169" s="293"/>
      <c r="BC169" s="293"/>
      <c r="BD169" s="293"/>
      <c r="BE169" s="293"/>
      <c r="BF169" s="293"/>
      <c r="BG169" s="293"/>
      <c r="BH169" s="293"/>
      <c r="BI169" s="293"/>
      <c r="BJ169" s="293"/>
      <c r="BK169" s="293"/>
      <c r="BL169" s="293"/>
      <c r="BM169" s="293"/>
      <c r="BN169" s="293"/>
      <c r="BO169" s="293"/>
      <c r="BP169" s="293"/>
      <c r="BQ169" s="293"/>
      <c r="BR169" s="293"/>
      <c r="BS169" s="293"/>
      <c r="BT169" s="293"/>
      <c r="BU169" s="293"/>
      <c r="BV169" s="293"/>
      <c r="BW169" s="293"/>
      <c r="BX169" s="293"/>
      <c r="BY169" s="293"/>
      <c r="BZ169" s="293"/>
    </row>
    <row r="170" spans="1:78" s="295" customFormat="1" ht="6" customHeight="1" x14ac:dyDescent="0.2">
      <c r="A170" s="458"/>
      <c r="B170" s="451"/>
      <c r="C170" s="452"/>
      <c r="D170" s="453"/>
      <c r="E170" s="454"/>
      <c r="F170" s="454"/>
      <c r="G170" s="446"/>
      <c r="H170" s="446"/>
      <c r="I170" s="446"/>
      <c r="J170" s="446"/>
      <c r="K170" s="457"/>
      <c r="L170" s="447"/>
      <c r="M170" s="445"/>
      <c r="N170" s="455"/>
      <c r="O170" s="285">
        <f ca="1">IF(NOT(ISERROR(MATCH(N170,_xlfn.ANCHORARRAY(#REF!),0))),#REF!&amp;"Por favor no seleccionar los criterios de impacto",N170)</f>
        <v>0</v>
      </c>
      <c r="P170" s="447"/>
      <c r="Q170" s="445"/>
      <c r="R170" s="459"/>
      <c r="S170" s="248">
        <v>4</v>
      </c>
      <c r="T170" s="330"/>
      <c r="U170" s="245"/>
      <c r="V170" s="322" t="str">
        <f t="shared" ref="V170:V172" si="313">IF(OR(W170="Preventivo",W170="Detectivo"),"Probabilidad",IF(W170="Correctivo","Impacto",""))</f>
        <v/>
      </c>
      <c r="W170" s="323"/>
      <c r="X170" s="323"/>
      <c r="Y170" s="324" t="str">
        <f t="shared" ref="Y170:Y172" si="314">IF(AND(W170="Preventivo",X170="Automático"),"50%",IF(AND(W170="Preventivo",X170="Manual"),"40%",IF(AND(W170="Detectivo",X170="Automático"),"40%",IF(AND(W170="Detectivo",X170="Manual"),"30%",IF(AND(W170="Correctivo",X170="Automático"),"35%",IF(AND(W170="Correctivo",X170="Manual"),"25%",""))))))</f>
        <v/>
      </c>
      <c r="Z170" s="323"/>
      <c r="AA170" s="323"/>
      <c r="AB170" s="323"/>
      <c r="AC170" s="325" t="str">
        <f t="shared" si="311"/>
        <v/>
      </c>
      <c r="AD170" s="326" t="str">
        <f t="shared" si="308"/>
        <v/>
      </c>
      <c r="AE170" s="324" t="str">
        <f t="shared" si="312"/>
        <v/>
      </c>
      <c r="AF170" s="326" t="str">
        <f t="shared" si="309"/>
        <v/>
      </c>
      <c r="AG170" s="324" t="str">
        <f>IFERROR(IF(AND(V169="Impacto",V170="Impacto"),(AG169-(+AG169*Y170)),IF(V170="Impacto",(#REF!-(+#REF!*Y170)),IF(V170="Probabilidad",AG169,""))),"")</f>
        <v/>
      </c>
      <c r="AH170" s="328" t="str">
        <f>IFERROR(IF(OR(AND(AD170="Muy Baja",AF170="Leve"),AND(AD170="Muy Baja",AF170="Menor"),AND(AD170="Baja",AF170="Leve")),"Bajo",IF(OR(AND(AD170="Muy baja",AF170="Moderado"),AND(AD170="Baja",AF170="Menor"),AND(AD170="Baja",AF170="Moderado"),AND(AD170="Media",AF170="Leve"),AND(AD170="Media",AF170="Menor"),AND(AD170="Media",AF170="Moderado"),AND(AD170="Alta",AF170="Leve"),AND(AD170="Alta",AF170="Menor")),"Moderado",IF(OR(AND(AD170="Muy Baja",AF170="Mayor"),AND(AD170="Baja",AF170="Mayor"),AND(AD170="Media",AF170="Mayor"),AND(AD170="Alta",AF170="Moderado"),AND(AD170="Alta",AF170="Mayor"),AND(AD170="Muy Alta",AF170="Leve"),AND(AD170="Muy Alta",AF170="Menor"),AND(AD170="Muy Alta",AF170="Moderado"),AND(AD170="Muy Alta",AF170="Mayor")),"Alto",IF(OR(AND(AD170="Muy Baja",AF170="Catastrófico"),AND(AD170="Baja",AF170="Catastrófico"),AND(AD170="Media",AF170="Catastrófico"),AND(AD170="Alta",AF170="Catastrófico"),AND(AD170="Muy Alta",AF170="Catastrófico")),"Extremo","")))),"")</f>
        <v/>
      </c>
      <c r="AI170" s="323"/>
      <c r="AJ170" s="249"/>
      <c r="AK170" s="249"/>
      <c r="AL170" s="249"/>
      <c r="AM170" s="249"/>
      <c r="AN170" s="278"/>
      <c r="AO170" s="209"/>
      <c r="AP170" s="209"/>
      <c r="AQ170" s="244"/>
      <c r="AR170" s="263"/>
      <c r="AS170" s="209"/>
      <c r="AT170" s="293"/>
      <c r="AU170" s="293"/>
      <c r="AV170" s="293"/>
      <c r="AW170" s="293"/>
      <c r="AX170" s="293"/>
      <c r="AY170" s="293"/>
      <c r="AZ170" s="293"/>
      <c r="BA170" s="293"/>
      <c r="BB170" s="293"/>
      <c r="BC170" s="293"/>
      <c r="BD170" s="293"/>
      <c r="BE170" s="293"/>
      <c r="BF170" s="293"/>
      <c r="BG170" s="293"/>
      <c r="BH170" s="293"/>
      <c r="BI170" s="293"/>
      <c r="BJ170" s="293"/>
      <c r="BK170" s="293"/>
      <c r="BL170" s="293"/>
      <c r="BM170" s="293"/>
      <c r="BN170" s="293"/>
      <c r="BO170" s="293"/>
      <c r="BP170" s="293"/>
      <c r="BQ170" s="293"/>
      <c r="BR170" s="293"/>
      <c r="BS170" s="293"/>
      <c r="BT170" s="293"/>
      <c r="BU170" s="293"/>
      <c r="BV170" s="293"/>
      <c r="BW170" s="293"/>
      <c r="BX170" s="293"/>
      <c r="BY170" s="293"/>
      <c r="BZ170" s="293"/>
    </row>
    <row r="171" spans="1:78" s="295" customFormat="1" ht="6" customHeight="1" x14ac:dyDescent="0.2">
      <c r="A171" s="458"/>
      <c r="B171" s="451"/>
      <c r="C171" s="452"/>
      <c r="D171" s="453"/>
      <c r="E171" s="454"/>
      <c r="F171" s="454"/>
      <c r="G171" s="446"/>
      <c r="H171" s="446"/>
      <c r="I171" s="446"/>
      <c r="J171" s="446"/>
      <c r="K171" s="457"/>
      <c r="L171" s="447"/>
      <c r="M171" s="445"/>
      <c r="N171" s="455"/>
      <c r="O171" s="285">
        <f ca="1">IF(NOT(ISERROR(MATCH(N171,_xlfn.ANCHORARRAY(#REF!),0))),#REF!&amp;"Por favor no seleccionar los criterios de impacto",N171)</f>
        <v>0</v>
      </c>
      <c r="P171" s="447"/>
      <c r="Q171" s="445"/>
      <c r="R171" s="459"/>
      <c r="S171" s="248">
        <v>5</v>
      </c>
      <c r="T171" s="330"/>
      <c r="U171" s="245"/>
      <c r="V171" s="322" t="str">
        <f t="shared" si="313"/>
        <v/>
      </c>
      <c r="W171" s="323"/>
      <c r="X171" s="323"/>
      <c r="Y171" s="324" t="str">
        <f t="shared" si="314"/>
        <v/>
      </c>
      <c r="Z171" s="323"/>
      <c r="AA171" s="323"/>
      <c r="AB171" s="323"/>
      <c r="AC171" s="325" t="str">
        <f t="shared" si="311"/>
        <v/>
      </c>
      <c r="AD171" s="326" t="str">
        <f t="shared" si="308"/>
        <v/>
      </c>
      <c r="AE171" s="324" t="str">
        <f t="shared" si="312"/>
        <v/>
      </c>
      <c r="AF171" s="326" t="str">
        <f t="shared" si="309"/>
        <v/>
      </c>
      <c r="AG171" s="324" t="str">
        <f>IFERROR(IF(AND(V170="Impacto",V171="Impacto"),(AG170-(+AG170*Y171)),IF(V171="Impacto",(#REF!-(+#REF!*Y171)),IF(V171="Probabilidad",AG170,""))),"")</f>
        <v/>
      </c>
      <c r="AH171" s="328" t="str">
        <f t="shared" ref="AH171:AH172" si="315">IFERROR(IF(OR(AND(AD171="Muy Baja",AF171="Leve"),AND(AD171="Muy Baja",AF171="Menor"),AND(AD171="Baja",AF171="Leve")),"Bajo",IF(OR(AND(AD171="Muy baja",AF171="Moderado"),AND(AD171="Baja",AF171="Menor"),AND(AD171="Baja",AF171="Moderado"),AND(AD171="Media",AF171="Leve"),AND(AD171="Media",AF171="Menor"),AND(AD171="Media",AF171="Moderado"),AND(AD171="Alta",AF171="Leve"),AND(AD171="Alta",AF171="Menor")),"Moderado",IF(OR(AND(AD171="Muy Baja",AF171="Mayor"),AND(AD171="Baja",AF171="Mayor"),AND(AD171="Media",AF171="Mayor"),AND(AD171="Alta",AF171="Moderado"),AND(AD171="Alta",AF171="Mayor"),AND(AD171="Muy Alta",AF171="Leve"),AND(AD171="Muy Alta",AF171="Menor"),AND(AD171="Muy Alta",AF171="Moderado"),AND(AD171="Muy Alta",AF171="Mayor")),"Alto",IF(OR(AND(AD171="Muy Baja",AF171="Catastrófico"),AND(AD171="Baja",AF171="Catastrófico"),AND(AD171="Media",AF171="Catastrófico"),AND(AD171="Alta",AF171="Catastrófico"),AND(AD171="Muy Alta",AF171="Catastrófico")),"Extremo","")))),"")</f>
        <v/>
      </c>
      <c r="AI171" s="323"/>
      <c r="AJ171" s="249"/>
      <c r="AK171" s="249"/>
      <c r="AL171" s="249"/>
      <c r="AM171" s="249"/>
      <c r="AN171" s="278"/>
      <c r="AO171" s="276"/>
      <c r="AP171" s="276"/>
      <c r="AQ171" s="278"/>
      <c r="AR171" s="211"/>
      <c r="AS171" s="211"/>
      <c r="AT171" s="293"/>
      <c r="AU171" s="293"/>
      <c r="AV171" s="293"/>
      <c r="AW171" s="293"/>
      <c r="AX171" s="293"/>
      <c r="AY171" s="293"/>
      <c r="AZ171" s="293"/>
      <c r="BA171" s="293"/>
      <c r="BB171" s="293"/>
      <c r="BC171" s="293"/>
      <c r="BD171" s="293"/>
      <c r="BE171" s="293"/>
      <c r="BF171" s="293"/>
      <c r="BG171" s="293"/>
      <c r="BH171" s="293"/>
      <c r="BI171" s="293"/>
      <c r="BJ171" s="293"/>
      <c r="BK171" s="293"/>
      <c r="BL171" s="293"/>
      <c r="BM171" s="293"/>
      <c r="BN171" s="293"/>
      <c r="BO171" s="293"/>
      <c r="BP171" s="293"/>
      <c r="BQ171" s="293"/>
      <c r="BR171" s="293"/>
      <c r="BS171" s="293"/>
      <c r="BT171" s="293"/>
      <c r="BU171" s="293"/>
      <c r="BV171" s="293"/>
      <c r="BW171" s="293"/>
      <c r="BX171" s="293"/>
      <c r="BY171" s="293"/>
      <c r="BZ171" s="293"/>
    </row>
    <row r="172" spans="1:78" s="295" customFormat="1" ht="6" customHeight="1" x14ac:dyDescent="0.2">
      <c r="A172" s="458"/>
      <c r="B172" s="451"/>
      <c r="C172" s="452"/>
      <c r="D172" s="453"/>
      <c r="E172" s="454"/>
      <c r="F172" s="454"/>
      <c r="G172" s="446"/>
      <c r="H172" s="446"/>
      <c r="I172" s="446"/>
      <c r="J172" s="446"/>
      <c r="K172" s="457"/>
      <c r="L172" s="447"/>
      <c r="M172" s="445"/>
      <c r="N172" s="455"/>
      <c r="O172" s="285">
        <f ca="1">IF(NOT(ISERROR(MATCH(N172,_xlfn.ANCHORARRAY(#REF!),0))),M49&amp;"Por favor no seleccionar los criterios de impacto",N172)</f>
        <v>0</v>
      </c>
      <c r="P172" s="447"/>
      <c r="Q172" s="445"/>
      <c r="R172" s="459"/>
      <c r="S172" s="248">
        <v>6</v>
      </c>
      <c r="T172" s="330"/>
      <c r="U172" s="245"/>
      <c r="V172" s="322" t="str">
        <f t="shared" si="313"/>
        <v/>
      </c>
      <c r="W172" s="323"/>
      <c r="X172" s="323"/>
      <c r="Y172" s="324" t="str">
        <f t="shared" si="314"/>
        <v/>
      </c>
      <c r="Z172" s="323"/>
      <c r="AA172" s="323"/>
      <c r="AB172" s="323"/>
      <c r="AC172" s="325" t="str">
        <f t="shared" si="311"/>
        <v/>
      </c>
      <c r="AD172" s="326" t="str">
        <f t="shared" si="308"/>
        <v/>
      </c>
      <c r="AE172" s="324" t="str">
        <f t="shared" si="312"/>
        <v/>
      </c>
      <c r="AF172" s="326" t="str">
        <f t="shared" si="309"/>
        <v/>
      </c>
      <c r="AG172" s="324" t="str">
        <f>IFERROR(IF(AND(V171="Impacto",V172="Impacto"),(AG171-(+AG171*Y172)),IF(V172="Impacto",(#REF!-(+#REF!*Y172)),IF(V172="Probabilidad",AG171,""))),"")</f>
        <v/>
      </c>
      <c r="AH172" s="328" t="str">
        <f t="shared" si="315"/>
        <v/>
      </c>
      <c r="AI172" s="323"/>
      <c r="AJ172" s="249"/>
      <c r="AK172" s="249"/>
      <c r="AL172" s="249"/>
      <c r="AM172" s="249"/>
      <c r="AN172" s="278"/>
      <c r="AO172" s="276"/>
      <c r="AP172" s="276"/>
      <c r="AQ172" s="278"/>
      <c r="AR172" s="211"/>
      <c r="AS172" s="211"/>
      <c r="AT172" s="293"/>
      <c r="AU172" s="293"/>
      <c r="AV172" s="293"/>
      <c r="AW172" s="293"/>
      <c r="AX172" s="293"/>
      <c r="AY172" s="293"/>
      <c r="AZ172" s="293"/>
      <c r="BA172" s="293"/>
      <c r="BB172" s="293"/>
      <c r="BC172" s="293"/>
      <c r="BD172" s="293"/>
      <c r="BE172" s="293"/>
      <c r="BF172" s="293"/>
      <c r="BG172" s="293"/>
      <c r="BH172" s="293"/>
      <c r="BI172" s="293"/>
      <c r="BJ172" s="293"/>
      <c r="BK172" s="293"/>
      <c r="BL172" s="293"/>
      <c r="BM172" s="293"/>
      <c r="BN172" s="293"/>
      <c r="BO172" s="293"/>
      <c r="BP172" s="293"/>
      <c r="BQ172" s="293"/>
      <c r="BR172" s="293"/>
      <c r="BS172" s="293"/>
      <c r="BT172" s="293"/>
      <c r="BU172" s="293"/>
      <c r="BV172" s="293"/>
      <c r="BW172" s="293"/>
      <c r="BX172" s="293"/>
      <c r="BY172" s="293"/>
      <c r="BZ172" s="293"/>
    </row>
    <row r="173" spans="1:78" s="294" customFormat="1" ht="119.25" customHeight="1" x14ac:dyDescent="0.2">
      <c r="A173" s="458" t="s">
        <v>738</v>
      </c>
      <c r="B173" s="451" t="s">
        <v>830</v>
      </c>
      <c r="C173" s="452" t="s">
        <v>606</v>
      </c>
      <c r="D173" s="453" t="s">
        <v>620</v>
      </c>
      <c r="E173" s="454" t="s">
        <v>109</v>
      </c>
      <c r="F173" s="454" t="s">
        <v>861</v>
      </c>
      <c r="G173" s="446" t="s">
        <v>675</v>
      </c>
      <c r="H173" s="456" t="s">
        <v>860</v>
      </c>
      <c r="I173" s="446" t="s">
        <v>654</v>
      </c>
      <c r="J173" s="446" t="s">
        <v>868</v>
      </c>
      <c r="K173" s="457">
        <v>52</v>
      </c>
      <c r="L173" s="447" t="str">
        <f t="shared" ref="L173" si="316">IF(K173&lt;=0,"",IF(K173&lt;=2,"Muy Baja",IF(K173&lt;=24,"Baja",IF(K173&lt;=500,"Media",IF(K173&lt;=5000,"Alta","Muy Alta")))))</f>
        <v>Media</v>
      </c>
      <c r="M173" s="445">
        <f>IF(L173="","",IF(L173="Muy Baja",0.2,IF(L173="Baja",0.4,IF(L173="Media",0.6,IF(L173="Alta",0.8,IF(L173="Muy Alta",1,))))))</f>
        <v>0.6</v>
      </c>
      <c r="N173" s="455" t="s">
        <v>122</v>
      </c>
      <c r="O173" s="285" t="str">
        <f ca="1">IF(NOT(ISERROR(MATCH(N173,'Tabla Impacto'!$B$221:$B$223,0))),'Tabla Impacto'!$F$223&amp;"Por favor no seleccionar los criterios de impacto(Afectación Económica o presupuestal y Pérdida Reputacional)",N173)</f>
        <v xml:space="preserve">     El riesgo afecta la imagen de de la entidad con efecto publicitario sostenido a nivel de sector administrativo, nivel departamental o municipal</v>
      </c>
      <c r="P173" s="447" t="str">
        <f ca="1">IF(OR(O173='Tabla Impacto'!$C$11,O173='Tabla Impacto'!$D$11),"Leve",IF(OR(O173='Tabla Impacto'!$C$12,O173='Tabla Impacto'!$D$12),"Menor",IF(OR(O173='Tabla Impacto'!$C$13,O173='Tabla Impacto'!$D$13),"Moderado",IF(OR(O173='Tabla Impacto'!$C$14,O173='Tabla Impacto'!$D$14),"Mayor",IF(OR(O173='Tabla Impacto'!$C$15,O173='Tabla Impacto'!$D$15),"Catastrófico","")))))</f>
        <v>Mayor</v>
      </c>
      <c r="Q173" s="445">
        <f ca="1">IF(P173="","",IF(P173="Leve",0.2,IF(P173="Menor",0.4,IF(P173="Moderado",0.6,IF(P173="Mayor",0.8,IF(P173="Catastrófico",1,))))))</f>
        <v>0.8</v>
      </c>
      <c r="R173" s="459" t="str">
        <f ca="1">IF(OR(AND(L173="Muy Baja",P173="Leve"),AND(L173="Muy Baja",P173="Menor"),AND(L173="Baja",P173="Leve")),"Bajo",IF(OR(AND(L173="Muy baja",P173="Moderado"),AND(L173="Baja",P173="Menor"),AND(L173="Baja",P173="Moderado"),AND(L173="Media",P173="Leve"),AND(L173="Media",P173="Menor"),AND(L173="Media",P173="Moderado"),AND(L173="Alta",P173="Leve"),AND(L173="Alta",P173="Menor")),"Moderado",IF(OR(AND(L173="Muy Baja",P173="Mayor"),AND(L173="Baja",P173="Mayor"),AND(L173="Media",P173="Mayor"),AND(L173="Alta",P173="Moderado"),AND(L173="Alta",P173="Mayor"),AND(L173="Muy Alta",P173="Leve"),AND(L173="Muy Alta",P173="Menor"),AND(L173="Muy Alta",P173="Moderado"),AND(L173="Muy Alta",P173="Mayor")),"Alto",IF(OR(AND(L173="Muy Baja",P173="Catastrófico"),AND(L173="Baja",P173="Catastrófico"),AND(L173="Media",P173="Catastrófico"),AND(L173="Alta",P173="Catastrófico"),AND(L173="Muy Alta",P173="Catastrófico")),"Extremo",""))))</f>
        <v>Alto</v>
      </c>
      <c r="S173" s="248">
        <v>1</v>
      </c>
      <c r="T173" s="321" t="s">
        <v>862</v>
      </c>
      <c r="U173" s="245" t="s">
        <v>293</v>
      </c>
      <c r="V173" s="322" t="str">
        <f>IF(OR(W173="Preventivo",W173="Detectivo"),"Probabilidad",IF(W173="Correctivo","Impacto",""))</f>
        <v>Probabilidad</v>
      </c>
      <c r="W173" s="323" t="s">
        <v>13</v>
      </c>
      <c r="X173" s="323" t="s">
        <v>8</v>
      </c>
      <c r="Y173" s="324" t="str">
        <f>IF(AND(W173="Preventivo",X173="Automático"),"50%",IF(AND(W173="Preventivo",X173="Manual"),"40%",IF(AND(W173="Detectivo",X173="Automático"),"40%",IF(AND(W173="Detectivo",X173="Manual"),"30%",IF(AND(W173="Correctivo",X173="Automático"),"35%",IF(AND(W173="Correctivo",X173="Manual"),"25%",""))))))</f>
        <v>40%</v>
      </c>
      <c r="Z173" s="323" t="s">
        <v>18</v>
      </c>
      <c r="AA173" s="323" t="s">
        <v>21</v>
      </c>
      <c r="AB173" s="323" t="s">
        <v>103</v>
      </c>
      <c r="AC173" s="325">
        <f t="shared" ref="AC173" si="317">IFERROR(IF(V173="Probabilidad",(M173-(+M173*Y173)),IF(V173="Impacto",M173,"")),"")</f>
        <v>0.36</v>
      </c>
      <c r="AD173" s="326" t="str">
        <f>IFERROR(IF(AC173="","",IF(AC173&lt;=0.2,"Muy Baja",IF(AC173&lt;=0.4,"Baja",IF(AC173&lt;=0.6,"Media",IF(AC173&lt;=0.8,"Alta","Muy Alta"))))),"")</f>
        <v>Baja</v>
      </c>
      <c r="AE173" s="324">
        <f>+AC173</f>
        <v>0.36</v>
      </c>
      <c r="AF173" s="326" t="str">
        <f ca="1">IFERROR(IF(AG173="","",IF(AG173&lt;=0.2,"Leve",IF(AG173&lt;=0.4,"Menor",IF(AG173&lt;=0.6,"Moderado",IF(AG173&lt;=0.8,"Mayor","Catastrófico"))))),"")</f>
        <v>Mayor</v>
      </c>
      <c r="AG173" s="324">
        <f ca="1">IFERROR(IF(V173="Impacto",(Q173-(+Q173*Y173)),IF(V173="Probabilidad",Q173,"")),"")</f>
        <v>0.8</v>
      </c>
      <c r="AH173" s="328" t="str">
        <f ca="1">IFERROR(IF(OR(AND(AD173="Muy Baja",AF173="Leve"),AND(AD173="Muy Baja",AF173="Menor"),AND(AD173="Baja",AF173="Leve")),"Bajo",IF(OR(AND(AD173="Muy baja",AF173="Moderado"),AND(AD173="Baja",AF173="Menor"),AND(AD173="Baja",AF173="Moderado"),AND(AD173="Media",AF173="Leve"),AND(AD173="Media",AF173="Menor"),AND(AD173="Media",AF173="Moderado"),AND(AD173="Alta",AF173="Leve"),AND(AD173="Alta",AF173="Menor")),"Moderado",IF(OR(AND(AD173="Muy Baja",AF173="Mayor"),AND(AD173="Baja",AF173="Mayor"),AND(AD173="Media",AF173="Mayor"),AND(AD173="Alta",AF173="Moderado"),AND(AD173="Alta",AF173="Mayor"),AND(AD173="Muy Alta",AF173="Leve"),AND(AD173="Muy Alta",AF173="Menor"),AND(AD173="Muy Alta",AF173="Moderado"),AND(AD173="Muy Alta",AF173="Mayor")),"Alto",IF(OR(AND(AD173="Muy Baja",AF173="Catastrófico"),AND(AD173="Baja",AF173="Catastrófico"),AND(AD173="Media",AF173="Catastrófico"),AND(AD173="Alta",AF173="Catastrófico"),AND(AD173="Muy Alta",AF173="Catastrófico")),"Extremo","")))),"")</f>
        <v>Alto</v>
      </c>
      <c r="AI173" s="323" t="s">
        <v>26</v>
      </c>
      <c r="AJ173" s="249">
        <v>0</v>
      </c>
      <c r="AK173" s="249">
        <v>0</v>
      </c>
      <c r="AL173" s="249">
        <v>0</v>
      </c>
      <c r="AM173" s="249">
        <v>0</v>
      </c>
      <c r="AN173" s="282"/>
      <c r="AO173" s="259"/>
      <c r="AP173" s="259"/>
      <c r="AQ173" s="239"/>
      <c r="AR173" s="264"/>
      <c r="AS173" s="265"/>
      <c r="AT173" s="293"/>
      <c r="AU173" s="293"/>
      <c r="AV173" s="293"/>
      <c r="AW173" s="293"/>
      <c r="AX173" s="293"/>
      <c r="AY173" s="293"/>
      <c r="AZ173" s="293"/>
      <c r="BA173" s="293"/>
      <c r="BB173" s="293"/>
      <c r="BC173" s="293"/>
      <c r="BD173" s="293"/>
      <c r="BE173" s="293"/>
      <c r="BF173" s="293"/>
      <c r="BG173" s="293"/>
      <c r="BH173" s="293"/>
      <c r="BI173" s="293"/>
      <c r="BJ173" s="293"/>
      <c r="BK173" s="293"/>
      <c r="BL173" s="293"/>
      <c r="BM173" s="293"/>
      <c r="BN173" s="293"/>
      <c r="BO173" s="293"/>
      <c r="BP173" s="293"/>
      <c r="BQ173" s="293"/>
      <c r="BR173" s="293"/>
      <c r="BS173" s="293"/>
      <c r="BT173" s="293"/>
      <c r="BU173" s="293"/>
      <c r="BV173" s="293"/>
      <c r="BW173" s="293"/>
      <c r="BX173" s="293"/>
      <c r="BY173" s="293"/>
      <c r="BZ173" s="293"/>
    </row>
    <row r="174" spans="1:78" s="295" customFormat="1" ht="132" customHeight="1" x14ac:dyDescent="0.2">
      <c r="A174" s="458"/>
      <c r="B174" s="451"/>
      <c r="C174" s="452"/>
      <c r="D174" s="453"/>
      <c r="E174" s="454"/>
      <c r="F174" s="454"/>
      <c r="G174" s="446"/>
      <c r="H174" s="456"/>
      <c r="I174" s="446"/>
      <c r="J174" s="446"/>
      <c r="K174" s="457"/>
      <c r="L174" s="447"/>
      <c r="M174" s="445"/>
      <c r="N174" s="455"/>
      <c r="O174" s="285">
        <f ca="1">IF(NOT(ISERROR(MATCH(N174,_xlfn.ANCHORARRAY(H25),0))),M27&amp;"Por favor no seleccionar los criterios de impacto",N174)</f>
        <v>0</v>
      </c>
      <c r="P174" s="447"/>
      <c r="Q174" s="445"/>
      <c r="R174" s="459"/>
      <c r="S174" s="248">
        <v>2</v>
      </c>
      <c r="T174" s="321" t="s">
        <v>863</v>
      </c>
      <c r="U174" s="245" t="s">
        <v>293</v>
      </c>
      <c r="V174" s="322" t="str">
        <f>IF(OR(W174="Preventivo",W174="Detectivo"),"Probabilidad",IF(W174="Correctivo","Impacto",""))</f>
        <v>Probabilidad</v>
      </c>
      <c r="W174" s="323" t="s">
        <v>13</v>
      </c>
      <c r="X174" s="323" t="s">
        <v>8</v>
      </c>
      <c r="Y174" s="324" t="str">
        <f>IF(AND(W174="Preventivo",X174="Automático"),"50%",IF(AND(W174="Preventivo",X174="Manual"),"40%",IF(AND(W174="Detectivo",X174="Automático"),"40%",IF(AND(W174="Detectivo",X174="Manual"),"30%",IF(AND(W174="Correctivo",X174="Automático"),"35%",IF(AND(W174="Correctivo",X174="Manual"),"25%",""))))))</f>
        <v>40%</v>
      </c>
      <c r="Z174" s="323" t="s">
        <v>18</v>
      </c>
      <c r="AA174" s="323" t="s">
        <v>21</v>
      </c>
      <c r="AB174" s="323" t="s">
        <v>103</v>
      </c>
      <c r="AC174" s="325">
        <f t="shared" ref="AC174" si="318">IFERROR(IF(AND(V173="Probabilidad",V174="Probabilidad"),(AE173-(+AE173*Y174)),IF(V174="Probabilidad",(M173-(+M173*Y174)),IF(V174="Impacto",AE173,""))),"")</f>
        <v>0.216</v>
      </c>
      <c r="AD174" s="326" t="str">
        <f t="shared" ref="AD174:AD178" si="319">IFERROR(IF(AC174="","",IF(AC174&lt;=0.2,"Muy Baja",IF(AC174&lt;=0.4,"Baja",IF(AC174&lt;=0.6,"Media",IF(AC174&lt;=0.8,"Alta","Muy Alta"))))),"")</f>
        <v>Baja</v>
      </c>
      <c r="AE174" s="324">
        <f>+AC174</f>
        <v>0.216</v>
      </c>
      <c r="AF174" s="326" t="str">
        <f t="shared" ref="AF174:AF178" ca="1" si="320">IFERROR(IF(AG174="","",IF(AG174&lt;=0.2,"Leve",IF(AG174&lt;=0.4,"Menor",IF(AG174&lt;=0.6,"Moderado",IF(AG174&lt;=0.8,"Mayor","Catastrófico"))))),"")</f>
        <v>Mayor</v>
      </c>
      <c r="AG174" s="324">
        <f ca="1">IFERROR(IF(AND(V173="Impacto",V174="Impacto"),(AG173-(+AG173*Y174)),IF(V174="Impacto",($Q$173-(+$Q$173*Y174)),IF(V174="Probabilidad",AG173,""))),"")</f>
        <v>0.8</v>
      </c>
      <c r="AH174" s="328" t="str">
        <f t="shared" ref="AH174:AH175" ca="1" si="321">IFERROR(IF(OR(AND(AD174="Muy Baja",AF174="Leve"),AND(AD174="Muy Baja",AF174="Menor"),AND(AD174="Baja",AF174="Leve")),"Bajo",IF(OR(AND(AD174="Muy baja",AF174="Moderado"),AND(AD174="Baja",AF174="Menor"),AND(AD174="Baja",AF174="Moderado"),AND(AD174="Media",AF174="Leve"),AND(AD174="Media",AF174="Menor"),AND(AD174="Media",AF174="Moderado"),AND(AD174="Alta",AF174="Leve"),AND(AD174="Alta",AF174="Menor")),"Moderado",IF(OR(AND(AD174="Muy Baja",AF174="Mayor"),AND(AD174="Baja",AF174="Mayor"),AND(AD174="Media",AF174="Mayor"),AND(AD174="Alta",AF174="Moderado"),AND(AD174="Alta",AF174="Mayor"),AND(AD174="Muy Alta",AF174="Leve"),AND(AD174="Muy Alta",AF174="Menor"),AND(AD174="Muy Alta",AF174="Moderado"),AND(AD174="Muy Alta",AF174="Mayor")),"Alto",IF(OR(AND(AD174="Muy Baja",AF174="Catastrófico"),AND(AD174="Baja",AF174="Catastrófico"),AND(AD174="Media",AF174="Catastrófico"),AND(AD174="Alta",AF174="Catastrófico"),AND(AD174="Muy Alta",AF174="Catastrófico")),"Extremo","")))),"")</f>
        <v>Alto</v>
      </c>
      <c r="AI174" s="323" t="s">
        <v>26</v>
      </c>
      <c r="AJ174" s="249">
        <v>0</v>
      </c>
      <c r="AK174" s="249">
        <v>0</v>
      </c>
      <c r="AL174" s="249">
        <v>0</v>
      </c>
      <c r="AM174" s="249">
        <v>0</v>
      </c>
      <c r="AN174" s="278"/>
      <c r="AO174" s="277"/>
      <c r="AP174" s="277"/>
      <c r="AQ174" s="276"/>
      <c r="AR174" s="263"/>
      <c r="AS174" s="277"/>
      <c r="AT174" s="293"/>
      <c r="AU174" s="293"/>
      <c r="AV174" s="293"/>
      <c r="AW174" s="293"/>
      <c r="AX174" s="293"/>
      <c r="AY174" s="293"/>
      <c r="AZ174" s="293"/>
      <c r="BA174" s="293"/>
      <c r="BB174" s="293"/>
      <c r="BC174" s="293"/>
      <c r="BD174" s="293"/>
      <c r="BE174" s="293"/>
      <c r="BF174" s="293"/>
      <c r="BG174" s="293"/>
      <c r="BH174" s="293"/>
      <c r="BI174" s="293"/>
      <c r="BJ174" s="293"/>
      <c r="BK174" s="293"/>
      <c r="BL174" s="293"/>
      <c r="BM174" s="293"/>
      <c r="BN174" s="293"/>
      <c r="BO174" s="293"/>
      <c r="BP174" s="293"/>
      <c r="BQ174" s="293"/>
      <c r="BR174" s="293"/>
      <c r="BS174" s="293"/>
      <c r="BT174" s="293"/>
      <c r="BU174" s="293"/>
      <c r="BV174" s="293"/>
      <c r="BW174" s="293"/>
      <c r="BX174" s="293"/>
      <c r="BY174" s="293"/>
      <c r="BZ174" s="293"/>
    </row>
    <row r="175" spans="1:78" s="295" customFormat="1" ht="121.5" customHeight="1" x14ac:dyDescent="0.2">
      <c r="A175" s="458"/>
      <c r="B175" s="451"/>
      <c r="C175" s="452"/>
      <c r="D175" s="453"/>
      <c r="E175" s="454"/>
      <c r="F175" s="454"/>
      <c r="G175" s="446"/>
      <c r="H175" s="456"/>
      <c r="I175" s="446"/>
      <c r="J175" s="446"/>
      <c r="K175" s="457"/>
      <c r="L175" s="447"/>
      <c r="M175" s="445"/>
      <c r="N175" s="455"/>
      <c r="O175" s="285">
        <f ca="1">IF(NOT(ISERROR(MATCH(N175,_xlfn.ANCHORARRAY(H26),0))),M28&amp;"Por favor no seleccionar los criterios de impacto",N175)</f>
        <v>0</v>
      </c>
      <c r="P175" s="447"/>
      <c r="Q175" s="445"/>
      <c r="R175" s="459"/>
      <c r="S175" s="248">
        <v>3</v>
      </c>
      <c r="T175" s="321" t="s">
        <v>864</v>
      </c>
      <c r="U175" s="245" t="s">
        <v>293</v>
      </c>
      <c r="V175" s="322" t="str">
        <f>IF(OR(W175="Preventivo",W175="Detectivo"),"Probabilidad",IF(W175="Correctivo","Impacto",""))</f>
        <v>Probabilidad</v>
      </c>
      <c r="W175" s="323" t="s">
        <v>13</v>
      </c>
      <c r="X175" s="323" t="s">
        <v>8</v>
      </c>
      <c r="Y175" s="324" t="str">
        <f>IF(AND(W175="Preventivo",X175="Automático"),"50%",IF(AND(W175="Preventivo",X175="Manual"),"40%",IF(AND(W175="Detectivo",X175="Automático"),"40%",IF(AND(W175="Detectivo",X175="Manual"),"30%",IF(AND(W175="Correctivo",X175="Automático"),"35%",IF(AND(W175="Correctivo",X175="Manual"),"25%",""))))))</f>
        <v>40%</v>
      </c>
      <c r="Z175" s="323" t="s">
        <v>18</v>
      </c>
      <c r="AA175" s="323" t="s">
        <v>21</v>
      </c>
      <c r="AB175" s="323" t="s">
        <v>103</v>
      </c>
      <c r="AC175" s="325">
        <f t="shared" ref="AC175:AC178" si="322">IFERROR(IF(AND(V174="Probabilidad",V175="Probabilidad"),(AE174-(+AE174*Y175)),IF(AND(V174="Impacto",V175="Probabilidad"),(AE173-(+AE173*Y175)),IF(V175="Impacto",AE174,""))),"")</f>
        <v>0.12959999999999999</v>
      </c>
      <c r="AD175" s="326" t="str">
        <f t="shared" si="319"/>
        <v>Muy Baja</v>
      </c>
      <c r="AE175" s="324">
        <f t="shared" ref="AE175:AE178" si="323">+AC175</f>
        <v>0.12959999999999999</v>
      </c>
      <c r="AF175" s="326" t="str">
        <f t="shared" ca="1" si="320"/>
        <v>Mayor</v>
      </c>
      <c r="AG175" s="324">
        <f ca="1">IFERROR(IF(AND(V174="Impacto",V175="Impacto"),(AG174-(+AG174*Y175)),IF(V175="Impacto",($Q$173-(+$Q$173*Y175)),IF(V175="Probabilidad",AG174,""))),"")</f>
        <v>0.8</v>
      </c>
      <c r="AH175" s="328" t="str">
        <f t="shared" ca="1" si="321"/>
        <v>Alto</v>
      </c>
      <c r="AI175" s="323" t="s">
        <v>26</v>
      </c>
      <c r="AJ175" s="249">
        <v>0</v>
      </c>
      <c r="AK175" s="249">
        <v>0</v>
      </c>
      <c r="AL175" s="249">
        <v>0</v>
      </c>
      <c r="AM175" s="249">
        <v>0</v>
      </c>
      <c r="AN175" s="278"/>
      <c r="AO175" s="277"/>
      <c r="AP175" s="277"/>
      <c r="AQ175" s="276"/>
      <c r="AR175" s="263"/>
      <c r="AS175" s="277"/>
      <c r="AT175" s="293"/>
      <c r="AU175" s="293"/>
      <c r="AV175" s="293"/>
      <c r="AW175" s="293"/>
      <c r="AX175" s="293"/>
      <c r="AY175" s="293"/>
      <c r="AZ175" s="293"/>
      <c r="BA175" s="293"/>
      <c r="BB175" s="293"/>
      <c r="BC175" s="293"/>
      <c r="BD175" s="293"/>
      <c r="BE175" s="293"/>
      <c r="BF175" s="293"/>
      <c r="BG175" s="293"/>
      <c r="BH175" s="293"/>
      <c r="BI175" s="293"/>
      <c r="BJ175" s="293"/>
      <c r="BK175" s="293"/>
      <c r="BL175" s="293"/>
      <c r="BM175" s="293"/>
      <c r="BN175" s="293"/>
      <c r="BO175" s="293"/>
      <c r="BP175" s="293"/>
      <c r="BQ175" s="293"/>
      <c r="BR175" s="293"/>
      <c r="BS175" s="293"/>
      <c r="BT175" s="293"/>
      <c r="BU175" s="293"/>
      <c r="BV175" s="293"/>
      <c r="BW175" s="293"/>
      <c r="BX175" s="293"/>
      <c r="BY175" s="293"/>
      <c r="BZ175" s="293"/>
    </row>
    <row r="176" spans="1:78" s="295" customFormat="1" ht="14.25" customHeight="1" x14ac:dyDescent="0.2">
      <c r="A176" s="458"/>
      <c r="B176" s="451"/>
      <c r="C176" s="452"/>
      <c r="D176" s="453"/>
      <c r="E176" s="454"/>
      <c r="F176" s="454"/>
      <c r="G176" s="446"/>
      <c r="H176" s="456"/>
      <c r="I176" s="446"/>
      <c r="J176" s="446"/>
      <c r="K176" s="457"/>
      <c r="L176" s="447"/>
      <c r="M176" s="445"/>
      <c r="N176" s="455"/>
      <c r="O176" s="285">
        <f ca="1">IF(NOT(ISERROR(MATCH(N176,_xlfn.ANCHORARRAY(H27),0))),M29&amp;"Por favor no seleccionar los criterios de impacto",N176)</f>
        <v>0</v>
      </c>
      <c r="P176" s="447"/>
      <c r="Q176" s="445"/>
      <c r="R176" s="459"/>
      <c r="S176" s="248">
        <v>4</v>
      </c>
      <c r="T176" s="330"/>
      <c r="U176" s="245"/>
      <c r="V176" s="322" t="str">
        <f t="shared" ref="V176:V178" si="324">IF(OR(W176="Preventivo",W176="Detectivo"),"Probabilidad",IF(W176="Correctivo","Impacto",""))</f>
        <v/>
      </c>
      <c r="W176" s="323"/>
      <c r="X176" s="323"/>
      <c r="Y176" s="324" t="str">
        <f t="shared" ref="Y176:Y178" si="325">IF(AND(W176="Preventivo",X176="Automático"),"50%",IF(AND(W176="Preventivo",X176="Manual"),"40%",IF(AND(W176="Detectivo",X176="Automático"),"40%",IF(AND(W176="Detectivo",X176="Manual"),"30%",IF(AND(W176="Correctivo",X176="Automático"),"35%",IF(AND(W176="Correctivo",X176="Manual"),"25%",""))))))</f>
        <v/>
      </c>
      <c r="Z176" s="323"/>
      <c r="AA176" s="323"/>
      <c r="AB176" s="323"/>
      <c r="AC176" s="325" t="str">
        <f t="shared" si="322"/>
        <v/>
      </c>
      <c r="AD176" s="326" t="str">
        <f t="shared" si="319"/>
        <v/>
      </c>
      <c r="AE176" s="324" t="str">
        <f t="shared" si="323"/>
        <v/>
      </c>
      <c r="AF176" s="326" t="str">
        <f t="shared" si="320"/>
        <v/>
      </c>
      <c r="AG176" s="324" t="str">
        <f>IFERROR(IF(AND(V175="Impacto",V176="Impacto"),(AG175-(+AG175*Y176)),IF(V176="Impacto",(#REF!-(+#REF!*Y176)),IF(V176="Probabilidad",AG175,""))),"")</f>
        <v/>
      </c>
      <c r="AH176" s="328" t="str">
        <f>IFERROR(IF(OR(AND(AD176="Muy Baja",AF176="Leve"),AND(AD176="Muy Baja",AF176="Menor"),AND(AD176="Baja",AF176="Leve")),"Bajo",IF(OR(AND(AD176="Muy baja",AF176="Moderado"),AND(AD176="Baja",AF176="Menor"),AND(AD176="Baja",AF176="Moderado"),AND(AD176="Media",AF176="Leve"),AND(AD176="Media",AF176="Menor"),AND(AD176="Media",AF176="Moderado"),AND(AD176="Alta",AF176="Leve"),AND(AD176="Alta",AF176="Menor")),"Moderado",IF(OR(AND(AD176="Muy Baja",AF176="Mayor"),AND(AD176="Baja",AF176="Mayor"),AND(AD176="Media",AF176="Mayor"),AND(AD176="Alta",AF176="Moderado"),AND(AD176="Alta",AF176="Mayor"),AND(AD176="Muy Alta",AF176="Leve"),AND(AD176="Muy Alta",AF176="Menor"),AND(AD176="Muy Alta",AF176="Moderado"),AND(AD176="Muy Alta",AF176="Mayor")),"Alto",IF(OR(AND(AD176="Muy Baja",AF176="Catastrófico"),AND(AD176="Baja",AF176="Catastrófico"),AND(AD176="Media",AF176="Catastrófico"),AND(AD176="Alta",AF176="Catastrófico"),AND(AD176="Muy Alta",AF176="Catastrófico")),"Extremo","")))),"")</f>
        <v/>
      </c>
      <c r="AI176" s="323"/>
      <c r="AJ176" s="249"/>
      <c r="AK176" s="249"/>
      <c r="AL176" s="249"/>
      <c r="AM176" s="249"/>
      <c r="AN176" s="278"/>
      <c r="AO176" s="209"/>
      <c r="AP176" s="209"/>
      <c r="AQ176" s="244"/>
      <c r="AR176" s="263"/>
      <c r="AS176" s="209"/>
      <c r="AT176" s="293"/>
      <c r="AU176" s="293"/>
      <c r="AV176" s="293"/>
      <c r="AW176" s="293"/>
      <c r="AX176" s="293"/>
      <c r="AY176" s="293"/>
      <c r="AZ176" s="293"/>
      <c r="BA176" s="293"/>
      <c r="BB176" s="293"/>
      <c r="BC176" s="293"/>
      <c r="BD176" s="293"/>
      <c r="BE176" s="293"/>
      <c r="BF176" s="293"/>
      <c r="BG176" s="293"/>
      <c r="BH176" s="293"/>
      <c r="BI176" s="293"/>
      <c r="BJ176" s="293"/>
      <c r="BK176" s="293"/>
      <c r="BL176" s="293"/>
      <c r="BM176" s="293"/>
      <c r="BN176" s="293"/>
      <c r="BO176" s="293"/>
      <c r="BP176" s="293"/>
      <c r="BQ176" s="293"/>
      <c r="BR176" s="293"/>
      <c r="BS176" s="293"/>
      <c r="BT176" s="293"/>
      <c r="BU176" s="293"/>
      <c r="BV176" s="293"/>
      <c r="BW176" s="293"/>
      <c r="BX176" s="293"/>
      <c r="BY176" s="293"/>
      <c r="BZ176" s="293"/>
    </row>
    <row r="177" spans="1:78" s="295" customFormat="1" ht="14.25" customHeight="1" x14ac:dyDescent="0.2">
      <c r="A177" s="458"/>
      <c r="B177" s="451"/>
      <c r="C177" s="452"/>
      <c r="D177" s="453"/>
      <c r="E177" s="454"/>
      <c r="F177" s="454"/>
      <c r="G177" s="446"/>
      <c r="H177" s="456"/>
      <c r="I177" s="446"/>
      <c r="J177" s="446"/>
      <c r="K177" s="457"/>
      <c r="L177" s="447"/>
      <c r="M177" s="445"/>
      <c r="N177" s="455"/>
      <c r="O177" s="285">
        <f ca="1">IF(NOT(ISERROR(MATCH(N177,_xlfn.ANCHORARRAY(H28),0))),M30&amp;"Por favor no seleccionar los criterios de impacto",N177)</f>
        <v>0</v>
      </c>
      <c r="P177" s="447"/>
      <c r="Q177" s="445"/>
      <c r="R177" s="459"/>
      <c r="S177" s="248">
        <v>5</v>
      </c>
      <c r="T177" s="330"/>
      <c r="U177" s="245"/>
      <c r="V177" s="322" t="str">
        <f t="shared" si="324"/>
        <v/>
      </c>
      <c r="W177" s="323"/>
      <c r="X177" s="323"/>
      <c r="Y177" s="324" t="str">
        <f t="shared" si="325"/>
        <v/>
      </c>
      <c r="Z177" s="323"/>
      <c r="AA177" s="323"/>
      <c r="AB177" s="323"/>
      <c r="AC177" s="325" t="str">
        <f t="shared" si="322"/>
        <v/>
      </c>
      <c r="AD177" s="326" t="str">
        <f t="shared" si="319"/>
        <v/>
      </c>
      <c r="AE177" s="324" t="str">
        <f t="shared" si="323"/>
        <v/>
      </c>
      <c r="AF177" s="326" t="str">
        <f t="shared" si="320"/>
        <v/>
      </c>
      <c r="AG177" s="324" t="str">
        <f>IFERROR(IF(AND(V176="Impacto",V177="Impacto"),(AG176-(+AG176*Y177)),IF(V177="Impacto",(#REF!-(+#REF!*Y177)),IF(V177="Probabilidad",AG176,""))),"")</f>
        <v/>
      </c>
      <c r="AH177" s="328" t="str">
        <f t="shared" ref="AH177:AH178" si="326">IFERROR(IF(OR(AND(AD177="Muy Baja",AF177="Leve"),AND(AD177="Muy Baja",AF177="Menor"),AND(AD177="Baja",AF177="Leve")),"Bajo",IF(OR(AND(AD177="Muy baja",AF177="Moderado"),AND(AD177="Baja",AF177="Menor"),AND(AD177="Baja",AF177="Moderado"),AND(AD177="Media",AF177="Leve"),AND(AD177="Media",AF177="Menor"),AND(AD177="Media",AF177="Moderado"),AND(AD177="Alta",AF177="Leve"),AND(AD177="Alta",AF177="Menor")),"Moderado",IF(OR(AND(AD177="Muy Baja",AF177="Mayor"),AND(AD177="Baja",AF177="Mayor"),AND(AD177="Media",AF177="Mayor"),AND(AD177="Alta",AF177="Moderado"),AND(AD177="Alta",AF177="Mayor"),AND(AD177="Muy Alta",AF177="Leve"),AND(AD177="Muy Alta",AF177="Menor"),AND(AD177="Muy Alta",AF177="Moderado"),AND(AD177="Muy Alta",AF177="Mayor")),"Alto",IF(OR(AND(AD177="Muy Baja",AF177="Catastrófico"),AND(AD177="Baja",AF177="Catastrófico"),AND(AD177="Media",AF177="Catastrófico"),AND(AD177="Alta",AF177="Catastrófico"),AND(AD177="Muy Alta",AF177="Catastrófico")),"Extremo","")))),"")</f>
        <v/>
      </c>
      <c r="AI177" s="323"/>
      <c r="AJ177" s="249"/>
      <c r="AK177" s="249"/>
      <c r="AL177" s="249"/>
      <c r="AM177" s="249"/>
      <c r="AN177" s="278"/>
      <c r="AO177" s="276"/>
      <c r="AP177" s="276"/>
      <c r="AQ177" s="278"/>
      <c r="AR177" s="211"/>
      <c r="AS177" s="211"/>
      <c r="AT177" s="293"/>
      <c r="AU177" s="293"/>
      <c r="AV177" s="293"/>
      <c r="AW177" s="293"/>
      <c r="AX177" s="293"/>
      <c r="AY177" s="293"/>
      <c r="AZ177" s="293"/>
      <c r="BA177" s="293"/>
      <c r="BB177" s="293"/>
      <c r="BC177" s="293"/>
      <c r="BD177" s="293"/>
      <c r="BE177" s="293"/>
      <c r="BF177" s="293"/>
      <c r="BG177" s="293"/>
      <c r="BH177" s="293"/>
      <c r="BI177" s="293"/>
      <c r="BJ177" s="293"/>
      <c r="BK177" s="293"/>
      <c r="BL177" s="293"/>
      <c r="BM177" s="293"/>
      <c r="BN177" s="293"/>
      <c r="BO177" s="293"/>
      <c r="BP177" s="293"/>
      <c r="BQ177" s="293"/>
      <c r="BR177" s="293"/>
      <c r="BS177" s="293"/>
      <c r="BT177" s="293"/>
      <c r="BU177" s="293"/>
      <c r="BV177" s="293"/>
      <c r="BW177" s="293"/>
      <c r="BX177" s="293"/>
      <c r="BY177" s="293"/>
      <c r="BZ177" s="293"/>
    </row>
    <row r="178" spans="1:78" s="295" customFormat="1" ht="14.25" customHeight="1" x14ac:dyDescent="0.2">
      <c r="A178" s="458"/>
      <c r="B178" s="451"/>
      <c r="C178" s="452"/>
      <c r="D178" s="453"/>
      <c r="E178" s="454"/>
      <c r="F178" s="454"/>
      <c r="G178" s="446"/>
      <c r="H178" s="456"/>
      <c r="I178" s="446"/>
      <c r="J178" s="446"/>
      <c r="K178" s="457"/>
      <c r="L178" s="447"/>
      <c r="M178" s="445"/>
      <c r="N178" s="455"/>
      <c r="O178" s="285">
        <f ca="1">IF(NOT(ISERROR(MATCH(N178,_xlfn.ANCHORARRAY(H29),0))),M37&amp;"Por favor no seleccionar los criterios de impacto",N178)</f>
        <v>0</v>
      </c>
      <c r="P178" s="447"/>
      <c r="Q178" s="445"/>
      <c r="R178" s="459"/>
      <c r="S178" s="248">
        <v>6</v>
      </c>
      <c r="T178" s="330"/>
      <c r="U178" s="245"/>
      <c r="V178" s="322" t="str">
        <f t="shared" si="324"/>
        <v/>
      </c>
      <c r="W178" s="323"/>
      <c r="X178" s="323"/>
      <c r="Y178" s="324" t="str">
        <f t="shared" si="325"/>
        <v/>
      </c>
      <c r="Z178" s="323"/>
      <c r="AA178" s="323"/>
      <c r="AB178" s="323"/>
      <c r="AC178" s="325" t="str">
        <f t="shared" si="322"/>
        <v/>
      </c>
      <c r="AD178" s="326" t="str">
        <f t="shared" si="319"/>
        <v/>
      </c>
      <c r="AE178" s="324" t="str">
        <f t="shared" si="323"/>
        <v/>
      </c>
      <c r="AF178" s="326" t="str">
        <f t="shared" si="320"/>
        <v/>
      </c>
      <c r="AG178" s="324" t="str">
        <f>IFERROR(IF(AND(V177="Impacto",V178="Impacto"),(AG177-(+AG177*Y178)),IF(V178="Impacto",(#REF!-(+#REF!*Y178)),IF(V178="Probabilidad",AG177,""))),"")</f>
        <v/>
      </c>
      <c r="AH178" s="328" t="str">
        <f t="shared" si="326"/>
        <v/>
      </c>
      <c r="AI178" s="323"/>
      <c r="AJ178" s="249"/>
      <c r="AK178" s="249"/>
      <c r="AL178" s="249"/>
      <c r="AM178" s="249"/>
      <c r="AN178" s="278"/>
      <c r="AO178" s="276"/>
      <c r="AP178" s="276"/>
      <c r="AQ178" s="278"/>
      <c r="AR178" s="211"/>
      <c r="AS178" s="211"/>
      <c r="AT178" s="293"/>
      <c r="AU178" s="293"/>
      <c r="AV178" s="293"/>
      <c r="AW178" s="293"/>
      <c r="AX178" s="293"/>
      <c r="AY178" s="293"/>
      <c r="AZ178" s="293"/>
      <c r="BA178" s="293"/>
      <c r="BB178" s="293"/>
      <c r="BC178" s="293"/>
      <c r="BD178" s="293"/>
      <c r="BE178" s="293"/>
      <c r="BF178" s="293"/>
      <c r="BG178" s="293"/>
      <c r="BH178" s="293"/>
      <c r="BI178" s="293"/>
      <c r="BJ178" s="293"/>
      <c r="BK178" s="293"/>
      <c r="BL178" s="293"/>
      <c r="BM178" s="293"/>
      <c r="BN178" s="293"/>
      <c r="BO178" s="293"/>
      <c r="BP178" s="293"/>
      <c r="BQ178" s="293"/>
      <c r="BR178" s="293"/>
      <c r="BS178" s="293"/>
      <c r="BT178" s="293"/>
      <c r="BU178" s="293"/>
      <c r="BV178" s="293"/>
      <c r="BW178" s="293"/>
      <c r="BX178" s="293"/>
      <c r="BY178" s="293"/>
      <c r="BZ178" s="293"/>
    </row>
    <row r="179" spans="1:78" s="294" customFormat="1" ht="107.25" customHeight="1" x14ac:dyDescent="0.2">
      <c r="A179" s="458" t="s">
        <v>739</v>
      </c>
      <c r="B179" s="451" t="s">
        <v>830</v>
      </c>
      <c r="C179" s="452" t="s">
        <v>606</v>
      </c>
      <c r="D179" s="453" t="s">
        <v>620</v>
      </c>
      <c r="E179" s="454" t="s">
        <v>107</v>
      </c>
      <c r="F179" s="446" t="s">
        <v>675</v>
      </c>
      <c r="G179" s="454" t="s">
        <v>865</v>
      </c>
      <c r="H179" s="446" t="s">
        <v>806</v>
      </c>
      <c r="I179" s="446" t="s">
        <v>654</v>
      </c>
      <c r="J179" s="446" t="s">
        <v>735</v>
      </c>
      <c r="K179" s="457">
        <v>52</v>
      </c>
      <c r="L179" s="447" t="str">
        <f t="shared" ref="L179" si="327">IF(K179&lt;=0,"",IF(K179&lt;=2,"Muy Baja",IF(K179&lt;=24,"Baja",IF(K179&lt;=500,"Media",IF(K179&lt;=5000,"Alta","Muy Alta")))))</f>
        <v>Media</v>
      </c>
      <c r="M179" s="445">
        <f>IF(L179="","",IF(L179="Muy Baja",0.2,IF(L179="Baja",0.4,IF(L179="Media",0.6,IF(L179="Alta",0.8,IF(L179="Muy Alta",1,))))))</f>
        <v>0.6</v>
      </c>
      <c r="N179" s="455" t="s">
        <v>121</v>
      </c>
      <c r="O179" s="285" t="str">
        <f ca="1">IF(NOT(ISERROR(MATCH(N179,'Tabla Impacto'!$B$221:$B$223,0))),'Tabla Impacto'!$F$223&amp;"Por favor no seleccionar los criterios de impacto(Afectación Económica o presupuestal y Pérdida Reputacional)",N179)</f>
        <v xml:space="preserve">     El riesgo afecta la imagen de la entidad con algunos usuarios de relevancia frente al logro de los objetivos</v>
      </c>
      <c r="P179" s="447" t="str">
        <f ca="1">IF(OR(O179='Tabla Impacto'!$C$11,O179='Tabla Impacto'!$D$11),"Leve",IF(OR(O179='Tabla Impacto'!$C$12,O179='Tabla Impacto'!$D$12),"Menor",IF(OR(O179='Tabla Impacto'!$C$13,O179='Tabla Impacto'!$D$13),"Moderado",IF(OR(O179='Tabla Impacto'!$C$14,O179='Tabla Impacto'!$D$14),"Mayor",IF(OR(O179='Tabla Impacto'!$C$15,O179='Tabla Impacto'!$D$15),"Catastrófico","")))))</f>
        <v>Moderado</v>
      </c>
      <c r="Q179" s="445">
        <f ca="1">IF(P179="","",IF(P179="Leve",0.2,IF(P179="Menor",0.4,IF(P179="Moderado",0.6,IF(P179="Mayor",0.8,IF(P179="Catastrófico",1,))))))</f>
        <v>0.6</v>
      </c>
      <c r="R179" s="459" t="str">
        <f ca="1">IF(OR(AND(L179="Muy Baja",P179="Leve"),AND(L179="Muy Baja",P179="Menor"),AND(L179="Baja",P179="Leve")),"Bajo",IF(OR(AND(L179="Muy baja",P179="Moderado"),AND(L179="Baja",P179="Menor"),AND(L179="Baja",P179="Moderado"),AND(L179="Media",P179="Leve"),AND(L179="Media",P179="Menor"),AND(L179="Media",P179="Moderado"),AND(L179="Alta",P179="Leve"),AND(L179="Alta",P179="Menor")),"Moderado",IF(OR(AND(L179="Muy Baja",P179="Mayor"),AND(L179="Baja",P179="Mayor"),AND(L179="Media",P179="Mayor"),AND(L179="Alta",P179="Moderado"),AND(L179="Alta",P179="Mayor"),AND(L179="Muy Alta",P179="Leve"),AND(L179="Muy Alta",P179="Menor"),AND(L179="Muy Alta",P179="Moderado"),AND(L179="Muy Alta",P179="Mayor")),"Alto",IF(OR(AND(L179="Muy Baja",P179="Catastrófico"),AND(L179="Baja",P179="Catastrófico"),AND(L179="Media",P179="Catastrófico"),AND(L179="Alta",P179="Catastrófico"),AND(L179="Muy Alta",P179="Catastrófico")),"Extremo",""))))</f>
        <v>Moderado</v>
      </c>
      <c r="S179" s="248">
        <v>1</v>
      </c>
      <c r="T179" s="321" t="s">
        <v>866</v>
      </c>
      <c r="U179" s="245" t="s">
        <v>293</v>
      </c>
      <c r="V179" s="322" t="str">
        <f>IF(OR(W179="Preventivo",W179="Detectivo"),"Probabilidad",IF(W179="Correctivo","Impacto",""))</f>
        <v>Probabilidad</v>
      </c>
      <c r="W179" s="323" t="s">
        <v>13</v>
      </c>
      <c r="X179" s="323" t="s">
        <v>8</v>
      </c>
      <c r="Y179" s="324" t="str">
        <f>IF(AND(W179="Preventivo",X179="Automático"),"50%",IF(AND(W179="Preventivo",X179="Manual"),"40%",IF(AND(W179="Detectivo",X179="Automático"),"40%",IF(AND(W179="Detectivo",X179="Manual"),"30%",IF(AND(W179="Correctivo",X179="Automático"),"35%",IF(AND(W179="Correctivo",X179="Manual"),"25%",""))))))</f>
        <v>40%</v>
      </c>
      <c r="Z179" s="323" t="s">
        <v>18</v>
      </c>
      <c r="AA179" s="323" t="s">
        <v>21</v>
      </c>
      <c r="AB179" s="323" t="s">
        <v>103</v>
      </c>
      <c r="AC179" s="325">
        <f t="shared" ref="AC179" si="328">IFERROR(IF(V179="Probabilidad",(M179-(+M179*Y179)),IF(V179="Impacto",M179,"")),"")</f>
        <v>0.36</v>
      </c>
      <c r="AD179" s="326" t="str">
        <f>IFERROR(IF(AC179="","",IF(AC179&lt;=0.2,"Muy Baja",IF(AC179&lt;=0.4,"Baja",IF(AC179&lt;=0.6,"Media",IF(AC179&lt;=0.8,"Alta","Muy Alta"))))),"")</f>
        <v>Baja</v>
      </c>
      <c r="AE179" s="324">
        <f>+AC179</f>
        <v>0.36</v>
      </c>
      <c r="AF179" s="326" t="str">
        <f ca="1">IFERROR(IF(AG179="","",IF(AG179&lt;=0.2,"Leve",IF(AG179&lt;=0.4,"Menor",IF(AG179&lt;=0.6,"Moderado",IF(AG179&lt;=0.8,"Mayor","Catastrófico"))))),"")</f>
        <v>Moderado</v>
      </c>
      <c r="AG179" s="324">
        <f ca="1">IFERROR(IF(V179="Impacto",(Q179-(+Q179*Y179)),IF(V179="Probabilidad",Q179,"")),"")</f>
        <v>0.6</v>
      </c>
      <c r="AH179" s="328" t="str">
        <f ca="1">IFERROR(IF(OR(AND(AD179="Muy Baja",AF179="Leve"),AND(AD179="Muy Baja",AF179="Menor"),AND(AD179="Baja",AF179="Leve")),"Bajo",IF(OR(AND(AD179="Muy baja",AF179="Moderado"),AND(AD179="Baja",AF179="Menor"),AND(AD179="Baja",AF179="Moderado"),AND(AD179="Media",AF179="Leve"),AND(AD179="Media",AF179="Menor"),AND(AD179="Media",AF179="Moderado"),AND(AD179="Alta",AF179="Leve"),AND(AD179="Alta",AF179="Menor")),"Moderado",IF(OR(AND(AD179="Muy Baja",AF179="Mayor"),AND(AD179="Baja",AF179="Mayor"),AND(AD179="Media",AF179="Mayor"),AND(AD179="Alta",AF179="Moderado"),AND(AD179="Alta",AF179="Mayor"),AND(AD179="Muy Alta",AF179="Leve"),AND(AD179="Muy Alta",AF179="Menor"),AND(AD179="Muy Alta",AF179="Moderado"),AND(AD179="Muy Alta",AF179="Mayor")),"Alto",IF(OR(AND(AD179="Muy Baja",AF179="Catastrófico"),AND(AD179="Baja",AF179="Catastrófico"),AND(AD179="Media",AF179="Catastrófico"),AND(AD179="Alta",AF179="Catastrófico"),AND(AD179="Muy Alta",AF179="Catastrófico")),"Extremo","")))),"")</f>
        <v>Moderado</v>
      </c>
      <c r="AI179" s="323" t="s">
        <v>26</v>
      </c>
      <c r="AJ179" s="249">
        <v>0</v>
      </c>
      <c r="AK179" s="249">
        <v>0</v>
      </c>
      <c r="AL179" s="249">
        <v>0</v>
      </c>
      <c r="AM179" s="249">
        <v>0</v>
      </c>
      <c r="AN179" s="282"/>
      <c r="AO179" s="259"/>
      <c r="AP179" s="259"/>
      <c r="AQ179" s="239"/>
      <c r="AR179" s="264"/>
      <c r="AS179" s="265"/>
      <c r="AT179" s="293"/>
      <c r="AU179" s="293"/>
      <c r="AV179" s="293"/>
      <c r="AW179" s="293"/>
      <c r="AX179" s="293"/>
      <c r="AY179" s="293"/>
      <c r="AZ179" s="293"/>
      <c r="BA179" s="293"/>
      <c r="BB179" s="293"/>
      <c r="BC179" s="293"/>
      <c r="BD179" s="293"/>
      <c r="BE179" s="293"/>
      <c r="BF179" s="293"/>
      <c r="BG179" s="293"/>
      <c r="BH179" s="293"/>
      <c r="BI179" s="293"/>
      <c r="BJ179" s="293"/>
      <c r="BK179" s="293"/>
      <c r="BL179" s="293"/>
      <c r="BM179" s="293"/>
      <c r="BN179" s="293"/>
      <c r="BO179" s="293"/>
      <c r="BP179" s="293"/>
      <c r="BQ179" s="293"/>
      <c r="BR179" s="293"/>
      <c r="BS179" s="293"/>
      <c r="BT179" s="293"/>
      <c r="BU179" s="293"/>
      <c r="BV179" s="293"/>
      <c r="BW179" s="293"/>
      <c r="BX179" s="293"/>
      <c r="BY179" s="293"/>
      <c r="BZ179" s="293"/>
    </row>
    <row r="180" spans="1:78" s="295" customFormat="1" ht="128.25" x14ac:dyDescent="0.2">
      <c r="A180" s="458"/>
      <c r="B180" s="451"/>
      <c r="C180" s="452"/>
      <c r="D180" s="453"/>
      <c r="E180" s="454"/>
      <c r="F180" s="446"/>
      <c r="G180" s="454"/>
      <c r="H180" s="446"/>
      <c r="I180" s="446"/>
      <c r="J180" s="446"/>
      <c r="K180" s="457"/>
      <c r="L180" s="447"/>
      <c r="M180" s="445"/>
      <c r="N180" s="455"/>
      <c r="O180" s="285">
        <f ca="1">IF(NOT(ISERROR(MATCH(N180,_xlfn.ANCHORARRAY(H37),0))),M39&amp;"Por favor no seleccionar los criterios de impacto",N180)</f>
        <v>0</v>
      </c>
      <c r="P180" s="447"/>
      <c r="Q180" s="445"/>
      <c r="R180" s="459"/>
      <c r="S180" s="248">
        <v>2</v>
      </c>
      <c r="T180" s="321" t="s">
        <v>867</v>
      </c>
      <c r="U180" s="245" t="s">
        <v>293</v>
      </c>
      <c r="V180" s="322" t="str">
        <f>IF(OR(W180="Preventivo",W180="Detectivo"),"Probabilidad",IF(W180="Correctivo","Impacto",""))</f>
        <v>Probabilidad</v>
      </c>
      <c r="W180" s="323" t="s">
        <v>13</v>
      </c>
      <c r="X180" s="323" t="s">
        <v>8</v>
      </c>
      <c r="Y180" s="324" t="str">
        <f>IF(AND(W180="Preventivo",X180="Automático"),"50%",IF(AND(W180="Preventivo",X180="Manual"),"40%",IF(AND(W180="Detectivo",X180="Automático"),"40%",IF(AND(W180="Detectivo",X180="Manual"),"30%",IF(AND(W180="Correctivo",X180="Automático"),"35%",IF(AND(W180="Correctivo",X180="Manual"),"25%",""))))))</f>
        <v>40%</v>
      </c>
      <c r="Z180" s="323" t="s">
        <v>18</v>
      </c>
      <c r="AA180" s="323" t="s">
        <v>21</v>
      </c>
      <c r="AB180" s="323" t="s">
        <v>103</v>
      </c>
      <c r="AC180" s="325">
        <f t="shared" ref="AC180" si="329">IFERROR(IF(AND(V179="Probabilidad",V180="Probabilidad"),(AE179-(+AE179*Y180)),IF(V180="Probabilidad",(M179-(+M179*Y180)),IF(V180="Impacto",AE179,""))),"")</f>
        <v>0.216</v>
      </c>
      <c r="AD180" s="326" t="str">
        <f t="shared" ref="AD180:AD184" si="330">IFERROR(IF(AC180="","",IF(AC180&lt;=0.2,"Muy Baja",IF(AC180&lt;=0.4,"Baja",IF(AC180&lt;=0.6,"Media",IF(AC180&lt;=0.8,"Alta","Muy Alta"))))),"")</f>
        <v>Baja</v>
      </c>
      <c r="AE180" s="324">
        <f>+AC180</f>
        <v>0.216</v>
      </c>
      <c r="AF180" s="326" t="str">
        <f t="shared" ref="AF180:AF184" ca="1" si="331">IFERROR(IF(AG180="","",IF(AG180&lt;=0.2,"Leve",IF(AG180&lt;=0.4,"Menor",IF(AG180&lt;=0.6,"Moderado",IF(AG180&lt;=0.8,"Mayor","Catastrófico"))))),"")</f>
        <v>Moderado</v>
      </c>
      <c r="AG180" s="324">
        <f ca="1">IFERROR(IF(AND(V179="Impacto",V180="Impacto"),(AG179-(+AG179*Y180)),IF(V180="Impacto",($Q$179-(+$Q$179*Y180)),IF(V180="Probabilidad",AG179,""))),"")</f>
        <v>0.6</v>
      </c>
      <c r="AH180" s="328" t="str">
        <f t="shared" ref="AH180:AH181" ca="1" si="332">IFERROR(IF(OR(AND(AD180="Muy Baja",AF180="Leve"),AND(AD180="Muy Baja",AF180="Menor"),AND(AD180="Baja",AF180="Leve")),"Bajo",IF(OR(AND(AD180="Muy baja",AF180="Moderado"),AND(AD180="Baja",AF180="Menor"),AND(AD180="Baja",AF180="Moderado"),AND(AD180="Media",AF180="Leve"),AND(AD180="Media",AF180="Menor"),AND(AD180="Media",AF180="Moderado"),AND(AD180="Alta",AF180="Leve"),AND(AD180="Alta",AF180="Menor")),"Moderado",IF(OR(AND(AD180="Muy Baja",AF180="Mayor"),AND(AD180="Baja",AF180="Mayor"),AND(AD180="Media",AF180="Mayor"),AND(AD180="Alta",AF180="Moderado"),AND(AD180="Alta",AF180="Mayor"),AND(AD180="Muy Alta",AF180="Leve"),AND(AD180="Muy Alta",AF180="Menor"),AND(AD180="Muy Alta",AF180="Moderado"),AND(AD180="Muy Alta",AF180="Mayor")),"Alto",IF(OR(AND(AD180="Muy Baja",AF180="Catastrófico"),AND(AD180="Baja",AF180="Catastrófico"),AND(AD180="Media",AF180="Catastrófico"),AND(AD180="Alta",AF180="Catastrófico"),AND(AD180="Muy Alta",AF180="Catastrófico")),"Extremo","")))),"")</f>
        <v>Moderado</v>
      </c>
      <c r="AI180" s="323" t="s">
        <v>26</v>
      </c>
      <c r="AJ180" s="249">
        <v>0</v>
      </c>
      <c r="AK180" s="249">
        <v>0</v>
      </c>
      <c r="AL180" s="249">
        <v>0</v>
      </c>
      <c r="AM180" s="249">
        <v>0</v>
      </c>
      <c r="AN180" s="278"/>
      <c r="AO180" s="277"/>
      <c r="AP180" s="277"/>
      <c r="AQ180" s="276"/>
      <c r="AR180" s="263"/>
      <c r="AS180" s="277"/>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3"/>
      <c r="BW180" s="293"/>
      <c r="BX180" s="293"/>
      <c r="BY180" s="293"/>
      <c r="BZ180" s="293"/>
    </row>
    <row r="181" spans="1:78" s="295" customFormat="1" ht="7.5" customHeight="1" x14ac:dyDescent="0.2">
      <c r="A181" s="458"/>
      <c r="B181" s="451"/>
      <c r="C181" s="452"/>
      <c r="D181" s="453"/>
      <c r="E181" s="454"/>
      <c r="F181" s="446"/>
      <c r="G181" s="454"/>
      <c r="H181" s="446"/>
      <c r="I181" s="446"/>
      <c r="J181" s="446"/>
      <c r="K181" s="457"/>
      <c r="L181" s="447"/>
      <c r="M181" s="445"/>
      <c r="N181" s="455"/>
      <c r="O181" s="285">
        <f ca="1">IF(NOT(ISERROR(MATCH(N181,_xlfn.ANCHORARRAY(H38),0))),M40&amp;"Por favor no seleccionar los criterios de impacto",N181)</f>
        <v>0</v>
      </c>
      <c r="P181" s="447"/>
      <c r="Q181" s="445"/>
      <c r="R181" s="459"/>
      <c r="S181" s="248">
        <v>3</v>
      </c>
      <c r="T181" s="330"/>
      <c r="U181" s="245"/>
      <c r="V181" s="322" t="str">
        <f>IF(OR(W181="Preventivo",W181="Detectivo"),"Probabilidad",IF(W181="Correctivo","Impacto",""))</f>
        <v/>
      </c>
      <c r="W181" s="323"/>
      <c r="X181" s="323"/>
      <c r="Y181" s="324" t="str">
        <f>IF(AND(W181="Preventivo",X181="Automático"),"50%",IF(AND(W181="Preventivo",X181="Manual"),"40%",IF(AND(W181="Detectivo",X181="Automático"),"40%",IF(AND(W181="Detectivo",X181="Manual"),"30%",IF(AND(W181="Correctivo",X181="Automático"),"35%",IF(AND(W181="Correctivo",X181="Manual"),"25%",""))))))</f>
        <v/>
      </c>
      <c r="Z181" s="323"/>
      <c r="AA181" s="323"/>
      <c r="AB181" s="323"/>
      <c r="AC181" s="325" t="str">
        <f t="shared" ref="AC181:AC184" si="333">IFERROR(IF(AND(V180="Probabilidad",V181="Probabilidad"),(AE180-(+AE180*Y181)),IF(AND(V180="Impacto",V181="Probabilidad"),(AE179-(+AE179*Y181)),IF(V181="Impacto",AE180,""))),"")</f>
        <v/>
      </c>
      <c r="AD181" s="326" t="str">
        <f t="shared" si="330"/>
        <v/>
      </c>
      <c r="AE181" s="324" t="str">
        <f t="shared" ref="AE181:AE184" si="334">+AC181</f>
        <v/>
      </c>
      <c r="AF181" s="326" t="str">
        <f t="shared" si="331"/>
        <v/>
      </c>
      <c r="AG181" s="324" t="str">
        <f t="shared" ref="AG181:AG184" si="335">IFERROR(IF(AND(V180="Impacto",V181="Impacto"),(AG180-(+AG180*Y181)),IF(V181="Impacto",($Q$179-(+$Q$179*Y181)),IF(V181="Probabilidad",AG180,""))),"")</f>
        <v/>
      </c>
      <c r="AH181" s="328" t="str">
        <f t="shared" si="332"/>
        <v/>
      </c>
      <c r="AI181" s="323"/>
      <c r="AJ181" s="249"/>
      <c r="AK181" s="249"/>
      <c r="AL181" s="249"/>
      <c r="AM181" s="249"/>
      <c r="AN181" s="278"/>
      <c r="AO181" s="277"/>
      <c r="AP181" s="277"/>
      <c r="AQ181" s="276"/>
      <c r="AR181" s="263"/>
      <c r="AS181" s="277"/>
      <c r="AT181" s="293"/>
      <c r="AU181" s="293"/>
      <c r="AV181" s="293"/>
      <c r="AW181" s="293"/>
      <c r="AX181" s="293"/>
      <c r="AY181" s="293"/>
      <c r="AZ181" s="293"/>
      <c r="BA181" s="293"/>
      <c r="BB181" s="293"/>
      <c r="BC181" s="293"/>
      <c r="BD181" s="293"/>
      <c r="BE181" s="293"/>
      <c r="BF181" s="293"/>
      <c r="BG181" s="293"/>
      <c r="BH181" s="293"/>
      <c r="BI181" s="293"/>
      <c r="BJ181" s="293"/>
      <c r="BK181" s="293"/>
      <c r="BL181" s="293"/>
      <c r="BM181" s="293"/>
      <c r="BN181" s="293"/>
      <c r="BO181" s="293"/>
      <c r="BP181" s="293"/>
      <c r="BQ181" s="293"/>
      <c r="BR181" s="293"/>
      <c r="BS181" s="293"/>
      <c r="BT181" s="293"/>
      <c r="BU181" s="293"/>
      <c r="BV181" s="293"/>
      <c r="BW181" s="293"/>
      <c r="BX181" s="293"/>
      <c r="BY181" s="293"/>
      <c r="BZ181" s="293"/>
    </row>
    <row r="182" spans="1:78" s="295" customFormat="1" ht="7.5" customHeight="1" x14ac:dyDescent="0.2">
      <c r="A182" s="458"/>
      <c r="B182" s="451"/>
      <c r="C182" s="452"/>
      <c r="D182" s="453"/>
      <c r="E182" s="454"/>
      <c r="F182" s="446"/>
      <c r="G182" s="454"/>
      <c r="H182" s="446"/>
      <c r="I182" s="446"/>
      <c r="J182" s="446"/>
      <c r="K182" s="457"/>
      <c r="L182" s="447"/>
      <c r="M182" s="445"/>
      <c r="N182" s="455"/>
      <c r="O182" s="285">
        <f ca="1">IF(NOT(ISERROR(MATCH(N182,_xlfn.ANCHORARRAY(H39),0))),M41&amp;"Por favor no seleccionar los criterios de impacto",N182)</f>
        <v>0</v>
      </c>
      <c r="P182" s="447"/>
      <c r="Q182" s="445"/>
      <c r="R182" s="459"/>
      <c r="S182" s="248">
        <v>4</v>
      </c>
      <c r="T182" s="330"/>
      <c r="U182" s="245"/>
      <c r="V182" s="322" t="str">
        <f t="shared" ref="V182:V184" si="336">IF(OR(W182="Preventivo",W182="Detectivo"),"Probabilidad",IF(W182="Correctivo","Impacto",""))</f>
        <v/>
      </c>
      <c r="W182" s="323"/>
      <c r="X182" s="323"/>
      <c r="Y182" s="324" t="str">
        <f t="shared" ref="Y182:Y184" si="337">IF(AND(W182="Preventivo",X182="Automático"),"50%",IF(AND(W182="Preventivo",X182="Manual"),"40%",IF(AND(W182="Detectivo",X182="Automático"),"40%",IF(AND(W182="Detectivo",X182="Manual"),"30%",IF(AND(W182="Correctivo",X182="Automático"),"35%",IF(AND(W182="Correctivo",X182="Manual"),"25%",""))))))</f>
        <v/>
      </c>
      <c r="Z182" s="323"/>
      <c r="AA182" s="323"/>
      <c r="AB182" s="323"/>
      <c r="AC182" s="325" t="str">
        <f t="shared" si="333"/>
        <v/>
      </c>
      <c r="AD182" s="326" t="str">
        <f t="shared" si="330"/>
        <v/>
      </c>
      <c r="AE182" s="324" t="str">
        <f t="shared" si="334"/>
        <v/>
      </c>
      <c r="AF182" s="326" t="str">
        <f t="shared" si="331"/>
        <v/>
      </c>
      <c r="AG182" s="324" t="str">
        <f t="shared" si="335"/>
        <v/>
      </c>
      <c r="AH182" s="328" t="str">
        <f>IFERROR(IF(OR(AND(AD182="Muy Baja",AF182="Leve"),AND(AD182="Muy Baja",AF182="Menor"),AND(AD182="Baja",AF182="Leve")),"Bajo",IF(OR(AND(AD182="Muy baja",AF182="Moderado"),AND(AD182="Baja",AF182="Menor"),AND(AD182="Baja",AF182="Moderado"),AND(AD182="Media",AF182="Leve"),AND(AD182="Media",AF182="Menor"),AND(AD182="Media",AF182="Moderado"),AND(AD182="Alta",AF182="Leve"),AND(AD182="Alta",AF182="Menor")),"Moderado",IF(OR(AND(AD182="Muy Baja",AF182="Mayor"),AND(AD182="Baja",AF182="Mayor"),AND(AD182="Media",AF182="Mayor"),AND(AD182="Alta",AF182="Moderado"),AND(AD182="Alta",AF182="Mayor"),AND(AD182="Muy Alta",AF182="Leve"),AND(AD182="Muy Alta",AF182="Menor"),AND(AD182="Muy Alta",AF182="Moderado"),AND(AD182="Muy Alta",AF182="Mayor")),"Alto",IF(OR(AND(AD182="Muy Baja",AF182="Catastrófico"),AND(AD182="Baja",AF182="Catastrófico"),AND(AD182="Media",AF182="Catastrófico"),AND(AD182="Alta",AF182="Catastrófico"),AND(AD182="Muy Alta",AF182="Catastrófico")),"Extremo","")))),"")</f>
        <v/>
      </c>
      <c r="AI182" s="323"/>
      <c r="AJ182" s="249"/>
      <c r="AK182" s="249"/>
      <c r="AL182" s="249"/>
      <c r="AM182" s="249"/>
      <c r="AN182" s="278"/>
      <c r="AO182" s="209"/>
      <c r="AP182" s="209"/>
      <c r="AQ182" s="244"/>
      <c r="AR182" s="263"/>
      <c r="AS182" s="209"/>
      <c r="AT182" s="293"/>
      <c r="AU182" s="293"/>
      <c r="AV182" s="293"/>
      <c r="AW182" s="293"/>
      <c r="AX182" s="293"/>
      <c r="AY182" s="293"/>
      <c r="AZ182" s="293"/>
      <c r="BA182" s="293"/>
      <c r="BB182" s="293"/>
      <c r="BC182" s="293"/>
      <c r="BD182" s="293"/>
      <c r="BE182" s="293"/>
      <c r="BF182" s="293"/>
      <c r="BG182" s="293"/>
      <c r="BH182" s="293"/>
      <c r="BI182" s="293"/>
      <c r="BJ182" s="293"/>
      <c r="BK182" s="293"/>
      <c r="BL182" s="293"/>
      <c r="BM182" s="293"/>
      <c r="BN182" s="293"/>
      <c r="BO182" s="293"/>
      <c r="BP182" s="293"/>
      <c r="BQ182" s="293"/>
      <c r="BR182" s="293"/>
      <c r="BS182" s="293"/>
      <c r="BT182" s="293"/>
      <c r="BU182" s="293"/>
      <c r="BV182" s="293"/>
      <c r="BW182" s="293"/>
      <c r="BX182" s="293"/>
      <c r="BY182" s="293"/>
      <c r="BZ182" s="293"/>
    </row>
    <row r="183" spans="1:78" s="295" customFormat="1" ht="7.5" customHeight="1" x14ac:dyDescent="0.2">
      <c r="A183" s="458"/>
      <c r="B183" s="451"/>
      <c r="C183" s="452"/>
      <c r="D183" s="453"/>
      <c r="E183" s="454"/>
      <c r="F183" s="446"/>
      <c r="G183" s="454"/>
      <c r="H183" s="446"/>
      <c r="I183" s="446"/>
      <c r="J183" s="446"/>
      <c r="K183" s="457"/>
      <c r="L183" s="447"/>
      <c r="M183" s="445"/>
      <c r="N183" s="455"/>
      <c r="O183" s="285">
        <f ca="1">IF(NOT(ISERROR(MATCH(N183,_xlfn.ANCHORARRAY(H40),0))),M42&amp;"Por favor no seleccionar los criterios de impacto",N183)</f>
        <v>0</v>
      </c>
      <c r="P183" s="447"/>
      <c r="Q183" s="445"/>
      <c r="R183" s="459"/>
      <c r="S183" s="248">
        <v>5</v>
      </c>
      <c r="T183" s="330"/>
      <c r="U183" s="245"/>
      <c r="V183" s="322" t="str">
        <f t="shared" si="336"/>
        <v/>
      </c>
      <c r="W183" s="323"/>
      <c r="X183" s="323"/>
      <c r="Y183" s="324" t="str">
        <f t="shared" si="337"/>
        <v/>
      </c>
      <c r="Z183" s="323"/>
      <c r="AA183" s="323"/>
      <c r="AB183" s="323"/>
      <c r="AC183" s="325" t="str">
        <f t="shared" si="333"/>
        <v/>
      </c>
      <c r="AD183" s="326" t="str">
        <f t="shared" si="330"/>
        <v/>
      </c>
      <c r="AE183" s="324" t="str">
        <f t="shared" si="334"/>
        <v/>
      </c>
      <c r="AF183" s="326" t="str">
        <f t="shared" si="331"/>
        <v/>
      </c>
      <c r="AG183" s="324" t="str">
        <f t="shared" si="335"/>
        <v/>
      </c>
      <c r="AH183" s="328" t="str">
        <f t="shared" ref="AH183:AH184" si="338">IFERROR(IF(OR(AND(AD183="Muy Baja",AF183="Leve"),AND(AD183="Muy Baja",AF183="Menor"),AND(AD183="Baja",AF183="Leve")),"Bajo",IF(OR(AND(AD183="Muy baja",AF183="Moderado"),AND(AD183="Baja",AF183="Menor"),AND(AD183="Baja",AF183="Moderado"),AND(AD183="Media",AF183="Leve"),AND(AD183="Media",AF183="Menor"),AND(AD183="Media",AF183="Moderado"),AND(AD183="Alta",AF183="Leve"),AND(AD183="Alta",AF183="Menor")),"Moderado",IF(OR(AND(AD183="Muy Baja",AF183="Mayor"),AND(AD183="Baja",AF183="Mayor"),AND(AD183="Media",AF183="Mayor"),AND(AD183="Alta",AF183="Moderado"),AND(AD183="Alta",AF183="Mayor"),AND(AD183="Muy Alta",AF183="Leve"),AND(AD183="Muy Alta",AF183="Menor"),AND(AD183="Muy Alta",AF183="Moderado"),AND(AD183="Muy Alta",AF183="Mayor")),"Alto",IF(OR(AND(AD183="Muy Baja",AF183="Catastrófico"),AND(AD183="Baja",AF183="Catastrófico"),AND(AD183="Media",AF183="Catastrófico"),AND(AD183="Alta",AF183="Catastrófico"),AND(AD183="Muy Alta",AF183="Catastrófico")),"Extremo","")))),"")</f>
        <v/>
      </c>
      <c r="AI183" s="323"/>
      <c r="AJ183" s="249"/>
      <c r="AK183" s="249"/>
      <c r="AL183" s="249"/>
      <c r="AM183" s="249"/>
      <c r="AN183" s="278"/>
      <c r="AO183" s="276"/>
      <c r="AP183" s="276"/>
      <c r="AQ183" s="278"/>
      <c r="AR183" s="211"/>
      <c r="AS183" s="211"/>
      <c r="AT183" s="293"/>
      <c r="AU183" s="293"/>
      <c r="AV183" s="293"/>
      <c r="AW183" s="293"/>
      <c r="AX183" s="293"/>
      <c r="AY183" s="293"/>
      <c r="AZ183" s="293"/>
      <c r="BA183" s="293"/>
      <c r="BB183" s="293"/>
      <c r="BC183" s="293"/>
      <c r="BD183" s="293"/>
      <c r="BE183" s="293"/>
      <c r="BF183" s="293"/>
      <c r="BG183" s="293"/>
      <c r="BH183" s="293"/>
      <c r="BI183" s="293"/>
      <c r="BJ183" s="293"/>
      <c r="BK183" s="293"/>
      <c r="BL183" s="293"/>
      <c r="BM183" s="293"/>
      <c r="BN183" s="293"/>
      <c r="BO183" s="293"/>
      <c r="BP183" s="293"/>
      <c r="BQ183" s="293"/>
      <c r="BR183" s="293"/>
      <c r="BS183" s="293"/>
      <c r="BT183" s="293"/>
      <c r="BU183" s="293"/>
      <c r="BV183" s="293"/>
      <c r="BW183" s="293"/>
      <c r="BX183" s="293"/>
      <c r="BY183" s="293"/>
      <c r="BZ183" s="293"/>
    </row>
    <row r="184" spans="1:78" s="295" customFormat="1" ht="7.5" customHeight="1" x14ac:dyDescent="0.2">
      <c r="A184" s="458"/>
      <c r="B184" s="451"/>
      <c r="C184" s="452"/>
      <c r="D184" s="453"/>
      <c r="E184" s="454"/>
      <c r="F184" s="446"/>
      <c r="G184" s="454"/>
      <c r="H184" s="446"/>
      <c r="I184" s="446"/>
      <c r="J184" s="446"/>
      <c r="K184" s="457"/>
      <c r="L184" s="447"/>
      <c r="M184" s="445"/>
      <c r="N184" s="455"/>
      <c r="O184" s="285">
        <f ca="1">IF(NOT(ISERROR(MATCH(N184,_xlfn.ANCHORARRAY(H41),0))),#REF!&amp;"Por favor no seleccionar los criterios de impacto",N184)</f>
        <v>0</v>
      </c>
      <c r="P184" s="447"/>
      <c r="Q184" s="445"/>
      <c r="R184" s="459"/>
      <c r="S184" s="248">
        <v>6</v>
      </c>
      <c r="T184" s="330"/>
      <c r="U184" s="245"/>
      <c r="V184" s="322" t="str">
        <f t="shared" si="336"/>
        <v/>
      </c>
      <c r="W184" s="323"/>
      <c r="X184" s="323"/>
      <c r="Y184" s="324" t="str">
        <f t="shared" si="337"/>
        <v/>
      </c>
      <c r="Z184" s="323"/>
      <c r="AA184" s="323"/>
      <c r="AB184" s="323"/>
      <c r="AC184" s="325" t="str">
        <f t="shared" si="333"/>
        <v/>
      </c>
      <c r="AD184" s="326" t="str">
        <f t="shared" si="330"/>
        <v/>
      </c>
      <c r="AE184" s="324" t="str">
        <f t="shared" si="334"/>
        <v/>
      </c>
      <c r="AF184" s="326" t="str">
        <f t="shared" si="331"/>
        <v/>
      </c>
      <c r="AG184" s="324" t="str">
        <f t="shared" si="335"/>
        <v/>
      </c>
      <c r="AH184" s="328" t="str">
        <f t="shared" si="338"/>
        <v/>
      </c>
      <c r="AI184" s="323"/>
      <c r="AJ184" s="249"/>
      <c r="AK184" s="249"/>
      <c r="AL184" s="249"/>
      <c r="AM184" s="249"/>
      <c r="AN184" s="278"/>
      <c r="AO184" s="276"/>
      <c r="AP184" s="276"/>
      <c r="AQ184" s="278"/>
      <c r="AR184" s="211"/>
      <c r="AS184" s="211"/>
      <c r="AT184" s="293"/>
      <c r="AU184" s="293"/>
      <c r="AV184" s="293"/>
      <c r="AW184" s="293"/>
      <c r="AX184" s="293"/>
      <c r="AY184" s="293"/>
      <c r="AZ184" s="293"/>
      <c r="BA184" s="293"/>
      <c r="BB184" s="293"/>
      <c r="BC184" s="293"/>
      <c r="BD184" s="293"/>
      <c r="BE184" s="293"/>
      <c r="BF184" s="293"/>
      <c r="BG184" s="293"/>
      <c r="BH184" s="293"/>
      <c r="BI184" s="293"/>
      <c r="BJ184" s="293"/>
      <c r="BK184" s="293"/>
      <c r="BL184" s="293"/>
      <c r="BM184" s="293"/>
      <c r="BN184" s="293"/>
      <c r="BO184" s="293"/>
      <c r="BP184" s="293"/>
      <c r="BQ184" s="293"/>
      <c r="BR184" s="293"/>
      <c r="BS184" s="293"/>
      <c r="BT184" s="293"/>
      <c r="BU184" s="293"/>
      <c r="BV184" s="293"/>
      <c r="BW184" s="293"/>
      <c r="BX184" s="293"/>
      <c r="BY184" s="293"/>
      <c r="BZ184" s="293"/>
    </row>
    <row r="185" spans="1:78" s="294" customFormat="1" ht="126" customHeight="1" x14ac:dyDescent="0.2">
      <c r="A185" s="458" t="s">
        <v>744</v>
      </c>
      <c r="B185" s="451" t="s">
        <v>830</v>
      </c>
      <c r="C185" s="452" t="s">
        <v>605</v>
      </c>
      <c r="D185" s="453" t="s">
        <v>620</v>
      </c>
      <c r="E185" s="454" t="s">
        <v>107</v>
      </c>
      <c r="F185" s="454" t="s">
        <v>883</v>
      </c>
      <c r="G185" s="446" t="s">
        <v>884</v>
      </c>
      <c r="H185" s="446" t="s">
        <v>885</v>
      </c>
      <c r="I185" s="446" t="s">
        <v>654</v>
      </c>
      <c r="J185" s="446" t="s">
        <v>1050</v>
      </c>
      <c r="K185" s="457">
        <v>500</v>
      </c>
      <c r="L185" s="447" t="str">
        <f t="shared" ref="L185" si="339">IF(K185&lt;=0,"",IF(K185&lt;=2,"Muy Baja",IF(K185&lt;=24,"Baja",IF(K185&lt;=500,"Media",IF(K185&lt;=5000,"Alta","Muy Alta")))))</f>
        <v>Media</v>
      </c>
      <c r="M185" s="445">
        <f>IF(L185="","",IF(L185="Muy Baja",0.2,IF(L185="Baja",0.4,IF(L185="Media",0.6,IF(L185="Alta",0.8,IF(L185="Muy Alta",1,))))))</f>
        <v>0.6</v>
      </c>
      <c r="N185" s="455" t="s">
        <v>122</v>
      </c>
      <c r="O185" s="285" t="str">
        <f ca="1">IF(NOT(ISERROR(MATCH(N185,'Tabla Impacto'!$B$221:$B$223,0))),'Tabla Impacto'!$F$223&amp;"Por favor no seleccionar los criterios de impacto(Afectación Económica o presupuestal y Pérdida Reputacional)",N185)</f>
        <v xml:space="preserve">     El riesgo afecta la imagen de de la entidad con efecto publicitario sostenido a nivel de sector administrativo, nivel departamental o municipal</v>
      </c>
      <c r="P185" s="447" t="str">
        <f ca="1">IF(OR(O185='Tabla Impacto'!$C$11,O185='Tabla Impacto'!$D$11),"Leve",IF(OR(O185='Tabla Impacto'!$C$12,O185='Tabla Impacto'!$D$12),"Menor",IF(OR(O185='Tabla Impacto'!$C$13,O185='Tabla Impacto'!$D$13),"Moderado",IF(OR(O185='Tabla Impacto'!$C$14,O185='Tabla Impacto'!$D$14),"Mayor",IF(OR(O185='Tabla Impacto'!$C$15,O185='Tabla Impacto'!$D$15),"Catastrófico","")))))</f>
        <v>Mayor</v>
      </c>
      <c r="Q185" s="445">
        <f ca="1">IF(P185="","",IF(P185="Leve",0.2,IF(P185="Menor",0.4,IF(P185="Moderado",0.6,IF(P185="Mayor",0.8,IF(P185="Catastrófico",1,))))))</f>
        <v>0.8</v>
      </c>
      <c r="R185" s="459" t="str">
        <f ca="1">IF(OR(AND(L185="Muy Baja",P185="Leve"),AND(L185="Muy Baja",P185="Menor"),AND(L185="Baja",P185="Leve")),"Bajo",IF(OR(AND(L185="Muy baja",P185="Moderado"),AND(L185="Baja",P185="Menor"),AND(L185="Baja",P185="Moderado"),AND(L185="Media",P185="Leve"),AND(L185="Media",P185="Menor"),AND(L185="Media",P185="Moderado"),AND(L185="Alta",P185="Leve"),AND(L185="Alta",P185="Menor")),"Moderado",IF(OR(AND(L185="Muy Baja",P185="Mayor"),AND(L185="Baja",P185="Mayor"),AND(L185="Media",P185="Mayor"),AND(L185="Alta",P185="Moderado"),AND(L185="Alta",P185="Mayor"),AND(L185="Muy Alta",P185="Leve"),AND(L185="Muy Alta",P185="Menor"),AND(L185="Muy Alta",P185="Moderado"),AND(L185="Muy Alta",P185="Mayor")),"Alto",IF(OR(AND(L185="Muy Baja",P185="Catastrófico"),AND(L185="Baja",P185="Catastrófico"),AND(L185="Media",P185="Catastrófico"),AND(L185="Alta",P185="Catastrófico"),AND(L185="Muy Alta",P185="Catastrófico")),"Extremo",""))))</f>
        <v>Alto</v>
      </c>
      <c r="S185" s="248">
        <v>1</v>
      </c>
      <c r="T185" s="321" t="s">
        <v>887</v>
      </c>
      <c r="U185" s="245" t="s">
        <v>293</v>
      </c>
      <c r="V185" s="322" t="str">
        <f>IF(OR(W185="Preventivo",W185="Detectivo"),"Probabilidad",IF(W185="Correctivo","Impacto",""))</f>
        <v>Probabilidad</v>
      </c>
      <c r="W185" s="323" t="s">
        <v>13</v>
      </c>
      <c r="X185" s="323" t="s">
        <v>8</v>
      </c>
      <c r="Y185" s="324" t="str">
        <f>IF(AND(W185="Preventivo",X185="Automático"),"50%",IF(AND(W185="Preventivo",X185="Manual"),"40%",IF(AND(W185="Detectivo",X185="Automático"),"40%",IF(AND(W185="Detectivo",X185="Manual"),"30%",IF(AND(W185="Correctivo",X185="Automático"),"35%",IF(AND(W185="Correctivo",X185="Manual"),"25%",""))))))</f>
        <v>40%</v>
      </c>
      <c r="Z185" s="323" t="s">
        <v>19</v>
      </c>
      <c r="AA185" s="323" t="s">
        <v>21</v>
      </c>
      <c r="AB185" s="323" t="s">
        <v>103</v>
      </c>
      <c r="AC185" s="325">
        <f t="shared" ref="AC185" si="340">IFERROR(IF(V185="Probabilidad",(M185-(+M185*Y185)),IF(V185="Impacto",M185,"")),"")</f>
        <v>0.36</v>
      </c>
      <c r="AD185" s="326" t="str">
        <f>IFERROR(IF(AC185="","",IF(AC185&lt;=0.2,"Muy Baja",IF(AC185&lt;=0.4,"Baja",IF(AC185&lt;=0.6,"Media",IF(AC185&lt;=0.8,"Alta","Muy Alta"))))),"")</f>
        <v>Baja</v>
      </c>
      <c r="AE185" s="324">
        <f>+AC185</f>
        <v>0.36</v>
      </c>
      <c r="AF185" s="326" t="str">
        <f ca="1">IFERROR(IF(AG185="","",IF(AG185&lt;=0.2,"Leve",IF(AG185&lt;=0.4,"Menor",IF(AG185&lt;=0.6,"Moderado",IF(AG185&lt;=0.8,"Mayor","Catastrófico"))))),"")</f>
        <v>Mayor</v>
      </c>
      <c r="AG185" s="324">
        <f ca="1">IFERROR(IF(V185="Impacto",(Q185-(+Q185*Y185)),IF(V185="Probabilidad",Q185,"")),"")</f>
        <v>0.8</v>
      </c>
      <c r="AH185" s="328" t="str">
        <f ca="1">IFERROR(IF(OR(AND(AD185="Muy Baja",AF185="Leve"),AND(AD185="Muy Baja",AF185="Menor"),AND(AD185="Baja",AF185="Leve")),"Bajo",IF(OR(AND(AD185="Muy baja",AF185="Moderado"),AND(AD185="Baja",AF185="Menor"),AND(AD185="Baja",AF185="Moderado"),AND(AD185="Media",AF185="Leve"),AND(AD185="Media",AF185="Menor"),AND(AD185="Media",AF185="Moderado"),AND(AD185="Alta",AF185="Leve"),AND(AD185="Alta",AF185="Menor")),"Moderado",IF(OR(AND(AD185="Muy Baja",AF185="Mayor"),AND(AD185="Baja",AF185="Mayor"),AND(AD185="Media",AF185="Mayor"),AND(AD185="Alta",AF185="Moderado"),AND(AD185="Alta",AF185="Mayor"),AND(AD185="Muy Alta",AF185="Leve"),AND(AD185="Muy Alta",AF185="Menor"),AND(AD185="Muy Alta",AF185="Moderado"),AND(AD185="Muy Alta",AF185="Mayor")),"Alto",IF(OR(AND(AD185="Muy Baja",AF185="Catastrófico"),AND(AD185="Baja",AF185="Catastrófico"),AND(AD185="Media",AF185="Catastrófico"),AND(AD185="Alta",AF185="Catastrófico"),AND(AD185="Muy Alta",AF185="Catastrófico")),"Extremo","")))),"")</f>
        <v>Alto</v>
      </c>
      <c r="AI185" s="323" t="s">
        <v>26</v>
      </c>
      <c r="AJ185" s="249">
        <v>11</v>
      </c>
      <c r="AK185" s="249">
        <v>3</v>
      </c>
      <c r="AL185" s="249">
        <v>4</v>
      </c>
      <c r="AM185" s="249">
        <v>4</v>
      </c>
      <c r="AN185" s="240"/>
      <c r="AO185" s="259"/>
      <c r="AP185" s="259"/>
      <c r="AQ185" s="239"/>
      <c r="AR185" s="264"/>
      <c r="AS185" s="265"/>
      <c r="AT185" s="293"/>
      <c r="AU185" s="293"/>
      <c r="AV185" s="293"/>
      <c r="AW185" s="293"/>
      <c r="AX185" s="293"/>
      <c r="AY185" s="293"/>
      <c r="AZ185" s="293"/>
      <c r="BA185" s="293"/>
      <c r="BB185" s="293"/>
      <c r="BC185" s="293"/>
      <c r="BD185" s="293"/>
      <c r="BE185" s="293"/>
      <c r="BF185" s="293"/>
      <c r="BG185" s="293"/>
      <c r="BH185" s="293"/>
      <c r="BI185" s="293"/>
      <c r="BJ185" s="293"/>
      <c r="BK185" s="293"/>
      <c r="BL185" s="293"/>
      <c r="BM185" s="293"/>
      <c r="BN185" s="293"/>
      <c r="BO185" s="293"/>
      <c r="BP185" s="293"/>
      <c r="BQ185" s="293"/>
      <c r="BR185" s="293"/>
      <c r="BS185" s="293"/>
      <c r="BT185" s="293"/>
      <c r="BU185" s="293"/>
      <c r="BV185" s="293"/>
      <c r="BW185" s="293"/>
      <c r="BX185" s="293"/>
      <c r="BY185" s="293"/>
      <c r="BZ185" s="293"/>
    </row>
    <row r="186" spans="1:78" s="295" customFormat="1" ht="5.25" customHeight="1" x14ac:dyDescent="0.2">
      <c r="A186" s="458"/>
      <c r="B186" s="451"/>
      <c r="C186" s="452"/>
      <c r="D186" s="453"/>
      <c r="E186" s="454"/>
      <c r="F186" s="454"/>
      <c r="G186" s="446"/>
      <c r="H186" s="446"/>
      <c r="I186" s="446"/>
      <c r="J186" s="446"/>
      <c r="K186" s="457"/>
      <c r="L186" s="447"/>
      <c r="M186" s="445"/>
      <c r="N186" s="455"/>
      <c r="O186" s="285">
        <f ca="1">IF(NOT(ISERROR(MATCH(N186,_xlfn.ANCHORARRAY(#REF!),0))),#REF!&amp;"Por favor no seleccionar los criterios de impacto",N186)</f>
        <v>0</v>
      </c>
      <c r="P186" s="447"/>
      <c r="Q186" s="445"/>
      <c r="R186" s="459"/>
      <c r="S186" s="248">
        <v>2</v>
      </c>
      <c r="T186" s="321"/>
      <c r="U186" s="245"/>
      <c r="V186" s="322"/>
      <c r="W186" s="323"/>
      <c r="X186" s="323"/>
      <c r="Y186" s="324" t="str">
        <f>IF(AND(W186="Preventivo",X186="Automático"),"50%",IF(AND(W186="Preventivo",X186="Manual"),"40%",IF(AND(W186="Detectivo",X186="Automático"),"40%",IF(AND(W186="Detectivo",X186="Manual"),"30%",IF(AND(W186="Correctivo",X186="Automático"),"35%",IF(AND(W186="Correctivo",X186="Manual"),"25%",""))))))</f>
        <v/>
      </c>
      <c r="Z186" s="323"/>
      <c r="AA186" s="323"/>
      <c r="AB186" s="323"/>
      <c r="AC186" s="325" t="str">
        <f t="shared" ref="AC186" si="341">IFERROR(IF(AND(V185="Probabilidad",V186="Probabilidad"),(AE185-(+AE185*Y186)),IF(V186="Probabilidad",(M185-(+M185*Y186)),IF(V186="Impacto",AE185,""))),"")</f>
        <v/>
      </c>
      <c r="AD186" s="326" t="str">
        <f t="shared" ref="AD186:AD190" si="342">IFERROR(IF(AC186="","",IF(AC186&lt;=0.2,"Muy Baja",IF(AC186&lt;=0.4,"Baja",IF(AC186&lt;=0.6,"Media",IF(AC186&lt;=0.8,"Alta","Muy Alta"))))),"")</f>
        <v/>
      </c>
      <c r="AE186" s="324" t="str">
        <f>+AC186</f>
        <v/>
      </c>
      <c r="AF186" s="326" t="str">
        <f t="shared" ref="AF186:AF190" si="343">IFERROR(IF(AG186="","",IF(AG186&lt;=0.2,"Leve",IF(AG186&lt;=0.4,"Menor",IF(AG186&lt;=0.6,"Moderado",IF(AG186&lt;=0.8,"Mayor","Catastrófico"))))),"")</f>
        <v/>
      </c>
      <c r="AG186" s="324" t="str">
        <f>IFERROR(IF(AND(V185="Impacto",V186="Impacto"),(AG185-(+AG185*Y186)),IF(V186="Impacto",($Q$185-(+$Q$185*Y186)),IF(V186="Probabilidad",AG185,""))),"")</f>
        <v/>
      </c>
      <c r="AH186" s="328" t="str">
        <f t="shared" ref="AH186:AH187" si="344">IFERROR(IF(OR(AND(AD186="Muy Baja",AF186="Leve"),AND(AD186="Muy Baja",AF186="Menor"),AND(AD186="Baja",AF186="Leve")),"Bajo",IF(OR(AND(AD186="Muy baja",AF186="Moderado"),AND(AD186="Baja",AF186="Menor"),AND(AD186="Baja",AF186="Moderado"),AND(AD186="Media",AF186="Leve"),AND(AD186="Media",AF186="Menor"),AND(AD186="Media",AF186="Moderado"),AND(AD186="Alta",AF186="Leve"),AND(AD186="Alta",AF186="Menor")),"Moderado",IF(OR(AND(AD186="Muy Baja",AF186="Mayor"),AND(AD186="Baja",AF186="Mayor"),AND(AD186="Media",AF186="Mayor"),AND(AD186="Alta",AF186="Moderado"),AND(AD186="Alta",AF186="Mayor"),AND(AD186="Muy Alta",AF186="Leve"),AND(AD186="Muy Alta",AF186="Menor"),AND(AD186="Muy Alta",AF186="Moderado"),AND(AD186="Muy Alta",AF186="Mayor")),"Alto",IF(OR(AND(AD186="Muy Baja",AF186="Catastrófico"),AND(AD186="Baja",AF186="Catastrófico"),AND(AD186="Media",AF186="Catastrófico"),AND(AD186="Alta",AF186="Catastrófico"),AND(AD186="Muy Alta",AF186="Catastrófico")),"Extremo","")))),"")</f>
        <v/>
      </c>
      <c r="AI186" s="323"/>
      <c r="AJ186" s="249"/>
      <c r="AK186" s="249"/>
      <c r="AL186" s="249"/>
      <c r="AM186" s="249"/>
      <c r="AN186" s="278"/>
      <c r="AO186" s="277"/>
      <c r="AP186" s="277"/>
      <c r="AQ186" s="276"/>
      <c r="AR186" s="263"/>
      <c r="AS186" s="277"/>
      <c r="AT186" s="293"/>
      <c r="AU186" s="293"/>
      <c r="AV186" s="293"/>
      <c r="AW186" s="293"/>
      <c r="AX186" s="293"/>
      <c r="AY186" s="293"/>
      <c r="AZ186" s="293"/>
      <c r="BA186" s="293"/>
      <c r="BB186" s="293"/>
      <c r="BC186" s="293"/>
      <c r="BD186" s="293"/>
      <c r="BE186" s="293"/>
      <c r="BF186" s="293"/>
      <c r="BG186" s="293"/>
      <c r="BH186" s="293"/>
      <c r="BI186" s="293"/>
      <c r="BJ186" s="293"/>
      <c r="BK186" s="293"/>
      <c r="BL186" s="293"/>
      <c r="BM186" s="293"/>
      <c r="BN186" s="293"/>
      <c r="BO186" s="293"/>
      <c r="BP186" s="293"/>
      <c r="BQ186" s="293"/>
      <c r="BR186" s="293"/>
      <c r="BS186" s="293"/>
      <c r="BT186" s="293"/>
      <c r="BU186" s="293"/>
      <c r="BV186" s="293"/>
      <c r="BW186" s="293"/>
      <c r="BX186" s="293"/>
      <c r="BY186" s="293"/>
      <c r="BZ186" s="293"/>
    </row>
    <row r="187" spans="1:78" s="295" customFormat="1" ht="5.25" customHeight="1" x14ac:dyDescent="0.2">
      <c r="A187" s="458"/>
      <c r="B187" s="451"/>
      <c r="C187" s="452"/>
      <c r="D187" s="453"/>
      <c r="E187" s="454"/>
      <c r="F187" s="454"/>
      <c r="G187" s="446"/>
      <c r="H187" s="446"/>
      <c r="I187" s="446"/>
      <c r="J187" s="446"/>
      <c r="K187" s="457"/>
      <c r="L187" s="447"/>
      <c r="M187" s="445"/>
      <c r="N187" s="455"/>
      <c r="O187" s="285">
        <f ca="1">IF(NOT(ISERROR(MATCH(N187,_xlfn.ANCHORARRAY(#REF!),0))),#REF!&amp;"Por favor no seleccionar los criterios de impacto",N187)</f>
        <v>0</v>
      </c>
      <c r="P187" s="447"/>
      <c r="Q187" s="445"/>
      <c r="R187" s="459"/>
      <c r="S187" s="248">
        <v>3</v>
      </c>
      <c r="T187" s="330"/>
      <c r="U187" s="245"/>
      <c r="V187" s="322" t="str">
        <f>IF(OR(W187="Preventivo",W187="Detectivo"),"Probabilidad",IF(W187="Correctivo","Impacto",""))</f>
        <v/>
      </c>
      <c r="W187" s="323"/>
      <c r="X187" s="323"/>
      <c r="Y187" s="324" t="str">
        <f>IF(AND(W187="Preventivo",X187="Automático"),"50%",IF(AND(W187="Preventivo",X187="Manual"),"40%",IF(AND(W187="Detectivo",X187="Automático"),"40%",IF(AND(W187="Detectivo",X187="Manual"),"30%",IF(AND(W187="Correctivo",X187="Automático"),"35%",IF(AND(W187="Correctivo",X187="Manual"),"25%",""))))))</f>
        <v/>
      </c>
      <c r="Z187" s="323"/>
      <c r="AA187" s="323"/>
      <c r="AB187" s="323"/>
      <c r="AC187" s="325" t="str">
        <f t="shared" ref="AC187:AC190" si="345">IFERROR(IF(AND(V186="Probabilidad",V187="Probabilidad"),(AE186-(+AE186*Y187)),IF(AND(V186="Impacto",V187="Probabilidad"),(AE185-(+AE185*Y187)),IF(V187="Impacto",AE186,""))),"")</f>
        <v/>
      </c>
      <c r="AD187" s="326" t="str">
        <f t="shared" si="342"/>
        <v/>
      </c>
      <c r="AE187" s="324" t="str">
        <f t="shared" ref="AE187:AE190" si="346">+AC187</f>
        <v/>
      </c>
      <c r="AF187" s="326" t="str">
        <f t="shared" si="343"/>
        <v/>
      </c>
      <c r="AG187" s="324" t="str">
        <f t="shared" ref="AG187:AG190" si="347">IFERROR(IF(AND(V186="Impacto",V187="Impacto"),(AG186-(+AG186*Y187)),IF(V187="Impacto",($Q$185-(+$Q$185*Y187)),IF(V187="Probabilidad",AG186,""))),"")</f>
        <v/>
      </c>
      <c r="AH187" s="328" t="str">
        <f t="shared" si="344"/>
        <v/>
      </c>
      <c r="AI187" s="323"/>
      <c r="AJ187" s="249"/>
      <c r="AK187" s="249"/>
      <c r="AL187" s="249"/>
      <c r="AM187" s="249"/>
      <c r="AN187" s="278"/>
      <c r="AO187" s="277"/>
      <c r="AP187" s="277"/>
      <c r="AQ187" s="276"/>
      <c r="AR187" s="263"/>
      <c r="AS187" s="277"/>
      <c r="AT187" s="293"/>
      <c r="AU187" s="293"/>
      <c r="AV187" s="293"/>
      <c r="AW187" s="293"/>
      <c r="AX187" s="293"/>
      <c r="AY187" s="293"/>
      <c r="AZ187" s="293"/>
      <c r="BA187" s="293"/>
      <c r="BB187" s="293"/>
      <c r="BC187" s="293"/>
      <c r="BD187" s="293"/>
      <c r="BE187" s="293"/>
      <c r="BF187" s="293"/>
      <c r="BG187" s="293"/>
      <c r="BH187" s="293"/>
      <c r="BI187" s="293"/>
      <c r="BJ187" s="293"/>
      <c r="BK187" s="293"/>
      <c r="BL187" s="293"/>
      <c r="BM187" s="293"/>
      <c r="BN187" s="293"/>
      <c r="BO187" s="293"/>
      <c r="BP187" s="293"/>
      <c r="BQ187" s="293"/>
      <c r="BR187" s="293"/>
      <c r="BS187" s="293"/>
      <c r="BT187" s="293"/>
      <c r="BU187" s="293"/>
      <c r="BV187" s="293"/>
      <c r="BW187" s="293"/>
      <c r="BX187" s="293"/>
      <c r="BY187" s="293"/>
      <c r="BZ187" s="293"/>
    </row>
    <row r="188" spans="1:78" s="295" customFormat="1" ht="5.25" customHeight="1" x14ac:dyDescent="0.2">
      <c r="A188" s="458"/>
      <c r="B188" s="451"/>
      <c r="C188" s="452"/>
      <c r="D188" s="453"/>
      <c r="E188" s="454"/>
      <c r="F188" s="454"/>
      <c r="G188" s="446"/>
      <c r="H188" s="446"/>
      <c r="I188" s="446"/>
      <c r="J188" s="446"/>
      <c r="K188" s="457"/>
      <c r="L188" s="447"/>
      <c r="M188" s="445"/>
      <c r="N188" s="455"/>
      <c r="O188" s="285">
        <f ca="1">IF(NOT(ISERROR(MATCH(N188,_xlfn.ANCHORARRAY(#REF!),0))),#REF!&amp;"Por favor no seleccionar los criterios de impacto",N188)</f>
        <v>0</v>
      </c>
      <c r="P188" s="447"/>
      <c r="Q188" s="445"/>
      <c r="R188" s="459"/>
      <c r="S188" s="248">
        <v>4</v>
      </c>
      <c r="T188" s="330"/>
      <c r="U188" s="245"/>
      <c r="V188" s="322" t="str">
        <f t="shared" ref="V188:V190" si="348">IF(OR(W188="Preventivo",W188="Detectivo"),"Probabilidad",IF(W188="Correctivo","Impacto",""))</f>
        <v/>
      </c>
      <c r="W188" s="323"/>
      <c r="X188" s="323"/>
      <c r="Y188" s="324" t="str">
        <f t="shared" ref="Y188:Y190" si="349">IF(AND(W188="Preventivo",X188="Automático"),"50%",IF(AND(W188="Preventivo",X188="Manual"),"40%",IF(AND(W188="Detectivo",X188="Automático"),"40%",IF(AND(W188="Detectivo",X188="Manual"),"30%",IF(AND(W188="Correctivo",X188="Automático"),"35%",IF(AND(W188="Correctivo",X188="Manual"),"25%",""))))))</f>
        <v/>
      </c>
      <c r="Z188" s="323"/>
      <c r="AA188" s="323"/>
      <c r="AB188" s="323"/>
      <c r="AC188" s="325" t="str">
        <f t="shared" si="345"/>
        <v/>
      </c>
      <c r="AD188" s="326" t="str">
        <f t="shared" si="342"/>
        <v/>
      </c>
      <c r="AE188" s="324" t="str">
        <f t="shared" si="346"/>
        <v/>
      </c>
      <c r="AF188" s="326" t="str">
        <f t="shared" si="343"/>
        <v/>
      </c>
      <c r="AG188" s="324" t="str">
        <f t="shared" si="347"/>
        <v/>
      </c>
      <c r="AH188" s="328" t="str">
        <f>IFERROR(IF(OR(AND(AD188="Muy Baja",AF188="Leve"),AND(AD188="Muy Baja",AF188="Menor"),AND(AD188="Baja",AF188="Leve")),"Bajo",IF(OR(AND(AD188="Muy baja",AF188="Moderado"),AND(AD188="Baja",AF188="Menor"),AND(AD188="Baja",AF188="Moderado"),AND(AD188="Media",AF188="Leve"),AND(AD188="Media",AF188="Menor"),AND(AD188="Media",AF188="Moderado"),AND(AD188="Alta",AF188="Leve"),AND(AD188="Alta",AF188="Menor")),"Moderado",IF(OR(AND(AD188="Muy Baja",AF188="Mayor"),AND(AD188="Baja",AF188="Mayor"),AND(AD188="Media",AF188="Mayor"),AND(AD188="Alta",AF188="Moderado"),AND(AD188="Alta",AF188="Mayor"),AND(AD188="Muy Alta",AF188="Leve"),AND(AD188="Muy Alta",AF188="Menor"),AND(AD188="Muy Alta",AF188="Moderado"),AND(AD188="Muy Alta",AF188="Mayor")),"Alto",IF(OR(AND(AD188="Muy Baja",AF188="Catastrófico"),AND(AD188="Baja",AF188="Catastrófico"),AND(AD188="Media",AF188="Catastrófico"),AND(AD188="Alta",AF188="Catastrófico"),AND(AD188="Muy Alta",AF188="Catastrófico")),"Extremo","")))),"")</f>
        <v/>
      </c>
      <c r="AI188" s="323"/>
      <c r="AJ188" s="249"/>
      <c r="AK188" s="249"/>
      <c r="AL188" s="249"/>
      <c r="AM188" s="249"/>
      <c r="AN188" s="278"/>
      <c r="AO188" s="209"/>
      <c r="AP188" s="209"/>
      <c r="AQ188" s="244"/>
      <c r="AR188" s="263"/>
      <c r="AS188" s="209"/>
      <c r="AT188" s="293"/>
      <c r="AU188" s="293"/>
      <c r="AV188" s="293"/>
      <c r="AW188" s="293"/>
      <c r="AX188" s="293"/>
      <c r="AY188" s="293"/>
      <c r="AZ188" s="293"/>
      <c r="BA188" s="293"/>
      <c r="BB188" s="293"/>
      <c r="BC188" s="293"/>
      <c r="BD188" s="293"/>
      <c r="BE188" s="293"/>
      <c r="BF188" s="293"/>
      <c r="BG188" s="293"/>
      <c r="BH188" s="293"/>
      <c r="BI188" s="293"/>
      <c r="BJ188" s="293"/>
      <c r="BK188" s="293"/>
      <c r="BL188" s="293"/>
      <c r="BM188" s="293"/>
      <c r="BN188" s="293"/>
      <c r="BO188" s="293"/>
      <c r="BP188" s="293"/>
      <c r="BQ188" s="293"/>
      <c r="BR188" s="293"/>
      <c r="BS188" s="293"/>
      <c r="BT188" s="293"/>
      <c r="BU188" s="293"/>
      <c r="BV188" s="293"/>
      <c r="BW188" s="293"/>
      <c r="BX188" s="293"/>
      <c r="BY188" s="293"/>
      <c r="BZ188" s="293"/>
    </row>
    <row r="189" spans="1:78" s="295" customFormat="1" ht="5.25" customHeight="1" x14ac:dyDescent="0.2">
      <c r="A189" s="458"/>
      <c r="B189" s="451"/>
      <c r="C189" s="452"/>
      <c r="D189" s="453"/>
      <c r="E189" s="454"/>
      <c r="F189" s="454"/>
      <c r="G189" s="446"/>
      <c r="H189" s="446"/>
      <c r="I189" s="446"/>
      <c r="J189" s="446"/>
      <c r="K189" s="457"/>
      <c r="L189" s="447"/>
      <c r="M189" s="445"/>
      <c r="N189" s="455"/>
      <c r="O189" s="285">
        <f ca="1">IF(NOT(ISERROR(MATCH(N189,_xlfn.ANCHORARRAY(#REF!),0))),#REF!&amp;"Por favor no seleccionar los criterios de impacto",N189)</f>
        <v>0</v>
      </c>
      <c r="P189" s="447"/>
      <c r="Q189" s="445"/>
      <c r="R189" s="459"/>
      <c r="S189" s="248">
        <v>5</v>
      </c>
      <c r="T189" s="330"/>
      <c r="U189" s="245"/>
      <c r="V189" s="322" t="str">
        <f t="shared" si="348"/>
        <v/>
      </c>
      <c r="W189" s="323"/>
      <c r="X189" s="323"/>
      <c r="Y189" s="324" t="str">
        <f t="shared" si="349"/>
        <v/>
      </c>
      <c r="Z189" s="323"/>
      <c r="AA189" s="323"/>
      <c r="AB189" s="323"/>
      <c r="AC189" s="325" t="str">
        <f t="shared" si="345"/>
        <v/>
      </c>
      <c r="AD189" s="326" t="str">
        <f t="shared" si="342"/>
        <v/>
      </c>
      <c r="AE189" s="324" t="str">
        <f t="shared" si="346"/>
        <v/>
      </c>
      <c r="AF189" s="326" t="str">
        <f t="shared" si="343"/>
        <v/>
      </c>
      <c r="AG189" s="324" t="str">
        <f t="shared" si="347"/>
        <v/>
      </c>
      <c r="AH189" s="328" t="str">
        <f t="shared" ref="AH189:AH190" si="350">IFERROR(IF(OR(AND(AD189="Muy Baja",AF189="Leve"),AND(AD189="Muy Baja",AF189="Menor"),AND(AD189="Baja",AF189="Leve")),"Bajo",IF(OR(AND(AD189="Muy baja",AF189="Moderado"),AND(AD189="Baja",AF189="Menor"),AND(AD189="Baja",AF189="Moderado"),AND(AD189="Media",AF189="Leve"),AND(AD189="Media",AF189="Menor"),AND(AD189="Media",AF189="Moderado"),AND(AD189="Alta",AF189="Leve"),AND(AD189="Alta",AF189="Menor")),"Moderado",IF(OR(AND(AD189="Muy Baja",AF189="Mayor"),AND(AD189="Baja",AF189="Mayor"),AND(AD189="Media",AF189="Mayor"),AND(AD189="Alta",AF189="Moderado"),AND(AD189="Alta",AF189="Mayor"),AND(AD189="Muy Alta",AF189="Leve"),AND(AD189="Muy Alta",AF189="Menor"),AND(AD189="Muy Alta",AF189="Moderado"),AND(AD189="Muy Alta",AF189="Mayor")),"Alto",IF(OR(AND(AD189="Muy Baja",AF189="Catastrófico"),AND(AD189="Baja",AF189="Catastrófico"),AND(AD189="Media",AF189="Catastrófico"),AND(AD189="Alta",AF189="Catastrófico"),AND(AD189="Muy Alta",AF189="Catastrófico")),"Extremo","")))),"")</f>
        <v/>
      </c>
      <c r="AI189" s="323"/>
      <c r="AJ189" s="249"/>
      <c r="AK189" s="249"/>
      <c r="AL189" s="249"/>
      <c r="AM189" s="249"/>
      <c r="AN189" s="278"/>
      <c r="AO189" s="276"/>
      <c r="AP189" s="276"/>
      <c r="AQ189" s="278"/>
      <c r="AR189" s="211"/>
      <c r="AS189" s="211"/>
      <c r="AT189" s="293"/>
      <c r="AU189" s="293"/>
      <c r="AV189" s="293"/>
      <c r="AW189" s="293"/>
      <c r="AX189" s="293"/>
      <c r="AY189" s="293"/>
      <c r="AZ189" s="293"/>
      <c r="BA189" s="293"/>
      <c r="BB189" s="293"/>
      <c r="BC189" s="293"/>
      <c r="BD189" s="293"/>
      <c r="BE189" s="293"/>
      <c r="BF189" s="293"/>
      <c r="BG189" s="293"/>
      <c r="BH189" s="293"/>
      <c r="BI189" s="293"/>
      <c r="BJ189" s="293"/>
      <c r="BK189" s="293"/>
      <c r="BL189" s="293"/>
      <c r="BM189" s="293"/>
      <c r="BN189" s="293"/>
      <c r="BO189" s="293"/>
      <c r="BP189" s="293"/>
      <c r="BQ189" s="293"/>
      <c r="BR189" s="293"/>
      <c r="BS189" s="293"/>
      <c r="BT189" s="293"/>
      <c r="BU189" s="293"/>
      <c r="BV189" s="293"/>
      <c r="BW189" s="293"/>
      <c r="BX189" s="293"/>
      <c r="BY189" s="293"/>
      <c r="BZ189" s="293"/>
    </row>
    <row r="190" spans="1:78" s="295" customFormat="1" ht="5.25" customHeight="1" x14ac:dyDescent="0.2">
      <c r="A190" s="458"/>
      <c r="B190" s="451"/>
      <c r="C190" s="452"/>
      <c r="D190" s="453"/>
      <c r="E190" s="454"/>
      <c r="F190" s="454"/>
      <c r="G190" s="446"/>
      <c r="H190" s="446"/>
      <c r="I190" s="446"/>
      <c r="J190" s="446"/>
      <c r="K190" s="457"/>
      <c r="L190" s="447"/>
      <c r="M190" s="445"/>
      <c r="N190" s="455"/>
      <c r="O190" s="285">
        <f ca="1">IF(NOT(ISERROR(MATCH(N190,_xlfn.ANCHORARRAY(#REF!),0))),M49&amp;"Por favor no seleccionar los criterios de impacto",N190)</f>
        <v>0</v>
      </c>
      <c r="P190" s="447"/>
      <c r="Q190" s="445"/>
      <c r="R190" s="459"/>
      <c r="S190" s="248">
        <v>6</v>
      </c>
      <c r="T190" s="330"/>
      <c r="U190" s="245"/>
      <c r="V190" s="322" t="str">
        <f t="shared" si="348"/>
        <v/>
      </c>
      <c r="W190" s="323"/>
      <c r="X190" s="323"/>
      <c r="Y190" s="324" t="str">
        <f t="shared" si="349"/>
        <v/>
      </c>
      <c r="Z190" s="323"/>
      <c r="AA190" s="323"/>
      <c r="AB190" s="323"/>
      <c r="AC190" s="325" t="str">
        <f t="shared" si="345"/>
        <v/>
      </c>
      <c r="AD190" s="326" t="str">
        <f t="shared" si="342"/>
        <v/>
      </c>
      <c r="AE190" s="324" t="str">
        <f t="shared" si="346"/>
        <v/>
      </c>
      <c r="AF190" s="326" t="str">
        <f t="shared" si="343"/>
        <v/>
      </c>
      <c r="AG190" s="324" t="str">
        <f t="shared" si="347"/>
        <v/>
      </c>
      <c r="AH190" s="328" t="str">
        <f t="shared" si="350"/>
        <v/>
      </c>
      <c r="AI190" s="323"/>
      <c r="AJ190" s="249"/>
      <c r="AK190" s="249"/>
      <c r="AL190" s="249"/>
      <c r="AM190" s="249"/>
      <c r="AN190" s="278"/>
      <c r="AO190" s="276"/>
      <c r="AP190" s="276"/>
      <c r="AQ190" s="278"/>
      <c r="AR190" s="211"/>
      <c r="AS190" s="211"/>
      <c r="AT190" s="293"/>
      <c r="AU190" s="293"/>
      <c r="AV190" s="293"/>
      <c r="AW190" s="293"/>
      <c r="AX190" s="293"/>
      <c r="AY190" s="293"/>
      <c r="AZ190" s="293"/>
      <c r="BA190" s="293"/>
      <c r="BB190" s="293"/>
      <c r="BC190" s="293"/>
      <c r="BD190" s="293"/>
      <c r="BE190" s="293"/>
      <c r="BF190" s="293"/>
      <c r="BG190" s="293"/>
      <c r="BH190" s="293"/>
      <c r="BI190" s="293"/>
      <c r="BJ190" s="293"/>
      <c r="BK190" s="293"/>
      <c r="BL190" s="293"/>
      <c r="BM190" s="293"/>
      <c r="BN190" s="293"/>
      <c r="BO190" s="293"/>
      <c r="BP190" s="293"/>
      <c r="BQ190" s="293"/>
      <c r="BR190" s="293"/>
      <c r="BS190" s="293"/>
      <c r="BT190" s="293"/>
      <c r="BU190" s="293"/>
      <c r="BV190" s="293"/>
      <c r="BW190" s="293"/>
      <c r="BX190" s="293"/>
      <c r="BY190" s="293"/>
      <c r="BZ190" s="293"/>
    </row>
    <row r="191" spans="1:78" s="294" customFormat="1" ht="113.25" customHeight="1" x14ac:dyDescent="0.2">
      <c r="A191" s="458" t="s">
        <v>746</v>
      </c>
      <c r="B191" s="451" t="s">
        <v>830</v>
      </c>
      <c r="C191" s="452" t="s">
        <v>605</v>
      </c>
      <c r="D191" s="453" t="s">
        <v>620</v>
      </c>
      <c r="E191" s="454" t="s">
        <v>109</v>
      </c>
      <c r="F191" s="454" t="s">
        <v>745</v>
      </c>
      <c r="G191" s="446" t="s">
        <v>886</v>
      </c>
      <c r="H191" s="446" t="s">
        <v>791</v>
      </c>
      <c r="I191" s="446" t="s">
        <v>654</v>
      </c>
      <c r="J191" s="446" t="s">
        <v>869</v>
      </c>
      <c r="K191" s="457">
        <v>10</v>
      </c>
      <c r="L191" s="447" t="str">
        <f t="shared" ref="L191" si="351">IF(K191&lt;=0,"",IF(K191&lt;=2,"Muy Baja",IF(K191&lt;=24,"Baja",IF(K191&lt;=500,"Media",IF(K191&lt;=5000,"Alta","Muy Alta")))))</f>
        <v>Baja</v>
      </c>
      <c r="M191" s="445">
        <f>IF(L191="","",IF(L191="Muy Baja",0.2,IF(L191="Baja",0.4,IF(L191="Media",0.6,IF(L191="Alta",0.8,IF(L191="Muy Alta",1,))))))</f>
        <v>0.4</v>
      </c>
      <c r="N191" s="455" t="s">
        <v>121</v>
      </c>
      <c r="O191" s="285" t="str">
        <f ca="1">IF(NOT(ISERROR(MATCH(N191,'Tabla Impacto'!$B$221:$B$223,0))),'Tabla Impacto'!$F$223&amp;"Por favor no seleccionar los criterios de impacto(Afectación Económica o presupuestal y Pérdida Reputacional)",N191)</f>
        <v xml:space="preserve">     El riesgo afecta la imagen de la entidad con algunos usuarios de relevancia frente al logro de los objetivos</v>
      </c>
      <c r="P191" s="447" t="str">
        <f ca="1">IF(OR(O191='Tabla Impacto'!$C$11,O191='Tabla Impacto'!$D$11),"Leve",IF(OR(O191='Tabla Impacto'!$C$12,O191='Tabla Impacto'!$D$12),"Menor",IF(OR(O191='Tabla Impacto'!$C$13,O191='Tabla Impacto'!$D$13),"Moderado",IF(OR(O191='Tabla Impacto'!$C$14,O191='Tabla Impacto'!$D$14),"Mayor",IF(OR(O191='Tabla Impacto'!$C$15,O191='Tabla Impacto'!$D$15),"Catastrófico","")))))</f>
        <v>Moderado</v>
      </c>
      <c r="Q191" s="445">
        <f ca="1">IF(P191="","",IF(P191="Leve",0.2,IF(P191="Menor",0.4,IF(P191="Moderado",0.6,IF(P191="Mayor",0.8,IF(P191="Catastrófico",1,))))))</f>
        <v>0.6</v>
      </c>
      <c r="R191" s="459" t="str">
        <f ca="1">IF(OR(AND(L191="Muy Baja",P191="Leve"),AND(L191="Muy Baja",P191="Menor"),AND(L191="Baja",P191="Leve")),"Bajo",IF(OR(AND(L191="Muy baja",P191="Moderado"),AND(L191="Baja",P191="Menor"),AND(L191="Baja",P191="Moderado"),AND(L191="Media",P191="Leve"),AND(L191="Media",P191="Menor"),AND(L191="Media",P191="Moderado"),AND(L191="Alta",P191="Leve"),AND(L191="Alta",P191="Menor")),"Moderado",IF(OR(AND(L191="Muy Baja",P191="Mayor"),AND(L191="Baja",P191="Mayor"),AND(L191="Media",P191="Mayor"),AND(L191="Alta",P191="Moderado"),AND(L191="Alta",P191="Mayor"),AND(L191="Muy Alta",P191="Leve"),AND(L191="Muy Alta",P191="Menor"),AND(L191="Muy Alta",P191="Moderado"),AND(L191="Muy Alta",P191="Mayor")),"Alto",IF(OR(AND(L191="Muy Baja",P191="Catastrófico"),AND(L191="Baja",P191="Catastrófico"),AND(L191="Media",P191="Catastrófico"),AND(L191="Alta",P191="Catastrófico"),AND(L191="Muy Alta",P191="Catastrófico")),"Extremo",""))))</f>
        <v>Moderado</v>
      </c>
      <c r="S191" s="248">
        <v>1</v>
      </c>
      <c r="T191" s="321" t="s">
        <v>792</v>
      </c>
      <c r="U191" s="245" t="s">
        <v>293</v>
      </c>
      <c r="V191" s="322" t="str">
        <f>IF(OR(W191="Preventivo",W191="Detectivo"),"Probabilidad",IF(W191="Correctivo","Impacto",""))</f>
        <v>Probabilidad</v>
      </c>
      <c r="W191" s="323" t="s">
        <v>14</v>
      </c>
      <c r="X191" s="323" t="s">
        <v>8</v>
      </c>
      <c r="Y191" s="324" t="str">
        <f>IF(AND(W191="Preventivo",X191="Automático"),"50%",IF(AND(W191="Preventivo",X191="Manual"),"40%",IF(AND(W191="Detectivo",X191="Automático"),"40%",IF(AND(W191="Detectivo",X191="Manual"),"30%",IF(AND(W191="Correctivo",X191="Automático"),"35%",IF(AND(W191="Correctivo",X191="Manual"),"25%",""))))))</f>
        <v>30%</v>
      </c>
      <c r="Z191" s="323" t="s">
        <v>18</v>
      </c>
      <c r="AA191" s="323" t="s">
        <v>21</v>
      </c>
      <c r="AB191" s="323" t="s">
        <v>103</v>
      </c>
      <c r="AC191" s="325">
        <f t="shared" ref="AC191" si="352">IFERROR(IF(V191="Probabilidad",(M191-(+M191*Y191)),IF(V191="Impacto",M191,"")),"")</f>
        <v>0.28000000000000003</v>
      </c>
      <c r="AD191" s="326" t="str">
        <f>IFERROR(IF(AC191="","",IF(AC191&lt;=0.2,"Muy Baja",IF(AC191&lt;=0.4,"Baja",IF(AC191&lt;=0.6,"Media",IF(AC191&lt;=0.8,"Alta","Muy Alta"))))),"")</f>
        <v>Baja</v>
      </c>
      <c r="AE191" s="324">
        <f>+AC191</f>
        <v>0.28000000000000003</v>
      </c>
      <c r="AF191" s="326" t="str">
        <f ca="1">IFERROR(IF(AG191="","",IF(AG191&lt;=0.2,"Leve",IF(AG191&lt;=0.4,"Menor",IF(AG191&lt;=0.6,"Moderado",IF(AG191&lt;=0.8,"Mayor","Catastrófico"))))),"")</f>
        <v>Moderado</v>
      </c>
      <c r="AG191" s="324">
        <f ca="1">IFERROR(IF(V191="Impacto",(Q191-(+Q191*Y191)),IF(V191="Probabilidad",Q191,"")),"")</f>
        <v>0.6</v>
      </c>
      <c r="AH191" s="328" t="str">
        <f ca="1">IFERROR(IF(OR(AND(AD191="Muy Baja",AF191="Leve"),AND(AD191="Muy Baja",AF191="Menor"),AND(AD191="Baja",AF191="Leve")),"Bajo",IF(OR(AND(AD191="Muy baja",AF191="Moderado"),AND(AD191="Baja",AF191="Menor"),AND(AD191="Baja",AF191="Moderado"),AND(AD191="Media",AF191="Leve"),AND(AD191="Media",AF191="Menor"),AND(AD191="Media",AF191="Moderado"),AND(AD191="Alta",AF191="Leve"),AND(AD191="Alta",AF191="Menor")),"Moderado",IF(OR(AND(AD191="Muy Baja",AF191="Mayor"),AND(AD191="Baja",AF191="Mayor"),AND(AD191="Media",AF191="Mayor"),AND(AD191="Alta",AF191="Moderado"),AND(AD191="Alta",AF191="Mayor"),AND(AD191="Muy Alta",AF191="Leve"),AND(AD191="Muy Alta",AF191="Menor"),AND(AD191="Muy Alta",AF191="Moderado"),AND(AD191="Muy Alta",AF191="Mayor")),"Alto",IF(OR(AND(AD191="Muy Baja",AF191="Catastrófico"),AND(AD191="Baja",AF191="Catastrófico"),AND(AD191="Media",AF191="Catastrófico"),AND(AD191="Alta",AF191="Catastrófico"),AND(AD191="Muy Alta",AF191="Catastrófico")),"Extremo","")))),"")</f>
        <v>Moderado</v>
      </c>
      <c r="AI191" s="323" t="s">
        <v>26</v>
      </c>
      <c r="AJ191" s="249">
        <v>0</v>
      </c>
      <c r="AK191" s="249">
        <v>0</v>
      </c>
      <c r="AL191" s="249">
        <v>0</v>
      </c>
      <c r="AM191" s="249">
        <v>0</v>
      </c>
      <c r="AN191" s="240"/>
      <c r="AO191" s="259"/>
      <c r="AP191" s="259"/>
      <c r="AQ191" s="239"/>
      <c r="AR191" s="264"/>
      <c r="AS191" s="265"/>
      <c r="AT191" s="293"/>
      <c r="AU191" s="293"/>
      <c r="AV191" s="293"/>
      <c r="AW191" s="293"/>
      <c r="AX191" s="293"/>
      <c r="AY191" s="293"/>
      <c r="AZ191" s="293"/>
      <c r="BA191" s="293"/>
      <c r="BB191" s="293"/>
      <c r="BC191" s="293"/>
      <c r="BD191" s="293"/>
      <c r="BE191" s="293"/>
      <c r="BF191" s="293"/>
      <c r="BG191" s="293"/>
      <c r="BH191" s="293"/>
      <c r="BI191" s="293"/>
      <c r="BJ191" s="293"/>
      <c r="BK191" s="293"/>
      <c r="BL191" s="293"/>
      <c r="BM191" s="293"/>
      <c r="BN191" s="293"/>
      <c r="BO191" s="293"/>
      <c r="BP191" s="293"/>
      <c r="BQ191" s="293"/>
      <c r="BR191" s="293"/>
      <c r="BS191" s="293"/>
      <c r="BT191" s="293"/>
      <c r="BU191" s="293"/>
      <c r="BV191" s="293"/>
      <c r="BW191" s="293"/>
      <c r="BX191" s="293"/>
      <c r="BY191" s="293"/>
      <c r="BZ191" s="293"/>
    </row>
    <row r="192" spans="1:78" s="295" customFormat="1" ht="128.25" x14ac:dyDescent="0.2">
      <c r="A192" s="458"/>
      <c r="B192" s="451"/>
      <c r="C192" s="452"/>
      <c r="D192" s="453"/>
      <c r="E192" s="454"/>
      <c r="F192" s="454"/>
      <c r="G192" s="446"/>
      <c r="H192" s="446"/>
      <c r="I192" s="446"/>
      <c r="J192" s="446"/>
      <c r="K192" s="457"/>
      <c r="L192" s="447"/>
      <c r="M192" s="445"/>
      <c r="N192" s="455"/>
      <c r="O192" s="285">
        <f ca="1">IF(NOT(ISERROR(MATCH(N192,_xlfn.ANCHORARRAY(H37),0))),M39&amp;"Por favor no seleccionar los criterios de impacto",N192)</f>
        <v>0</v>
      </c>
      <c r="P192" s="447"/>
      <c r="Q192" s="445"/>
      <c r="R192" s="459"/>
      <c r="S192" s="248">
        <v>2</v>
      </c>
      <c r="T192" s="321" t="s">
        <v>994</v>
      </c>
      <c r="U192" s="245" t="s">
        <v>293</v>
      </c>
      <c r="V192" s="322" t="str">
        <f>IF(OR(W192="Preventivo",W192="Detectivo"),"Probabilidad",IF(W192="Correctivo","Impacto",""))</f>
        <v>Probabilidad</v>
      </c>
      <c r="W192" s="323" t="s">
        <v>13</v>
      </c>
      <c r="X192" s="323" t="s">
        <v>8</v>
      </c>
      <c r="Y192" s="324" t="str">
        <f>IF(AND(W192="Preventivo",X192="Automático"),"50%",IF(AND(W192="Preventivo",X192="Manual"),"40%",IF(AND(W192="Detectivo",X192="Automático"),"40%",IF(AND(W192="Detectivo",X192="Manual"),"30%",IF(AND(W192="Correctivo",X192="Automático"),"35%",IF(AND(W192="Correctivo",X192="Manual"),"25%",""))))))</f>
        <v>40%</v>
      </c>
      <c r="Z192" s="323" t="s">
        <v>18</v>
      </c>
      <c r="AA192" s="323" t="s">
        <v>21</v>
      </c>
      <c r="AB192" s="323" t="s">
        <v>103</v>
      </c>
      <c r="AC192" s="325">
        <f t="shared" ref="AC192" si="353">IFERROR(IF(AND(V191="Probabilidad",V192="Probabilidad"),(AE191-(+AE191*Y192)),IF(V192="Probabilidad",(M191-(+M191*Y192)),IF(V192="Impacto",AE191,""))),"")</f>
        <v>0.16800000000000001</v>
      </c>
      <c r="AD192" s="326" t="str">
        <f t="shared" ref="AD192:AD196" si="354">IFERROR(IF(AC192="","",IF(AC192&lt;=0.2,"Muy Baja",IF(AC192&lt;=0.4,"Baja",IF(AC192&lt;=0.6,"Media",IF(AC192&lt;=0.8,"Alta","Muy Alta"))))),"")</f>
        <v>Muy Baja</v>
      </c>
      <c r="AE192" s="324">
        <f>+AC192</f>
        <v>0.16800000000000001</v>
      </c>
      <c r="AF192" s="326" t="str">
        <f t="shared" ref="AF192:AF196" ca="1" si="355">IFERROR(IF(AG192="","",IF(AG192&lt;=0.2,"Leve",IF(AG192&lt;=0.4,"Menor",IF(AG192&lt;=0.6,"Moderado",IF(AG192&lt;=0.8,"Mayor","Catastrófico"))))),"")</f>
        <v>Moderado</v>
      </c>
      <c r="AG192" s="324">
        <f ca="1">IFERROR(IF(AND(V191="Impacto",V192="Impacto"),(AG191-(+AG191*Y192)),IF(V192="Impacto",($Q$191-(+$Q$191*Y192)),IF(V192="Probabilidad",AG191,""))),"")</f>
        <v>0.6</v>
      </c>
      <c r="AH192" s="328" t="str">
        <f t="shared" ref="AH192:AH193" ca="1" si="356">IFERROR(IF(OR(AND(AD192="Muy Baja",AF192="Leve"),AND(AD192="Muy Baja",AF192="Menor"),AND(AD192="Baja",AF192="Leve")),"Bajo",IF(OR(AND(AD192="Muy baja",AF192="Moderado"),AND(AD192="Baja",AF192="Menor"),AND(AD192="Baja",AF192="Moderado"),AND(AD192="Media",AF192="Leve"),AND(AD192="Media",AF192="Menor"),AND(AD192="Media",AF192="Moderado"),AND(AD192="Alta",AF192="Leve"),AND(AD192="Alta",AF192="Menor")),"Moderado",IF(OR(AND(AD192="Muy Baja",AF192="Mayor"),AND(AD192="Baja",AF192="Mayor"),AND(AD192="Media",AF192="Mayor"),AND(AD192="Alta",AF192="Moderado"),AND(AD192="Alta",AF192="Mayor"),AND(AD192="Muy Alta",AF192="Leve"),AND(AD192="Muy Alta",AF192="Menor"),AND(AD192="Muy Alta",AF192="Moderado"),AND(AD192="Muy Alta",AF192="Mayor")),"Alto",IF(OR(AND(AD192="Muy Baja",AF192="Catastrófico"),AND(AD192="Baja",AF192="Catastrófico"),AND(AD192="Media",AF192="Catastrófico"),AND(AD192="Alta",AF192="Catastrófico"),AND(AD192="Muy Alta",AF192="Catastrófico")),"Extremo","")))),"")</f>
        <v>Moderado</v>
      </c>
      <c r="AI192" s="323" t="s">
        <v>26</v>
      </c>
      <c r="AJ192" s="249">
        <v>12</v>
      </c>
      <c r="AK192" s="249">
        <v>4</v>
      </c>
      <c r="AL192" s="249">
        <v>4</v>
      </c>
      <c r="AM192" s="249">
        <v>4</v>
      </c>
      <c r="AN192" s="278"/>
      <c r="AO192" s="277"/>
      <c r="AP192" s="277"/>
      <c r="AQ192" s="276"/>
      <c r="AR192" s="263"/>
      <c r="AS192" s="277"/>
      <c r="AT192" s="293"/>
      <c r="AU192" s="293"/>
      <c r="AV192" s="293"/>
      <c r="AW192" s="293"/>
      <c r="AX192" s="293"/>
      <c r="AY192" s="293"/>
      <c r="AZ192" s="293"/>
      <c r="BA192" s="293"/>
      <c r="BB192" s="293"/>
      <c r="BC192" s="293"/>
      <c r="BD192" s="293"/>
      <c r="BE192" s="293"/>
      <c r="BF192" s="293"/>
      <c r="BG192" s="293"/>
      <c r="BH192" s="293"/>
      <c r="BI192" s="293"/>
      <c r="BJ192" s="293"/>
      <c r="BK192" s="293"/>
      <c r="BL192" s="293"/>
      <c r="BM192" s="293"/>
      <c r="BN192" s="293"/>
      <c r="BO192" s="293"/>
      <c r="BP192" s="293"/>
      <c r="BQ192" s="293"/>
      <c r="BR192" s="293"/>
      <c r="BS192" s="293"/>
      <c r="BT192" s="293"/>
      <c r="BU192" s="293"/>
      <c r="BV192" s="293"/>
      <c r="BW192" s="293"/>
      <c r="BX192" s="293"/>
      <c r="BY192" s="293"/>
      <c r="BZ192" s="293"/>
    </row>
    <row r="193" spans="1:78" s="295" customFormat="1" ht="7.5" customHeight="1" x14ac:dyDescent="0.2">
      <c r="A193" s="458"/>
      <c r="B193" s="451"/>
      <c r="C193" s="452"/>
      <c r="D193" s="453"/>
      <c r="E193" s="454"/>
      <c r="F193" s="454"/>
      <c r="G193" s="446"/>
      <c r="H193" s="446"/>
      <c r="I193" s="446"/>
      <c r="J193" s="446"/>
      <c r="K193" s="457"/>
      <c r="L193" s="447"/>
      <c r="M193" s="445"/>
      <c r="N193" s="455"/>
      <c r="O193" s="285">
        <f ca="1">IF(NOT(ISERROR(MATCH(N193,_xlfn.ANCHORARRAY(H38),0))),M40&amp;"Por favor no seleccionar los criterios de impacto",N193)</f>
        <v>0</v>
      </c>
      <c r="P193" s="447"/>
      <c r="Q193" s="445"/>
      <c r="R193" s="459"/>
      <c r="S193" s="248">
        <v>3</v>
      </c>
      <c r="T193" s="330"/>
      <c r="U193" s="245"/>
      <c r="V193" s="322" t="str">
        <f>IF(OR(W193="Preventivo",W193="Detectivo"),"Probabilidad",IF(W193="Correctivo","Impacto",""))</f>
        <v/>
      </c>
      <c r="W193" s="323"/>
      <c r="X193" s="323"/>
      <c r="Y193" s="324" t="str">
        <f>IF(AND(W193="Preventivo",X193="Automático"),"50%",IF(AND(W193="Preventivo",X193="Manual"),"40%",IF(AND(W193="Detectivo",X193="Automático"),"40%",IF(AND(W193="Detectivo",X193="Manual"),"30%",IF(AND(W193="Correctivo",X193="Automático"),"35%",IF(AND(W193="Correctivo",X193="Manual"),"25%",""))))))</f>
        <v/>
      </c>
      <c r="Z193" s="323"/>
      <c r="AA193" s="323"/>
      <c r="AB193" s="323"/>
      <c r="AC193" s="325" t="str">
        <f t="shared" ref="AC193:AC196" si="357">IFERROR(IF(AND(V192="Probabilidad",V193="Probabilidad"),(AE192-(+AE192*Y193)),IF(AND(V192="Impacto",V193="Probabilidad"),(AE191-(+AE191*Y193)),IF(V193="Impacto",AE192,""))),"")</f>
        <v/>
      </c>
      <c r="AD193" s="326" t="str">
        <f t="shared" si="354"/>
        <v/>
      </c>
      <c r="AE193" s="324" t="str">
        <f t="shared" ref="AE193:AE196" si="358">+AC193</f>
        <v/>
      </c>
      <c r="AF193" s="326" t="str">
        <f t="shared" si="355"/>
        <v/>
      </c>
      <c r="AG193" s="324" t="str">
        <f t="shared" ref="AG193:AG196" si="359">IFERROR(IF(AND(V192="Impacto",V193="Impacto"),(AG192-(+AG192*Y193)),IF(V193="Impacto",($Q$191-(+$Q$191*Y193)),IF(V193="Probabilidad",AG192,""))),"")</f>
        <v/>
      </c>
      <c r="AH193" s="328" t="str">
        <f t="shared" si="356"/>
        <v/>
      </c>
      <c r="AI193" s="323"/>
      <c r="AJ193" s="249"/>
      <c r="AK193" s="249"/>
      <c r="AL193" s="249"/>
      <c r="AM193" s="249"/>
      <c r="AN193" s="278"/>
      <c r="AO193" s="277"/>
      <c r="AP193" s="277"/>
      <c r="AQ193" s="276"/>
      <c r="AR193" s="263"/>
      <c r="AS193" s="277"/>
      <c r="AT193" s="293"/>
      <c r="AU193" s="293"/>
      <c r="AV193" s="293"/>
      <c r="AW193" s="293"/>
      <c r="AX193" s="293"/>
      <c r="AY193" s="293"/>
      <c r="AZ193" s="293"/>
      <c r="BA193" s="293"/>
      <c r="BB193" s="293"/>
      <c r="BC193" s="293"/>
      <c r="BD193" s="293"/>
      <c r="BE193" s="293"/>
      <c r="BF193" s="293"/>
      <c r="BG193" s="293"/>
      <c r="BH193" s="293"/>
      <c r="BI193" s="293"/>
      <c r="BJ193" s="293"/>
      <c r="BK193" s="293"/>
      <c r="BL193" s="293"/>
      <c r="BM193" s="293"/>
      <c r="BN193" s="293"/>
      <c r="BO193" s="293"/>
      <c r="BP193" s="293"/>
      <c r="BQ193" s="293"/>
      <c r="BR193" s="293"/>
      <c r="BS193" s="293"/>
      <c r="BT193" s="293"/>
      <c r="BU193" s="293"/>
      <c r="BV193" s="293"/>
      <c r="BW193" s="293"/>
      <c r="BX193" s="293"/>
      <c r="BY193" s="293"/>
      <c r="BZ193" s="293"/>
    </row>
    <row r="194" spans="1:78" s="295" customFormat="1" ht="7.5" customHeight="1" x14ac:dyDescent="0.2">
      <c r="A194" s="458"/>
      <c r="B194" s="451"/>
      <c r="C194" s="452"/>
      <c r="D194" s="453"/>
      <c r="E194" s="454"/>
      <c r="F194" s="454"/>
      <c r="G194" s="446"/>
      <c r="H194" s="446"/>
      <c r="I194" s="446"/>
      <c r="J194" s="446"/>
      <c r="K194" s="457"/>
      <c r="L194" s="447"/>
      <c r="M194" s="445"/>
      <c r="N194" s="455"/>
      <c r="O194" s="285">
        <f ca="1">IF(NOT(ISERROR(MATCH(N194,_xlfn.ANCHORARRAY(H39),0))),M41&amp;"Por favor no seleccionar los criterios de impacto",N194)</f>
        <v>0</v>
      </c>
      <c r="P194" s="447"/>
      <c r="Q194" s="445"/>
      <c r="R194" s="459"/>
      <c r="S194" s="248">
        <v>4</v>
      </c>
      <c r="T194" s="330"/>
      <c r="U194" s="245"/>
      <c r="V194" s="322" t="str">
        <f t="shared" ref="V194:V196" si="360">IF(OR(W194="Preventivo",W194="Detectivo"),"Probabilidad",IF(W194="Correctivo","Impacto",""))</f>
        <v/>
      </c>
      <c r="W194" s="323"/>
      <c r="X194" s="323"/>
      <c r="Y194" s="324" t="str">
        <f t="shared" ref="Y194:Y196" si="361">IF(AND(W194="Preventivo",X194="Automático"),"50%",IF(AND(W194="Preventivo",X194="Manual"),"40%",IF(AND(W194="Detectivo",X194="Automático"),"40%",IF(AND(W194="Detectivo",X194="Manual"),"30%",IF(AND(W194="Correctivo",X194="Automático"),"35%",IF(AND(W194="Correctivo",X194="Manual"),"25%",""))))))</f>
        <v/>
      </c>
      <c r="Z194" s="323"/>
      <c r="AA194" s="323"/>
      <c r="AB194" s="323"/>
      <c r="AC194" s="325" t="str">
        <f t="shared" si="357"/>
        <v/>
      </c>
      <c r="AD194" s="326" t="str">
        <f t="shared" si="354"/>
        <v/>
      </c>
      <c r="AE194" s="324" t="str">
        <f t="shared" si="358"/>
        <v/>
      </c>
      <c r="AF194" s="326" t="str">
        <f t="shared" si="355"/>
        <v/>
      </c>
      <c r="AG194" s="324" t="str">
        <f t="shared" si="359"/>
        <v/>
      </c>
      <c r="AH194" s="328" t="str">
        <f>IFERROR(IF(OR(AND(AD194="Muy Baja",AF194="Leve"),AND(AD194="Muy Baja",AF194="Menor"),AND(AD194="Baja",AF194="Leve")),"Bajo",IF(OR(AND(AD194="Muy baja",AF194="Moderado"),AND(AD194="Baja",AF194="Menor"),AND(AD194="Baja",AF194="Moderado"),AND(AD194="Media",AF194="Leve"),AND(AD194="Media",AF194="Menor"),AND(AD194="Media",AF194="Moderado"),AND(AD194="Alta",AF194="Leve"),AND(AD194="Alta",AF194="Menor")),"Moderado",IF(OR(AND(AD194="Muy Baja",AF194="Mayor"),AND(AD194="Baja",AF194="Mayor"),AND(AD194="Media",AF194="Mayor"),AND(AD194="Alta",AF194="Moderado"),AND(AD194="Alta",AF194="Mayor"),AND(AD194="Muy Alta",AF194="Leve"),AND(AD194="Muy Alta",AF194="Menor"),AND(AD194="Muy Alta",AF194="Moderado"),AND(AD194="Muy Alta",AF194="Mayor")),"Alto",IF(OR(AND(AD194="Muy Baja",AF194="Catastrófico"),AND(AD194="Baja",AF194="Catastrófico"),AND(AD194="Media",AF194="Catastrófico"),AND(AD194="Alta",AF194="Catastrófico"),AND(AD194="Muy Alta",AF194="Catastrófico")),"Extremo","")))),"")</f>
        <v/>
      </c>
      <c r="AI194" s="323"/>
      <c r="AJ194" s="249"/>
      <c r="AK194" s="249"/>
      <c r="AL194" s="249"/>
      <c r="AM194" s="249"/>
      <c r="AN194" s="278"/>
      <c r="AO194" s="209"/>
      <c r="AP194" s="209"/>
      <c r="AQ194" s="244"/>
      <c r="AR194" s="263"/>
      <c r="AS194" s="209"/>
      <c r="AT194" s="293"/>
      <c r="AU194" s="293"/>
      <c r="AV194" s="293"/>
      <c r="AW194" s="293"/>
      <c r="AX194" s="293"/>
      <c r="AY194" s="293"/>
      <c r="AZ194" s="293"/>
      <c r="BA194" s="293"/>
      <c r="BB194" s="293"/>
      <c r="BC194" s="293"/>
      <c r="BD194" s="293"/>
      <c r="BE194" s="293"/>
      <c r="BF194" s="293"/>
      <c r="BG194" s="293"/>
      <c r="BH194" s="293"/>
      <c r="BI194" s="293"/>
      <c r="BJ194" s="293"/>
      <c r="BK194" s="293"/>
      <c r="BL194" s="293"/>
      <c r="BM194" s="293"/>
      <c r="BN194" s="293"/>
      <c r="BO194" s="293"/>
      <c r="BP194" s="293"/>
      <c r="BQ194" s="293"/>
      <c r="BR194" s="293"/>
      <c r="BS194" s="293"/>
      <c r="BT194" s="293"/>
      <c r="BU194" s="293"/>
      <c r="BV194" s="293"/>
      <c r="BW194" s="293"/>
      <c r="BX194" s="293"/>
      <c r="BY194" s="293"/>
      <c r="BZ194" s="293"/>
    </row>
    <row r="195" spans="1:78" s="295" customFormat="1" ht="7.5" customHeight="1" x14ac:dyDescent="0.2">
      <c r="A195" s="458"/>
      <c r="B195" s="451"/>
      <c r="C195" s="452"/>
      <c r="D195" s="453"/>
      <c r="E195" s="454"/>
      <c r="F195" s="454"/>
      <c r="G195" s="446"/>
      <c r="H195" s="446"/>
      <c r="I195" s="446"/>
      <c r="J195" s="446"/>
      <c r="K195" s="457"/>
      <c r="L195" s="447"/>
      <c r="M195" s="445"/>
      <c r="N195" s="455"/>
      <c r="O195" s="285">
        <f ca="1">IF(NOT(ISERROR(MATCH(N195,_xlfn.ANCHORARRAY(H40),0))),M42&amp;"Por favor no seleccionar los criterios de impacto",N195)</f>
        <v>0</v>
      </c>
      <c r="P195" s="447"/>
      <c r="Q195" s="445"/>
      <c r="R195" s="459"/>
      <c r="S195" s="248">
        <v>5</v>
      </c>
      <c r="T195" s="330"/>
      <c r="U195" s="245"/>
      <c r="V195" s="322" t="str">
        <f t="shared" si="360"/>
        <v/>
      </c>
      <c r="W195" s="323"/>
      <c r="X195" s="323"/>
      <c r="Y195" s="324" t="str">
        <f t="shared" si="361"/>
        <v/>
      </c>
      <c r="Z195" s="323"/>
      <c r="AA195" s="323"/>
      <c r="AB195" s="323"/>
      <c r="AC195" s="325" t="str">
        <f t="shared" si="357"/>
        <v/>
      </c>
      <c r="AD195" s="326" t="str">
        <f t="shared" si="354"/>
        <v/>
      </c>
      <c r="AE195" s="324" t="str">
        <f t="shared" si="358"/>
        <v/>
      </c>
      <c r="AF195" s="326" t="str">
        <f t="shared" si="355"/>
        <v/>
      </c>
      <c r="AG195" s="324" t="str">
        <f t="shared" si="359"/>
        <v/>
      </c>
      <c r="AH195" s="328" t="str">
        <f t="shared" ref="AH195:AH196" si="362">IFERROR(IF(OR(AND(AD195="Muy Baja",AF195="Leve"),AND(AD195="Muy Baja",AF195="Menor"),AND(AD195="Baja",AF195="Leve")),"Bajo",IF(OR(AND(AD195="Muy baja",AF195="Moderado"),AND(AD195="Baja",AF195="Menor"),AND(AD195="Baja",AF195="Moderado"),AND(AD195="Media",AF195="Leve"),AND(AD195="Media",AF195="Menor"),AND(AD195="Media",AF195="Moderado"),AND(AD195="Alta",AF195="Leve"),AND(AD195="Alta",AF195="Menor")),"Moderado",IF(OR(AND(AD195="Muy Baja",AF195="Mayor"),AND(AD195="Baja",AF195="Mayor"),AND(AD195="Media",AF195="Mayor"),AND(AD195="Alta",AF195="Moderado"),AND(AD195="Alta",AF195="Mayor"),AND(AD195="Muy Alta",AF195="Leve"),AND(AD195="Muy Alta",AF195="Menor"),AND(AD195="Muy Alta",AF195="Moderado"),AND(AD195="Muy Alta",AF195="Mayor")),"Alto",IF(OR(AND(AD195="Muy Baja",AF195="Catastrófico"),AND(AD195="Baja",AF195="Catastrófico"),AND(AD195="Media",AF195="Catastrófico"),AND(AD195="Alta",AF195="Catastrófico"),AND(AD195="Muy Alta",AF195="Catastrófico")),"Extremo","")))),"")</f>
        <v/>
      </c>
      <c r="AI195" s="323"/>
      <c r="AJ195" s="249"/>
      <c r="AK195" s="249"/>
      <c r="AL195" s="249"/>
      <c r="AM195" s="249"/>
      <c r="AN195" s="278"/>
      <c r="AO195" s="276"/>
      <c r="AP195" s="276"/>
      <c r="AQ195" s="278"/>
      <c r="AR195" s="211"/>
      <c r="AS195" s="211"/>
      <c r="AT195" s="293"/>
      <c r="AU195" s="293"/>
      <c r="AV195" s="293"/>
      <c r="AW195" s="293"/>
      <c r="AX195" s="293"/>
      <c r="AY195" s="293"/>
      <c r="AZ195" s="293"/>
      <c r="BA195" s="293"/>
      <c r="BB195" s="293"/>
      <c r="BC195" s="293"/>
      <c r="BD195" s="293"/>
      <c r="BE195" s="293"/>
      <c r="BF195" s="293"/>
      <c r="BG195" s="293"/>
      <c r="BH195" s="293"/>
      <c r="BI195" s="293"/>
      <c r="BJ195" s="293"/>
      <c r="BK195" s="293"/>
      <c r="BL195" s="293"/>
      <c r="BM195" s="293"/>
      <c r="BN195" s="293"/>
      <c r="BO195" s="293"/>
      <c r="BP195" s="293"/>
      <c r="BQ195" s="293"/>
      <c r="BR195" s="293"/>
      <c r="BS195" s="293"/>
      <c r="BT195" s="293"/>
      <c r="BU195" s="293"/>
      <c r="BV195" s="293"/>
      <c r="BW195" s="293"/>
      <c r="BX195" s="293"/>
      <c r="BY195" s="293"/>
      <c r="BZ195" s="293"/>
    </row>
    <row r="196" spans="1:78" s="295" customFormat="1" ht="7.5" customHeight="1" x14ac:dyDescent="0.2">
      <c r="A196" s="458"/>
      <c r="B196" s="451"/>
      <c r="C196" s="452"/>
      <c r="D196" s="453"/>
      <c r="E196" s="454"/>
      <c r="F196" s="454"/>
      <c r="G196" s="446"/>
      <c r="H196" s="446"/>
      <c r="I196" s="446"/>
      <c r="J196" s="446"/>
      <c r="K196" s="457"/>
      <c r="L196" s="447"/>
      <c r="M196" s="445"/>
      <c r="N196" s="455"/>
      <c r="O196" s="285">
        <f ca="1">IF(NOT(ISERROR(MATCH(N196,_xlfn.ANCHORARRAY(H41),0))),#REF!&amp;"Por favor no seleccionar los criterios de impacto",N196)</f>
        <v>0</v>
      </c>
      <c r="P196" s="447"/>
      <c r="Q196" s="445"/>
      <c r="R196" s="459"/>
      <c r="S196" s="248">
        <v>6</v>
      </c>
      <c r="T196" s="330"/>
      <c r="U196" s="245"/>
      <c r="V196" s="322" t="str">
        <f t="shared" si="360"/>
        <v/>
      </c>
      <c r="W196" s="323"/>
      <c r="X196" s="323"/>
      <c r="Y196" s="324" t="str">
        <f t="shared" si="361"/>
        <v/>
      </c>
      <c r="Z196" s="323"/>
      <c r="AA196" s="323"/>
      <c r="AB196" s="323"/>
      <c r="AC196" s="325" t="str">
        <f t="shared" si="357"/>
        <v/>
      </c>
      <c r="AD196" s="326" t="str">
        <f t="shared" si="354"/>
        <v/>
      </c>
      <c r="AE196" s="324" t="str">
        <f t="shared" si="358"/>
        <v/>
      </c>
      <c r="AF196" s="326" t="str">
        <f t="shared" si="355"/>
        <v/>
      </c>
      <c r="AG196" s="324" t="str">
        <f t="shared" si="359"/>
        <v/>
      </c>
      <c r="AH196" s="328" t="str">
        <f t="shared" si="362"/>
        <v/>
      </c>
      <c r="AI196" s="323"/>
      <c r="AJ196" s="249"/>
      <c r="AK196" s="249"/>
      <c r="AL196" s="249"/>
      <c r="AM196" s="249"/>
      <c r="AN196" s="278"/>
      <c r="AO196" s="276"/>
      <c r="AP196" s="276"/>
      <c r="AQ196" s="278"/>
      <c r="AR196" s="211"/>
      <c r="AS196" s="211"/>
      <c r="AT196" s="293"/>
      <c r="AU196" s="293"/>
      <c r="AV196" s="293"/>
      <c r="AW196" s="293"/>
      <c r="AX196" s="293"/>
      <c r="AY196" s="293"/>
      <c r="AZ196" s="293"/>
      <c r="BA196" s="293"/>
      <c r="BB196" s="293"/>
      <c r="BC196" s="293"/>
      <c r="BD196" s="293"/>
      <c r="BE196" s="293"/>
      <c r="BF196" s="293"/>
      <c r="BG196" s="293"/>
      <c r="BH196" s="293"/>
      <c r="BI196" s="293"/>
      <c r="BJ196" s="293"/>
      <c r="BK196" s="293"/>
      <c r="BL196" s="293"/>
      <c r="BM196" s="293"/>
      <c r="BN196" s="293"/>
      <c r="BO196" s="293"/>
      <c r="BP196" s="293"/>
      <c r="BQ196" s="293"/>
      <c r="BR196" s="293"/>
      <c r="BS196" s="293"/>
      <c r="BT196" s="293"/>
      <c r="BU196" s="293"/>
      <c r="BV196" s="293"/>
      <c r="BW196" s="293"/>
      <c r="BX196" s="293"/>
      <c r="BY196" s="293"/>
      <c r="BZ196" s="293"/>
    </row>
    <row r="197" spans="1:78" s="294" customFormat="1" ht="187.15" customHeight="1" x14ac:dyDescent="0.2">
      <c r="A197" s="458" t="s">
        <v>748</v>
      </c>
      <c r="B197" s="451" t="s">
        <v>830</v>
      </c>
      <c r="C197" s="452" t="s">
        <v>609</v>
      </c>
      <c r="D197" s="453" t="s">
        <v>620</v>
      </c>
      <c r="E197" s="454" t="s">
        <v>109</v>
      </c>
      <c r="F197" s="454" t="s">
        <v>1005</v>
      </c>
      <c r="G197" s="446" t="s">
        <v>794</v>
      </c>
      <c r="H197" s="456" t="s">
        <v>870</v>
      </c>
      <c r="I197" s="446" t="s">
        <v>654</v>
      </c>
      <c r="J197" s="446" t="s">
        <v>1051</v>
      </c>
      <c r="K197" s="457">
        <v>1200</v>
      </c>
      <c r="L197" s="447" t="str">
        <f t="shared" ref="L197" si="363">IF(K197&lt;=0,"",IF(K197&lt;=2,"Muy Baja",IF(K197&lt;=24,"Baja",IF(K197&lt;=500,"Media",IF(K197&lt;=5000,"Alta","Muy Alta")))))</f>
        <v>Alta</v>
      </c>
      <c r="M197" s="445">
        <f>IF(L197="","",IF(L197="Muy Baja",0.2,IF(L197="Baja",0.4,IF(L197="Media",0.6,IF(L197="Alta",0.8,IF(L197="Muy Alta",1,))))))</f>
        <v>0.8</v>
      </c>
      <c r="N197" s="455" t="s">
        <v>121</v>
      </c>
      <c r="O197" s="285" t="str">
        <f ca="1">IF(NOT(ISERROR(MATCH(N197,'Tabla Impacto'!$B$221:$B$223,0))),'Tabla Impacto'!$F$223&amp;"Por favor no seleccionar los criterios de impacto(Afectación Económica o presupuestal y Pérdida Reputacional)",N197)</f>
        <v xml:space="preserve">     El riesgo afecta la imagen de la entidad con algunos usuarios de relevancia frente al logro de los objetivos</v>
      </c>
      <c r="P197" s="447" t="str">
        <f ca="1">IF(OR(O197='Tabla Impacto'!$C$11,O197='Tabla Impacto'!$D$11),"Leve",IF(OR(O197='Tabla Impacto'!$C$12,O197='Tabla Impacto'!$D$12),"Menor",IF(OR(O197='Tabla Impacto'!$C$13,O197='Tabla Impacto'!$D$13),"Moderado",IF(OR(O197='Tabla Impacto'!$C$14,O197='Tabla Impacto'!$D$14),"Mayor",IF(OR(O197='Tabla Impacto'!$C$15,O197='Tabla Impacto'!$D$15),"Catastrófico","")))))</f>
        <v>Moderado</v>
      </c>
      <c r="Q197" s="445">
        <f ca="1">IF(P197="","",IF(P197="Leve",0.2,IF(P197="Menor",0.4,IF(P197="Moderado",0.6,IF(P197="Mayor",0.8,IF(P197="Catastrófico",1,))))))</f>
        <v>0.6</v>
      </c>
      <c r="R197" s="459" t="str">
        <f ca="1">IF(OR(AND(L197="Muy Baja",P197="Leve"),AND(L197="Muy Baja",P197="Menor"),AND(L197="Baja",P197="Leve")),"Bajo",IF(OR(AND(L197="Muy baja",P197="Moderado"),AND(L197="Baja",P197="Menor"),AND(L197="Baja",P197="Moderado"),AND(L197="Media",P197="Leve"),AND(L197="Media",P197="Menor"),AND(L197="Media",P197="Moderado"),AND(L197="Alta",P197="Leve"),AND(L197="Alta",P197="Menor")),"Moderado",IF(OR(AND(L197="Muy Baja",P197="Mayor"),AND(L197="Baja",P197="Mayor"),AND(L197="Media",P197="Mayor"),AND(L197="Alta",P197="Moderado"),AND(L197="Alta",P197="Mayor"),AND(L197="Muy Alta",P197="Leve"),AND(L197="Muy Alta",P197="Menor"),AND(L197="Muy Alta",P197="Moderado"),AND(L197="Muy Alta",P197="Mayor")),"Alto",IF(OR(AND(L197="Muy Baja",P197="Catastrófico"),AND(L197="Baja",P197="Catastrófico"),AND(L197="Media",P197="Catastrófico"),AND(L197="Alta",P197="Catastrófico"),AND(L197="Muy Alta",P197="Catastrófico")),"Extremo",""))))</f>
        <v>Alto</v>
      </c>
      <c r="S197" s="248">
        <v>1</v>
      </c>
      <c r="T197" s="321" t="s">
        <v>795</v>
      </c>
      <c r="U197" s="245" t="s">
        <v>293</v>
      </c>
      <c r="V197" s="322" t="str">
        <f>IF(OR(W197="Preventivo",W197="Detectivo"),"Probabilidad",IF(W197="Correctivo","Impacto",""))</f>
        <v>Probabilidad</v>
      </c>
      <c r="W197" s="323" t="s">
        <v>13</v>
      </c>
      <c r="X197" s="323" t="s">
        <v>8</v>
      </c>
      <c r="Y197" s="324" t="str">
        <f>IF(AND(W197="Preventivo",X197="Automático"),"50%",IF(AND(W197="Preventivo",X197="Manual"),"40%",IF(AND(W197="Detectivo",X197="Automático"),"40%",IF(AND(W197="Detectivo",X197="Manual"),"30%",IF(AND(W197="Correctivo",X197="Automático"),"35%",IF(AND(W197="Correctivo",X197="Manual"),"25%",""))))))</f>
        <v>40%</v>
      </c>
      <c r="Z197" s="323" t="s">
        <v>19</v>
      </c>
      <c r="AA197" s="323" t="s">
        <v>21</v>
      </c>
      <c r="AB197" s="323" t="s">
        <v>103</v>
      </c>
      <c r="AC197" s="325">
        <f t="shared" ref="AC197" si="364">IFERROR(IF(V197="Probabilidad",(M197-(+M197*Y197)),IF(V197="Impacto",M197,"")),"")</f>
        <v>0.48</v>
      </c>
      <c r="AD197" s="326" t="str">
        <f>IFERROR(IF(AC197="","",IF(AC197&lt;=0.2,"Muy Baja",IF(AC197&lt;=0.4,"Baja",IF(AC197&lt;=0.6,"Media",IF(AC197&lt;=0.8,"Alta","Muy Alta"))))),"")</f>
        <v>Media</v>
      </c>
      <c r="AE197" s="324">
        <f>+AC197</f>
        <v>0.48</v>
      </c>
      <c r="AF197" s="326" t="str">
        <f ca="1">IFERROR(IF(AG197="","",IF(AG197&lt;=0.2,"Leve",IF(AG197&lt;=0.4,"Menor",IF(AG197&lt;=0.6,"Moderado",IF(AG197&lt;=0.8,"Mayor","Catastrófico"))))),"")</f>
        <v>Moderado</v>
      </c>
      <c r="AG197" s="324">
        <f ca="1">IFERROR(IF(V197="Impacto",(Q197-(+Q197*Y197)),IF(V197="Probabilidad",Q197,"")),"")</f>
        <v>0.6</v>
      </c>
      <c r="AH197" s="328" t="str">
        <f ca="1">IFERROR(IF(OR(AND(AD197="Muy Baja",AF197="Leve"),AND(AD197="Muy Baja",AF197="Menor"),AND(AD197="Baja",AF197="Leve")),"Bajo",IF(OR(AND(AD197="Muy baja",AF197="Moderado"),AND(AD197="Baja",AF197="Menor"),AND(AD197="Baja",AF197="Moderado"),AND(AD197="Media",AF197="Leve"),AND(AD197="Media",AF197="Menor"),AND(AD197="Media",AF197="Moderado"),AND(AD197="Alta",AF197="Leve"),AND(AD197="Alta",AF197="Menor")),"Moderado",IF(OR(AND(AD197="Muy Baja",AF197="Mayor"),AND(AD197="Baja",AF197="Mayor"),AND(AD197="Media",AF197="Mayor"),AND(AD197="Alta",AF197="Moderado"),AND(AD197="Alta",AF197="Mayor"),AND(AD197="Muy Alta",AF197="Leve"),AND(AD197="Muy Alta",AF197="Menor"),AND(AD197="Muy Alta",AF197="Moderado"),AND(AD197="Muy Alta",AF197="Mayor")),"Alto",IF(OR(AND(AD197="Muy Baja",AF197="Catastrófico"),AND(AD197="Baja",AF197="Catastrófico"),AND(AD197="Media",AF197="Catastrófico"),AND(AD197="Alta",AF197="Catastrófico"),AND(AD197="Muy Alta",AF197="Catastrófico")),"Extremo","")))),"")</f>
        <v>Moderado</v>
      </c>
      <c r="AI197" s="323" t="s">
        <v>26</v>
      </c>
      <c r="AJ197" s="249">
        <v>18</v>
      </c>
      <c r="AK197" s="249">
        <v>2</v>
      </c>
      <c r="AL197" s="249">
        <v>8</v>
      </c>
      <c r="AM197" s="249">
        <v>8</v>
      </c>
      <c r="AN197" s="240"/>
      <c r="AO197" s="259"/>
      <c r="AP197" s="259"/>
      <c r="AQ197" s="239"/>
      <c r="AR197" s="264"/>
      <c r="AS197" s="265"/>
      <c r="AT197" s="293"/>
      <c r="AU197" s="305"/>
      <c r="AV197" s="306"/>
      <c r="AW197" s="306"/>
      <c r="AX197" s="293"/>
      <c r="AY197" s="293"/>
      <c r="AZ197" s="293"/>
      <c r="BA197" s="293"/>
      <c r="BB197" s="293"/>
      <c r="BC197" s="293"/>
      <c r="BD197" s="293"/>
      <c r="BE197" s="293"/>
      <c r="BF197" s="293"/>
      <c r="BG197" s="293"/>
      <c r="BH197" s="293"/>
      <c r="BI197" s="293"/>
      <c r="BJ197" s="293"/>
      <c r="BK197" s="293"/>
      <c r="BL197" s="293"/>
      <c r="BM197" s="293"/>
      <c r="BN197" s="293"/>
      <c r="BO197" s="293"/>
      <c r="BP197" s="293"/>
      <c r="BQ197" s="293"/>
      <c r="BR197" s="293"/>
      <c r="BS197" s="293"/>
      <c r="BT197" s="293"/>
      <c r="BU197" s="293"/>
      <c r="BV197" s="293"/>
      <c r="BW197" s="293"/>
      <c r="BX197" s="293"/>
      <c r="BY197" s="293"/>
      <c r="BZ197" s="293"/>
    </row>
    <row r="198" spans="1:78" s="295" customFormat="1" ht="16.5" customHeight="1" x14ac:dyDescent="0.2">
      <c r="A198" s="458"/>
      <c r="B198" s="451"/>
      <c r="C198" s="452"/>
      <c r="D198" s="453"/>
      <c r="E198" s="454"/>
      <c r="F198" s="454"/>
      <c r="G198" s="446"/>
      <c r="H198" s="456"/>
      <c r="I198" s="446"/>
      <c r="J198" s="446"/>
      <c r="K198" s="457"/>
      <c r="L198" s="447"/>
      <c r="M198" s="445"/>
      <c r="N198" s="455"/>
      <c r="O198" s="285">
        <f ca="1">IF(NOT(ISERROR(MATCH(N198,_xlfn.ANCHORARRAY(#REF!),0))),#REF!&amp;"Por favor no seleccionar los criterios de impacto",N198)</f>
        <v>0</v>
      </c>
      <c r="P198" s="447"/>
      <c r="Q198" s="445"/>
      <c r="R198" s="459"/>
      <c r="S198" s="248">
        <v>2</v>
      </c>
      <c r="T198" s="330"/>
      <c r="U198" s="245"/>
      <c r="V198" s="322" t="str">
        <f>IF(OR(W198="Preventivo",W198="Detectivo"),"Probabilidad",IF(W198="Correctivo","Impacto",""))</f>
        <v/>
      </c>
      <c r="W198" s="323"/>
      <c r="X198" s="323"/>
      <c r="Y198" s="324" t="str">
        <f>IF(AND(W198="Preventivo",X198="Automático"),"50%",IF(AND(W198="Preventivo",X198="Manual"),"40%",IF(AND(W198="Detectivo",X198="Automático"),"40%",IF(AND(W198="Detectivo",X198="Manual"),"30%",IF(AND(W198="Correctivo",X198="Automático"),"35%",IF(AND(W198="Correctivo",X198="Manual"),"25%",""))))))</f>
        <v/>
      </c>
      <c r="Z198" s="323"/>
      <c r="AA198" s="323"/>
      <c r="AB198" s="323"/>
      <c r="AC198" s="325" t="str">
        <f t="shared" ref="AC198" si="365">IFERROR(IF(AND(V197="Probabilidad",V198="Probabilidad"),(AE197-(+AE197*Y198)),IF(V198="Probabilidad",(M197-(+M197*Y198)),IF(V198="Impacto",AE197,""))),"")</f>
        <v/>
      </c>
      <c r="AD198" s="326" t="str">
        <f t="shared" ref="AD198:AD202" si="366">IFERROR(IF(AC198="","",IF(AC198&lt;=0.2,"Muy Baja",IF(AC198&lt;=0.4,"Baja",IF(AC198&lt;=0.6,"Media",IF(AC198&lt;=0.8,"Alta","Muy Alta"))))),"")</f>
        <v/>
      </c>
      <c r="AE198" s="324" t="str">
        <f>+AC198</f>
        <v/>
      </c>
      <c r="AF198" s="326" t="str">
        <f t="shared" ref="AF198:AF202" si="367">IFERROR(IF(AG198="","",IF(AG198&lt;=0.2,"Leve",IF(AG198&lt;=0.4,"Menor",IF(AG198&lt;=0.6,"Moderado",IF(AG198&lt;=0.8,"Mayor","Catastrófico"))))),"")</f>
        <v/>
      </c>
      <c r="AG198" s="324" t="str">
        <f>IFERROR(IF(AND(V197="Impacto",V198="Impacto"),(AG197-(+AG197*Y198)),IF(V198="Impacto",($Q$197-(+$Q$197*Y198)),IF(V198="Probabilidad",AG197,""))),"")</f>
        <v/>
      </c>
      <c r="AH198" s="328" t="str">
        <f t="shared" ref="AH198:AH199" si="368">IFERROR(IF(OR(AND(AD198="Muy Baja",AF198="Leve"),AND(AD198="Muy Baja",AF198="Menor"),AND(AD198="Baja",AF198="Leve")),"Bajo",IF(OR(AND(AD198="Muy baja",AF198="Moderado"),AND(AD198="Baja",AF198="Menor"),AND(AD198="Baja",AF198="Moderado"),AND(AD198="Media",AF198="Leve"),AND(AD198="Media",AF198="Menor"),AND(AD198="Media",AF198="Moderado"),AND(AD198="Alta",AF198="Leve"),AND(AD198="Alta",AF198="Menor")),"Moderado",IF(OR(AND(AD198="Muy Baja",AF198="Mayor"),AND(AD198="Baja",AF198="Mayor"),AND(AD198="Media",AF198="Mayor"),AND(AD198="Alta",AF198="Moderado"),AND(AD198="Alta",AF198="Mayor"),AND(AD198="Muy Alta",AF198="Leve"),AND(AD198="Muy Alta",AF198="Menor"),AND(AD198="Muy Alta",AF198="Moderado"),AND(AD198="Muy Alta",AF198="Mayor")),"Alto",IF(OR(AND(AD198="Muy Baja",AF198="Catastrófico"),AND(AD198="Baja",AF198="Catastrófico"),AND(AD198="Media",AF198="Catastrófico"),AND(AD198="Alta",AF198="Catastrófico"),AND(AD198="Muy Alta",AF198="Catastrófico")),"Extremo","")))),"")</f>
        <v/>
      </c>
      <c r="AI198" s="323"/>
      <c r="AJ198" s="249"/>
      <c r="AK198" s="249"/>
      <c r="AL198" s="249"/>
      <c r="AM198" s="249"/>
      <c r="AN198" s="278"/>
      <c r="AO198" s="277"/>
      <c r="AP198" s="277"/>
      <c r="AQ198" s="276"/>
      <c r="AR198" s="263"/>
      <c r="AS198" s="277"/>
      <c r="AT198" s="293"/>
      <c r="AU198" s="293"/>
      <c r="AV198" s="293"/>
      <c r="AW198" s="293"/>
      <c r="AX198" s="293"/>
      <c r="AY198" s="293"/>
      <c r="AZ198" s="293"/>
      <c r="BA198" s="293"/>
      <c r="BB198" s="293"/>
      <c r="BC198" s="293"/>
      <c r="BD198" s="293"/>
      <c r="BE198" s="293"/>
      <c r="BF198" s="293"/>
      <c r="BG198" s="293"/>
      <c r="BH198" s="293"/>
      <c r="BI198" s="293"/>
      <c r="BJ198" s="293"/>
      <c r="BK198" s="293"/>
      <c r="BL198" s="293"/>
      <c r="BM198" s="293"/>
      <c r="BN198" s="293"/>
      <c r="BO198" s="293"/>
      <c r="BP198" s="293"/>
      <c r="BQ198" s="293"/>
      <c r="BR198" s="293"/>
      <c r="BS198" s="293"/>
      <c r="BT198" s="293"/>
      <c r="BU198" s="293"/>
      <c r="BV198" s="293"/>
      <c r="BW198" s="293"/>
      <c r="BX198" s="293"/>
      <c r="BY198" s="293"/>
      <c r="BZ198" s="293"/>
    </row>
    <row r="199" spans="1:78" s="295" customFormat="1" ht="16.5" customHeight="1" x14ac:dyDescent="0.2">
      <c r="A199" s="458"/>
      <c r="B199" s="451"/>
      <c r="C199" s="452"/>
      <c r="D199" s="453"/>
      <c r="E199" s="454"/>
      <c r="F199" s="454"/>
      <c r="G199" s="446"/>
      <c r="H199" s="456"/>
      <c r="I199" s="446"/>
      <c r="J199" s="446"/>
      <c r="K199" s="457"/>
      <c r="L199" s="447"/>
      <c r="M199" s="445"/>
      <c r="N199" s="455"/>
      <c r="O199" s="285">
        <f ca="1">IF(NOT(ISERROR(MATCH(N199,_xlfn.ANCHORARRAY(#REF!),0))),#REF!&amp;"Por favor no seleccionar los criterios de impacto",N199)</f>
        <v>0</v>
      </c>
      <c r="P199" s="447"/>
      <c r="Q199" s="445"/>
      <c r="R199" s="459"/>
      <c r="S199" s="248">
        <v>3</v>
      </c>
      <c r="T199" s="330"/>
      <c r="U199" s="245"/>
      <c r="V199" s="322" t="str">
        <f>IF(OR(W199="Preventivo",W199="Detectivo"),"Probabilidad",IF(W199="Correctivo","Impacto",""))</f>
        <v/>
      </c>
      <c r="W199" s="323"/>
      <c r="X199" s="323"/>
      <c r="Y199" s="324" t="str">
        <f>IF(AND(W199="Preventivo",X199="Automático"),"50%",IF(AND(W199="Preventivo",X199="Manual"),"40%",IF(AND(W199="Detectivo",X199="Automático"),"40%",IF(AND(W199="Detectivo",X199="Manual"),"30%",IF(AND(W199="Correctivo",X199="Automático"),"35%",IF(AND(W199="Correctivo",X199="Manual"),"25%",""))))))</f>
        <v/>
      </c>
      <c r="Z199" s="323"/>
      <c r="AA199" s="323"/>
      <c r="AB199" s="323"/>
      <c r="AC199" s="325" t="str">
        <f t="shared" ref="AC199:AC202" si="369">IFERROR(IF(AND(V198="Probabilidad",V199="Probabilidad"),(AE198-(+AE198*Y199)),IF(AND(V198="Impacto",V199="Probabilidad"),(AE197-(+AE197*Y199)),IF(V199="Impacto",AE198,""))),"")</f>
        <v/>
      </c>
      <c r="AD199" s="326" t="str">
        <f t="shared" si="366"/>
        <v/>
      </c>
      <c r="AE199" s="324" t="str">
        <f t="shared" ref="AE199:AE202" si="370">+AC199</f>
        <v/>
      </c>
      <c r="AF199" s="326" t="str">
        <f t="shared" si="367"/>
        <v/>
      </c>
      <c r="AG199" s="324" t="str">
        <f t="shared" ref="AG199:AG202" si="371">IFERROR(IF(AND(V198="Impacto",V199="Impacto"),(AG198-(+AG198*Y199)),IF(V199="Impacto",($Q$197-(+$Q$197*Y199)),IF(V199="Probabilidad",AG198,""))),"")</f>
        <v/>
      </c>
      <c r="AH199" s="328" t="str">
        <f t="shared" si="368"/>
        <v/>
      </c>
      <c r="AI199" s="323"/>
      <c r="AJ199" s="249"/>
      <c r="AK199" s="249"/>
      <c r="AL199" s="249"/>
      <c r="AM199" s="249"/>
      <c r="AN199" s="278"/>
      <c r="AO199" s="277"/>
      <c r="AP199" s="277"/>
      <c r="AQ199" s="276"/>
      <c r="AR199" s="263"/>
      <c r="AS199" s="277"/>
      <c r="AT199" s="293"/>
      <c r="AU199" s="293"/>
      <c r="AV199" s="293"/>
      <c r="AW199" s="293"/>
      <c r="AX199" s="293"/>
      <c r="AY199" s="293"/>
      <c r="AZ199" s="293"/>
      <c r="BA199" s="293"/>
      <c r="BB199" s="293"/>
      <c r="BC199" s="293"/>
      <c r="BD199" s="293"/>
      <c r="BE199" s="293"/>
      <c r="BF199" s="293"/>
      <c r="BG199" s="293"/>
      <c r="BH199" s="293"/>
      <c r="BI199" s="293"/>
      <c r="BJ199" s="293"/>
      <c r="BK199" s="293"/>
      <c r="BL199" s="293"/>
      <c r="BM199" s="293"/>
      <c r="BN199" s="293"/>
      <c r="BO199" s="293"/>
      <c r="BP199" s="293"/>
      <c r="BQ199" s="293"/>
      <c r="BR199" s="293"/>
      <c r="BS199" s="293"/>
      <c r="BT199" s="293"/>
      <c r="BU199" s="293"/>
      <c r="BV199" s="293"/>
      <c r="BW199" s="293"/>
      <c r="BX199" s="293"/>
      <c r="BY199" s="293"/>
      <c r="BZ199" s="293"/>
    </row>
    <row r="200" spans="1:78" s="295" customFormat="1" ht="16.5" customHeight="1" x14ac:dyDescent="0.2">
      <c r="A200" s="458"/>
      <c r="B200" s="451"/>
      <c r="C200" s="452"/>
      <c r="D200" s="453"/>
      <c r="E200" s="454"/>
      <c r="F200" s="454"/>
      <c r="G200" s="446"/>
      <c r="H200" s="456"/>
      <c r="I200" s="446"/>
      <c r="J200" s="446"/>
      <c r="K200" s="457"/>
      <c r="L200" s="447"/>
      <c r="M200" s="445"/>
      <c r="N200" s="455"/>
      <c r="O200" s="285">
        <f ca="1">IF(NOT(ISERROR(MATCH(N200,_xlfn.ANCHORARRAY(#REF!),0))),#REF!&amp;"Por favor no seleccionar los criterios de impacto",N200)</f>
        <v>0</v>
      </c>
      <c r="P200" s="447"/>
      <c r="Q200" s="445"/>
      <c r="R200" s="459"/>
      <c r="S200" s="248">
        <v>4</v>
      </c>
      <c r="T200" s="330"/>
      <c r="U200" s="245"/>
      <c r="V200" s="322" t="str">
        <f t="shared" ref="V200:V202" si="372">IF(OR(W200="Preventivo",W200="Detectivo"),"Probabilidad",IF(W200="Correctivo","Impacto",""))</f>
        <v/>
      </c>
      <c r="W200" s="323"/>
      <c r="X200" s="323"/>
      <c r="Y200" s="324" t="str">
        <f t="shared" ref="Y200:Y202" si="373">IF(AND(W200="Preventivo",X200="Automático"),"50%",IF(AND(W200="Preventivo",X200="Manual"),"40%",IF(AND(W200="Detectivo",X200="Automático"),"40%",IF(AND(W200="Detectivo",X200="Manual"),"30%",IF(AND(W200="Correctivo",X200="Automático"),"35%",IF(AND(W200="Correctivo",X200="Manual"),"25%",""))))))</f>
        <v/>
      </c>
      <c r="Z200" s="323"/>
      <c r="AA200" s="323"/>
      <c r="AB200" s="323"/>
      <c r="AC200" s="325" t="str">
        <f t="shared" si="369"/>
        <v/>
      </c>
      <c r="AD200" s="326" t="str">
        <f t="shared" si="366"/>
        <v/>
      </c>
      <c r="AE200" s="324" t="str">
        <f t="shared" si="370"/>
        <v/>
      </c>
      <c r="AF200" s="326" t="str">
        <f t="shared" si="367"/>
        <v/>
      </c>
      <c r="AG200" s="324" t="str">
        <f t="shared" si="371"/>
        <v/>
      </c>
      <c r="AH200" s="328" t="str">
        <f>IFERROR(IF(OR(AND(AD200="Muy Baja",AF200="Leve"),AND(AD200="Muy Baja",AF200="Menor"),AND(AD200="Baja",AF200="Leve")),"Bajo",IF(OR(AND(AD200="Muy baja",AF200="Moderado"),AND(AD200="Baja",AF200="Menor"),AND(AD200="Baja",AF200="Moderado"),AND(AD200="Media",AF200="Leve"),AND(AD200="Media",AF200="Menor"),AND(AD200="Media",AF200="Moderado"),AND(AD200="Alta",AF200="Leve"),AND(AD200="Alta",AF200="Menor")),"Moderado",IF(OR(AND(AD200="Muy Baja",AF200="Mayor"),AND(AD200="Baja",AF200="Mayor"),AND(AD200="Media",AF200="Mayor"),AND(AD200="Alta",AF200="Moderado"),AND(AD200="Alta",AF200="Mayor"),AND(AD200="Muy Alta",AF200="Leve"),AND(AD200="Muy Alta",AF200="Menor"),AND(AD200="Muy Alta",AF200="Moderado"),AND(AD200="Muy Alta",AF200="Mayor")),"Alto",IF(OR(AND(AD200="Muy Baja",AF200="Catastrófico"),AND(AD200="Baja",AF200="Catastrófico"),AND(AD200="Media",AF200="Catastrófico"),AND(AD200="Alta",AF200="Catastrófico"),AND(AD200="Muy Alta",AF200="Catastrófico")),"Extremo","")))),"")</f>
        <v/>
      </c>
      <c r="AI200" s="323"/>
      <c r="AJ200" s="249"/>
      <c r="AK200" s="249"/>
      <c r="AL200" s="249"/>
      <c r="AM200" s="249"/>
      <c r="AN200" s="278"/>
      <c r="AO200" s="209"/>
      <c r="AP200" s="209"/>
      <c r="AQ200" s="244"/>
      <c r="AR200" s="263"/>
      <c r="AS200" s="209"/>
      <c r="AT200" s="293"/>
      <c r="AU200" s="293"/>
      <c r="AV200" s="293"/>
      <c r="AW200" s="293"/>
      <c r="AX200" s="293"/>
      <c r="AY200" s="293"/>
      <c r="AZ200" s="293"/>
      <c r="BA200" s="293"/>
      <c r="BB200" s="293"/>
      <c r="BC200" s="293"/>
      <c r="BD200" s="293"/>
      <c r="BE200" s="293"/>
      <c r="BF200" s="293"/>
      <c r="BG200" s="293"/>
      <c r="BH200" s="293"/>
      <c r="BI200" s="293"/>
      <c r="BJ200" s="293"/>
      <c r="BK200" s="293"/>
      <c r="BL200" s="293"/>
      <c r="BM200" s="293"/>
      <c r="BN200" s="293"/>
      <c r="BO200" s="293"/>
      <c r="BP200" s="293"/>
      <c r="BQ200" s="293"/>
      <c r="BR200" s="293"/>
      <c r="BS200" s="293"/>
      <c r="BT200" s="293"/>
      <c r="BU200" s="293"/>
      <c r="BV200" s="293"/>
      <c r="BW200" s="293"/>
      <c r="BX200" s="293"/>
      <c r="BY200" s="293"/>
      <c r="BZ200" s="293"/>
    </row>
    <row r="201" spans="1:78" s="295" customFormat="1" ht="27" customHeight="1" x14ac:dyDescent="0.2">
      <c r="A201" s="458"/>
      <c r="B201" s="451"/>
      <c r="C201" s="452"/>
      <c r="D201" s="453"/>
      <c r="E201" s="454"/>
      <c r="F201" s="454"/>
      <c r="G201" s="446"/>
      <c r="H201" s="456"/>
      <c r="I201" s="446"/>
      <c r="J201" s="446"/>
      <c r="K201" s="457"/>
      <c r="L201" s="447"/>
      <c r="M201" s="445"/>
      <c r="N201" s="455"/>
      <c r="O201" s="285">
        <f ca="1">IF(NOT(ISERROR(MATCH(N201,_xlfn.ANCHORARRAY(#REF!),0))),#REF!&amp;"Por favor no seleccionar los criterios de impacto",N201)</f>
        <v>0</v>
      </c>
      <c r="P201" s="447"/>
      <c r="Q201" s="445"/>
      <c r="R201" s="459"/>
      <c r="S201" s="248">
        <v>5</v>
      </c>
      <c r="T201" s="330"/>
      <c r="U201" s="245"/>
      <c r="V201" s="322" t="str">
        <f t="shared" si="372"/>
        <v/>
      </c>
      <c r="W201" s="323"/>
      <c r="X201" s="323"/>
      <c r="Y201" s="324" t="str">
        <f t="shared" si="373"/>
        <v/>
      </c>
      <c r="Z201" s="323"/>
      <c r="AA201" s="323"/>
      <c r="AB201" s="323"/>
      <c r="AC201" s="325" t="str">
        <f t="shared" si="369"/>
        <v/>
      </c>
      <c r="AD201" s="326" t="str">
        <f t="shared" si="366"/>
        <v/>
      </c>
      <c r="AE201" s="324" t="str">
        <f t="shared" si="370"/>
        <v/>
      </c>
      <c r="AF201" s="326" t="str">
        <f t="shared" si="367"/>
        <v/>
      </c>
      <c r="AG201" s="324" t="str">
        <f t="shared" si="371"/>
        <v/>
      </c>
      <c r="AH201" s="328" t="str">
        <f t="shared" ref="AH201:AH202" si="374">IFERROR(IF(OR(AND(AD201="Muy Baja",AF201="Leve"),AND(AD201="Muy Baja",AF201="Menor"),AND(AD201="Baja",AF201="Leve")),"Bajo",IF(OR(AND(AD201="Muy baja",AF201="Moderado"),AND(AD201="Baja",AF201="Menor"),AND(AD201="Baja",AF201="Moderado"),AND(AD201="Media",AF201="Leve"),AND(AD201="Media",AF201="Menor"),AND(AD201="Media",AF201="Moderado"),AND(AD201="Alta",AF201="Leve"),AND(AD201="Alta",AF201="Menor")),"Moderado",IF(OR(AND(AD201="Muy Baja",AF201="Mayor"),AND(AD201="Baja",AF201="Mayor"),AND(AD201="Media",AF201="Mayor"),AND(AD201="Alta",AF201="Moderado"),AND(AD201="Alta",AF201="Mayor"),AND(AD201="Muy Alta",AF201="Leve"),AND(AD201="Muy Alta",AF201="Menor"),AND(AD201="Muy Alta",AF201="Moderado"),AND(AD201="Muy Alta",AF201="Mayor")),"Alto",IF(OR(AND(AD201="Muy Baja",AF201="Catastrófico"),AND(AD201="Baja",AF201="Catastrófico"),AND(AD201="Media",AF201="Catastrófico"),AND(AD201="Alta",AF201="Catastrófico"),AND(AD201="Muy Alta",AF201="Catastrófico")),"Extremo","")))),"")</f>
        <v/>
      </c>
      <c r="AI201" s="323"/>
      <c r="AJ201" s="249"/>
      <c r="AK201" s="249"/>
      <c r="AL201" s="249"/>
      <c r="AM201" s="249"/>
      <c r="AN201" s="278"/>
      <c r="AO201" s="276"/>
      <c r="AP201" s="276"/>
      <c r="AQ201" s="278"/>
      <c r="AR201" s="211"/>
      <c r="AS201" s="211"/>
      <c r="AT201" s="293"/>
      <c r="AU201" s="293"/>
      <c r="AV201" s="293"/>
      <c r="AW201" s="293"/>
      <c r="AX201" s="293"/>
      <c r="AY201" s="293"/>
      <c r="AZ201" s="293"/>
      <c r="BA201" s="293"/>
      <c r="BB201" s="293"/>
      <c r="BC201" s="293"/>
      <c r="BD201" s="293"/>
      <c r="BE201" s="293"/>
      <c r="BF201" s="293"/>
      <c r="BG201" s="293"/>
      <c r="BH201" s="293"/>
      <c r="BI201" s="293"/>
      <c r="BJ201" s="293"/>
      <c r="BK201" s="293"/>
      <c r="BL201" s="293"/>
      <c r="BM201" s="293"/>
      <c r="BN201" s="293"/>
      <c r="BO201" s="293"/>
      <c r="BP201" s="293"/>
      <c r="BQ201" s="293"/>
      <c r="BR201" s="293"/>
      <c r="BS201" s="293"/>
      <c r="BT201" s="293"/>
      <c r="BU201" s="293"/>
      <c r="BV201" s="293"/>
      <c r="BW201" s="293"/>
      <c r="BX201" s="293"/>
      <c r="BY201" s="293"/>
      <c r="BZ201" s="293"/>
    </row>
    <row r="202" spans="1:78" s="295" customFormat="1" ht="16.5" customHeight="1" x14ac:dyDescent="0.2">
      <c r="A202" s="458"/>
      <c r="B202" s="451"/>
      <c r="C202" s="452"/>
      <c r="D202" s="453"/>
      <c r="E202" s="454"/>
      <c r="F202" s="454"/>
      <c r="G202" s="446"/>
      <c r="H202" s="456"/>
      <c r="I202" s="446"/>
      <c r="J202" s="446"/>
      <c r="K202" s="457"/>
      <c r="L202" s="447"/>
      <c r="M202" s="445"/>
      <c r="N202" s="455"/>
      <c r="O202" s="285">
        <f ca="1">IF(NOT(ISERROR(MATCH(N202,_xlfn.ANCHORARRAY(#REF!),0))),M49&amp;"Por favor no seleccionar los criterios de impacto",N202)</f>
        <v>0</v>
      </c>
      <c r="P202" s="447"/>
      <c r="Q202" s="445"/>
      <c r="R202" s="459"/>
      <c r="S202" s="248">
        <v>6</v>
      </c>
      <c r="T202" s="330"/>
      <c r="U202" s="245"/>
      <c r="V202" s="322" t="str">
        <f t="shared" si="372"/>
        <v/>
      </c>
      <c r="W202" s="323"/>
      <c r="X202" s="323"/>
      <c r="Y202" s="324" t="str">
        <f t="shared" si="373"/>
        <v/>
      </c>
      <c r="Z202" s="323"/>
      <c r="AA202" s="323"/>
      <c r="AB202" s="323"/>
      <c r="AC202" s="325" t="str">
        <f t="shared" si="369"/>
        <v/>
      </c>
      <c r="AD202" s="326" t="str">
        <f t="shared" si="366"/>
        <v/>
      </c>
      <c r="AE202" s="324" t="str">
        <f t="shared" si="370"/>
        <v/>
      </c>
      <c r="AF202" s="326" t="str">
        <f t="shared" si="367"/>
        <v/>
      </c>
      <c r="AG202" s="324" t="str">
        <f t="shared" si="371"/>
        <v/>
      </c>
      <c r="AH202" s="328" t="str">
        <f t="shared" si="374"/>
        <v/>
      </c>
      <c r="AI202" s="323"/>
      <c r="AJ202" s="249"/>
      <c r="AK202" s="249"/>
      <c r="AL202" s="249"/>
      <c r="AM202" s="249"/>
      <c r="AN202" s="278"/>
      <c r="AO202" s="276"/>
      <c r="AP202" s="276"/>
      <c r="AQ202" s="278"/>
      <c r="AR202" s="211"/>
      <c r="AS202" s="211"/>
      <c r="AT202" s="293"/>
      <c r="AU202" s="293"/>
      <c r="AV202" s="293"/>
      <c r="AW202" s="293"/>
      <c r="AX202" s="293"/>
      <c r="AY202" s="293"/>
      <c r="AZ202" s="293"/>
      <c r="BA202" s="293"/>
      <c r="BB202" s="293"/>
      <c r="BC202" s="293"/>
      <c r="BD202" s="293"/>
      <c r="BE202" s="293"/>
      <c r="BF202" s="293"/>
      <c r="BG202" s="293"/>
      <c r="BH202" s="293"/>
      <c r="BI202" s="293"/>
      <c r="BJ202" s="293"/>
      <c r="BK202" s="293"/>
      <c r="BL202" s="293"/>
      <c r="BM202" s="293"/>
      <c r="BN202" s="293"/>
      <c r="BO202" s="293"/>
      <c r="BP202" s="293"/>
      <c r="BQ202" s="293"/>
      <c r="BR202" s="293"/>
      <c r="BS202" s="293"/>
      <c r="BT202" s="293"/>
      <c r="BU202" s="293"/>
      <c r="BV202" s="293"/>
      <c r="BW202" s="293"/>
      <c r="BX202" s="293"/>
      <c r="BY202" s="293"/>
      <c r="BZ202" s="293"/>
    </row>
    <row r="203" spans="1:78" s="294" customFormat="1" ht="216" customHeight="1" x14ac:dyDescent="0.2">
      <c r="A203" s="458" t="s">
        <v>749</v>
      </c>
      <c r="B203" s="451" t="s">
        <v>830</v>
      </c>
      <c r="C203" s="452" t="s">
        <v>610</v>
      </c>
      <c r="D203" s="453" t="s">
        <v>619</v>
      </c>
      <c r="E203" s="454" t="s">
        <v>109</v>
      </c>
      <c r="F203" s="454" t="s">
        <v>750</v>
      </c>
      <c r="G203" s="446" t="s">
        <v>934</v>
      </c>
      <c r="H203" s="456" t="s">
        <v>933</v>
      </c>
      <c r="I203" s="446" t="s">
        <v>654</v>
      </c>
      <c r="J203" s="446" t="s">
        <v>935</v>
      </c>
      <c r="K203" s="457">
        <v>10000</v>
      </c>
      <c r="L203" s="447" t="str">
        <f t="shared" ref="L203" si="375">IF(K203&lt;=0,"",IF(K203&lt;=2,"Muy Baja",IF(K203&lt;=24,"Baja",IF(K203&lt;=500,"Media",IF(K203&lt;=5000,"Alta","Muy Alta")))))</f>
        <v>Muy Alta</v>
      </c>
      <c r="M203" s="445">
        <f>IF(L203="","",IF(L203="Muy Baja",0.2,IF(L203="Baja",0.4,IF(L203="Media",0.6,IF(L203="Alta",0.8,IF(L203="Muy Alta",1,))))))</f>
        <v>1</v>
      </c>
      <c r="N203" s="455" t="s">
        <v>116</v>
      </c>
      <c r="O203" s="285" t="str">
        <f ca="1">IF(NOT(ISERROR(MATCH(N203,'Tabla Impacto'!$B$221:$B$223,0))),'Tabla Impacto'!$F$223&amp;"Por favor no seleccionar los criterios de impacto(Afectación Económica o presupuestal y Pérdida Reputacional)",N203)</f>
        <v xml:space="preserve">     Entre 10 y 50 SMLMV </v>
      </c>
      <c r="P203" s="447" t="str">
        <f ca="1">IF(OR(O203='Tabla Impacto'!$C$11,O203='Tabla Impacto'!$D$11),"Leve",IF(OR(O203='Tabla Impacto'!$C$12,O203='Tabla Impacto'!$D$12),"Menor",IF(OR(O203='Tabla Impacto'!$C$13,O203='Tabla Impacto'!$D$13),"Moderado",IF(OR(O203='Tabla Impacto'!$C$14,O203='Tabla Impacto'!$D$14),"Mayor",IF(OR(O203='Tabla Impacto'!$C$15,O203='Tabla Impacto'!$D$15),"Catastrófico","")))))</f>
        <v>Menor</v>
      </c>
      <c r="Q203" s="445">
        <f ca="1">IF(P203="","",IF(P203="Leve",0.2,IF(P203="Menor",0.4,IF(P203="Moderado",0.6,IF(P203="Mayor",0.8,IF(P203="Catastrófico",1,))))))</f>
        <v>0.4</v>
      </c>
      <c r="R203" s="459" t="str">
        <f ca="1">IF(OR(AND(L203="Muy Baja",P203="Leve"),AND(L203="Muy Baja",P203="Menor"),AND(L203="Baja",P203="Leve")),"Bajo",IF(OR(AND(L203="Muy baja",P203="Moderado"),AND(L203="Baja",P203="Menor"),AND(L203="Baja",P203="Moderado"),AND(L203="Media",P203="Leve"),AND(L203="Media",P203="Menor"),AND(L203="Media",P203="Moderado"),AND(L203="Alta",P203="Leve"),AND(L203="Alta",P203="Menor")),"Moderado",IF(OR(AND(L203="Muy Baja",P203="Mayor"),AND(L203="Baja",P203="Mayor"),AND(L203="Media",P203="Mayor"),AND(L203="Alta",P203="Moderado"),AND(L203="Alta",P203="Mayor"),AND(L203="Muy Alta",P203="Leve"),AND(L203="Muy Alta",P203="Menor"),AND(L203="Muy Alta",P203="Moderado"),AND(L203="Muy Alta",P203="Mayor")),"Alto",IF(OR(AND(L203="Muy Baja",P203="Catastrófico"),AND(L203="Baja",P203="Catastrófico"),AND(L203="Media",P203="Catastrófico"),AND(L203="Alta",P203="Catastrófico"),AND(L203="Muy Alta",P203="Catastrófico")),"Extremo",""))))</f>
        <v>Alto</v>
      </c>
      <c r="S203" s="248">
        <v>1</v>
      </c>
      <c r="T203" s="351" t="s">
        <v>1088</v>
      </c>
      <c r="U203" s="350" t="s">
        <v>292</v>
      </c>
      <c r="V203" s="322" t="str">
        <f>IF(OR(W203="Preventivo",W203="Detectivo"),"Probabilidad",IF(W203="Correctivo","Impacto",""))</f>
        <v>Probabilidad</v>
      </c>
      <c r="W203" s="323" t="s">
        <v>13</v>
      </c>
      <c r="X203" s="323" t="s">
        <v>8</v>
      </c>
      <c r="Y203" s="324" t="str">
        <f>IF(AND(W203="Preventivo",X203="Automático"),"50%",IF(AND(W203="Preventivo",X203="Manual"),"40%",IF(AND(W203="Detectivo",X203="Automático"),"40%",IF(AND(W203="Detectivo",X203="Manual"),"30%",IF(AND(W203="Correctivo",X203="Automático"),"35%",IF(AND(W203="Correctivo",X203="Manual"),"25%",""))))))</f>
        <v>40%</v>
      </c>
      <c r="Z203" s="323" t="s">
        <v>18</v>
      </c>
      <c r="AA203" s="323" t="s">
        <v>21</v>
      </c>
      <c r="AB203" s="323" t="s">
        <v>103</v>
      </c>
      <c r="AC203" s="325">
        <f t="shared" ref="AC203" si="376">IFERROR(IF(V203="Probabilidad",(M203-(+M203*Y203)),IF(V203="Impacto",M203,"")),"")</f>
        <v>0.6</v>
      </c>
      <c r="AD203" s="326" t="str">
        <f>IFERROR(IF(AC203="","",IF(AC203&lt;=0.2,"Muy Baja",IF(AC203&lt;=0.4,"Baja",IF(AC203&lt;=0.6,"Media",IF(AC203&lt;=0.8,"Alta","Muy Alta"))))),"")</f>
        <v>Media</v>
      </c>
      <c r="AE203" s="324">
        <f>+AC203</f>
        <v>0.6</v>
      </c>
      <c r="AF203" s="326" t="str">
        <f ca="1">IFERROR(IF(AG203="","",IF(AG203&lt;=0.2,"Leve",IF(AG203&lt;=0.4,"Menor",IF(AG203&lt;=0.6,"Moderado",IF(AG203&lt;=0.8,"Mayor","Catastrófico"))))),"")</f>
        <v>Menor</v>
      </c>
      <c r="AG203" s="324">
        <f ca="1">IFERROR(IF(V203="Impacto",(Q203-(+Q203*Y203)),IF(V203="Probabilidad",Q203,"")),"")</f>
        <v>0.4</v>
      </c>
      <c r="AH203" s="328" t="str">
        <f ca="1">IFERROR(IF(OR(AND(AD203="Muy Baja",AF203="Leve"),AND(AD203="Muy Baja",AF203="Menor"),AND(AD203="Baja",AF203="Leve")),"Bajo",IF(OR(AND(AD203="Muy baja",AF203="Moderado"),AND(AD203="Baja",AF203="Menor"),AND(AD203="Baja",AF203="Moderado"),AND(AD203="Media",AF203="Leve"),AND(AD203="Media",AF203="Menor"),AND(AD203="Media",AF203="Moderado"),AND(AD203="Alta",AF203="Leve"),AND(AD203="Alta",AF203="Menor")),"Moderado",IF(OR(AND(AD203="Muy Baja",AF203="Mayor"),AND(AD203="Baja",AF203="Mayor"),AND(AD203="Media",AF203="Mayor"),AND(AD203="Alta",AF203="Moderado"),AND(AD203="Alta",AF203="Mayor"),AND(AD203="Muy Alta",AF203="Leve"),AND(AD203="Muy Alta",AF203="Menor"),AND(AD203="Muy Alta",AF203="Moderado"),AND(AD203="Muy Alta",AF203="Mayor")),"Alto",IF(OR(AND(AD203="Muy Baja",AF203="Catastrófico"),AND(AD203="Baja",AF203="Catastrófico"),AND(AD203="Media",AF203="Catastrófico"),AND(AD203="Alta",AF203="Catastrófico"),AND(AD203="Muy Alta",AF203="Catastrófico")),"Extremo","")))),"")</f>
        <v>Moderado</v>
      </c>
      <c r="AI203" s="323" t="s">
        <v>26</v>
      </c>
      <c r="AJ203" s="249">
        <v>0</v>
      </c>
      <c r="AK203" s="249">
        <v>0</v>
      </c>
      <c r="AL203" s="249">
        <v>0</v>
      </c>
      <c r="AM203" s="249">
        <v>0</v>
      </c>
      <c r="AN203" s="240"/>
      <c r="AO203" s="259"/>
      <c r="AP203" s="259"/>
      <c r="AQ203" s="239"/>
      <c r="AR203" s="264"/>
      <c r="AS203" s="265"/>
      <c r="AT203" s="293"/>
      <c r="AU203" s="293"/>
      <c r="AV203" s="293"/>
      <c r="AW203" s="293"/>
      <c r="AX203" s="293"/>
      <c r="AY203" s="293"/>
      <c r="AZ203" s="293"/>
      <c r="BA203" s="293"/>
      <c r="BB203" s="293"/>
      <c r="BC203" s="293"/>
      <c r="BD203" s="293"/>
      <c r="BE203" s="293"/>
      <c r="BF203" s="293"/>
      <c r="BG203" s="293"/>
      <c r="BH203" s="293"/>
      <c r="BI203" s="293"/>
      <c r="BJ203" s="293"/>
      <c r="BK203" s="293"/>
      <c r="BL203" s="293"/>
      <c r="BM203" s="293"/>
      <c r="BN203" s="293"/>
      <c r="BO203" s="293"/>
      <c r="BP203" s="293"/>
      <c r="BQ203" s="293"/>
      <c r="BR203" s="293"/>
      <c r="BS203" s="293"/>
      <c r="BT203" s="293"/>
      <c r="BU203" s="293"/>
      <c r="BV203" s="293"/>
      <c r="BW203" s="293"/>
      <c r="BX203" s="293"/>
      <c r="BY203" s="293"/>
      <c r="BZ203" s="293"/>
    </row>
    <row r="204" spans="1:78" s="295" customFormat="1" ht="275.45" customHeight="1" x14ac:dyDescent="0.2">
      <c r="A204" s="458"/>
      <c r="B204" s="451"/>
      <c r="C204" s="452"/>
      <c r="D204" s="453"/>
      <c r="E204" s="454"/>
      <c r="F204" s="454"/>
      <c r="G204" s="446"/>
      <c r="H204" s="456"/>
      <c r="I204" s="446"/>
      <c r="J204" s="446"/>
      <c r="K204" s="457"/>
      <c r="L204" s="447"/>
      <c r="M204" s="445"/>
      <c r="N204" s="455"/>
      <c r="O204" s="285">
        <f ca="1">IF(NOT(ISERROR(MATCH(N204,_xlfn.ANCHORARRAY(H25),0))),M27&amp;"Por favor no seleccionar los criterios de impacto",N204)</f>
        <v>0</v>
      </c>
      <c r="P204" s="447"/>
      <c r="Q204" s="445"/>
      <c r="R204" s="459"/>
      <c r="S204" s="248">
        <v>2</v>
      </c>
      <c r="T204" s="351" t="s">
        <v>995</v>
      </c>
      <c r="U204" s="350" t="s">
        <v>292</v>
      </c>
      <c r="V204" s="322" t="str">
        <f>IF(OR(W204="Preventivo",W204="Detectivo"),"Probabilidad",IF(W204="Correctivo","Impacto",""))</f>
        <v>Probabilidad</v>
      </c>
      <c r="W204" s="323" t="s">
        <v>13</v>
      </c>
      <c r="X204" s="323" t="s">
        <v>8</v>
      </c>
      <c r="Y204" s="324" t="str">
        <f>IF(AND(W204="Preventivo",X204="Automático"),"50%",IF(AND(W204="Preventivo",X204="Manual"),"40%",IF(AND(W204="Detectivo",X204="Automático"),"40%",IF(AND(W204="Detectivo",X204="Manual"),"30%",IF(AND(W204="Correctivo",X204="Automático"),"35%",IF(AND(W204="Correctivo",X204="Manual"),"25%",""))))))</f>
        <v>40%</v>
      </c>
      <c r="Z204" s="323" t="s">
        <v>18</v>
      </c>
      <c r="AA204" s="323" t="s">
        <v>21</v>
      </c>
      <c r="AB204" s="323" t="s">
        <v>103</v>
      </c>
      <c r="AC204" s="325">
        <f t="shared" ref="AC204" si="377">IFERROR(IF(AND(V203="Probabilidad",V204="Probabilidad"),(AE203-(+AE203*Y204)),IF(V204="Probabilidad",(M203-(+M203*Y204)),IF(V204="Impacto",AE203,""))),"")</f>
        <v>0.36</v>
      </c>
      <c r="AD204" s="326" t="str">
        <f t="shared" ref="AD204:AD208" si="378">IFERROR(IF(AC204="","",IF(AC204&lt;=0.2,"Muy Baja",IF(AC204&lt;=0.4,"Baja",IF(AC204&lt;=0.6,"Media",IF(AC204&lt;=0.8,"Alta","Muy Alta"))))),"")</f>
        <v>Baja</v>
      </c>
      <c r="AE204" s="324">
        <f>+AC204</f>
        <v>0.36</v>
      </c>
      <c r="AF204" s="326" t="str">
        <f t="shared" ref="AF204:AF208" ca="1" si="379">IFERROR(IF(AG204="","",IF(AG204&lt;=0.2,"Leve",IF(AG204&lt;=0.4,"Menor",IF(AG204&lt;=0.6,"Moderado",IF(AG204&lt;=0.8,"Mayor","Catastrófico"))))),"")</f>
        <v>Menor</v>
      </c>
      <c r="AG204" s="324">
        <f ca="1">IFERROR(IF(AND(V203="Impacto",V204="Impacto"),(AG203-(+AG203*Y204)),IF(V204="Impacto",($Q$203-(+$Q$203*Y204)),IF(V204="Probabilidad",AG203,""))),"")</f>
        <v>0.4</v>
      </c>
      <c r="AH204" s="328" t="str">
        <f t="shared" ref="AH204:AH205" ca="1" si="380">IFERROR(IF(OR(AND(AD204="Muy Baja",AF204="Leve"),AND(AD204="Muy Baja",AF204="Menor"),AND(AD204="Baja",AF204="Leve")),"Bajo",IF(OR(AND(AD204="Muy baja",AF204="Moderado"),AND(AD204="Baja",AF204="Menor"),AND(AD204="Baja",AF204="Moderado"),AND(AD204="Media",AF204="Leve"),AND(AD204="Media",AF204="Menor"),AND(AD204="Media",AF204="Moderado"),AND(AD204="Alta",AF204="Leve"),AND(AD204="Alta",AF204="Menor")),"Moderado",IF(OR(AND(AD204="Muy Baja",AF204="Mayor"),AND(AD204="Baja",AF204="Mayor"),AND(AD204="Media",AF204="Mayor"),AND(AD204="Alta",AF204="Moderado"),AND(AD204="Alta",AF204="Mayor"),AND(AD204="Muy Alta",AF204="Leve"),AND(AD204="Muy Alta",AF204="Menor"),AND(AD204="Muy Alta",AF204="Moderado"),AND(AD204="Muy Alta",AF204="Mayor")),"Alto",IF(OR(AND(AD204="Muy Baja",AF204="Catastrófico"),AND(AD204="Baja",AF204="Catastrófico"),AND(AD204="Media",AF204="Catastrófico"),AND(AD204="Alta",AF204="Catastrófico"),AND(AD204="Muy Alta",AF204="Catastrófico")),"Extremo","")))),"")</f>
        <v>Moderado</v>
      </c>
      <c r="AI204" s="323" t="s">
        <v>26</v>
      </c>
      <c r="AJ204" s="249">
        <v>4</v>
      </c>
      <c r="AK204" s="249">
        <v>1</v>
      </c>
      <c r="AL204" s="249">
        <v>1</v>
      </c>
      <c r="AM204" s="249">
        <v>2</v>
      </c>
      <c r="AN204" s="240"/>
      <c r="AO204" s="277"/>
      <c r="AP204" s="277"/>
      <c r="AQ204" s="276"/>
      <c r="AR204" s="263"/>
      <c r="AS204" s="277"/>
      <c r="AT204" s="293"/>
      <c r="AU204" s="293"/>
      <c r="AV204" s="293"/>
      <c r="AW204" s="293"/>
      <c r="AX204" s="293"/>
      <c r="AY204" s="293"/>
      <c r="AZ204" s="293"/>
      <c r="BA204" s="293"/>
      <c r="BB204" s="293"/>
      <c r="BC204" s="293"/>
      <c r="BD204" s="293"/>
      <c r="BE204" s="293"/>
      <c r="BF204" s="293"/>
      <c r="BG204" s="293"/>
      <c r="BH204" s="293"/>
      <c r="BI204" s="293"/>
      <c r="BJ204" s="293"/>
      <c r="BK204" s="293"/>
      <c r="BL204" s="293"/>
      <c r="BM204" s="293"/>
      <c r="BN204" s="293"/>
      <c r="BO204" s="293"/>
      <c r="BP204" s="293"/>
      <c r="BQ204" s="293"/>
      <c r="BR204" s="293"/>
      <c r="BS204" s="293"/>
      <c r="BT204" s="293"/>
      <c r="BU204" s="293"/>
      <c r="BV204" s="293"/>
      <c r="BW204" s="293"/>
      <c r="BX204" s="293"/>
      <c r="BY204" s="293"/>
      <c r="BZ204" s="293"/>
    </row>
    <row r="205" spans="1:78" s="295" customFormat="1" ht="24" customHeight="1" x14ac:dyDescent="0.2">
      <c r="A205" s="458"/>
      <c r="B205" s="451"/>
      <c r="C205" s="452"/>
      <c r="D205" s="453"/>
      <c r="E205" s="454"/>
      <c r="F205" s="454"/>
      <c r="G205" s="446"/>
      <c r="H205" s="456"/>
      <c r="I205" s="446"/>
      <c r="J205" s="446"/>
      <c r="K205" s="457"/>
      <c r="L205" s="447"/>
      <c r="M205" s="445"/>
      <c r="N205" s="455"/>
      <c r="O205" s="285">
        <f ca="1">IF(NOT(ISERROR(MATCH(N205,_xlfn.ANCHORARRAY(H26),0))),M28&amp;"Por favor no seleccionar los criterios de impacto",N205)</f>
        <v>0</v>
      </c>
      <c r="P205" s="447"/>
      <c r="Q205" s="445"/>
      <c r="R205" s="459"/>
      <c r="S205" s="248">
        <v>3</v>
      </c>
      <c r="T205" s="330"/>
      <c r="U205" s="245"/>
      <c r="V205" s="322" t="str">
        <f>IF(OR(W205="Preventivo",W205="Detectivo"),"Probabilidad",IF(W205="Correctivo","Impacto",""))</f>
        <v/>
      </c>
      <c r="W205" s="323"/>
      <c r="X205" s="323"/>
      <c r="Y205" s="324" t="str">
        <f>IF(AND(W205="Preventivo",X205="Automático"),"50%",IF(AND(W205="Preventivo",X205="Manual"),"40%",IF(AND(W205="Detectivo",X205="Automático"),"40%",IF(AND(W205="Detectivo",X205="Manual"),"30%",IF(AND(W205="Correctivo",X205="Automático"),"35%",IF(AND(W205="Correctivo",X205="Manual"),"25%",""))))))</f>
        <v/>
      </c>
      <c r="Z205" s="323"/>
      <c r="AA205" s="323"/>
      <c r="AB205" s="323"/>
      <c r="AC205" s="325" t="str">
        <f t="shared" ref="AC205:AC208" si="381">IFERROR(IF(AND(V204="Probabilidad",V205="Probabilidad"),(AE204-(+AE204*Y205)),IF(AND(V204="Impacto",V205="Probabilidad"),(AE203-(+AE203*Y205)),IF(V205="Impacto",AE204,""))),"")</f>
        <v/>
      </c>
      <c r="AD205" s="326" t="str">
        <f t="shared" si="378"/>
        <v/>
      </c>
      <c r="AE205" s="324" t="str">
        <f t="shared" ref="AE205:AE208" si="382">+AC205</f>
        <v/>
      </c>
      <c r="AF205" s="326" t="str">
        <f t="shared" si="379"/>
        <v/>
      </c>
      <c r="AG205" s="324" t="str">
        <f t="shared" ref="AG205:AG208" si="383">IFERROR(IF(AND(V204="Impacto",V205="Impacto"),(AG204-(+AG204*Y205)),IF(V205="Impacto",($Q$203-(+$Q$203*Y205)),IF(V205="Probabilidad",AG204,""))),"")</f>
        <v/>
      </c>
      <c r="AH205" s="328" t="str">
        <f t="shared" si="380"/>
        <v/>
      </c>
      <c r="AI205" s="323"/>
      <c r="AJ205" s="249"/>
      <c r="AK205" s="249"/>
      <c r="AL205" s="249"/>
      <c r="AM205" s="249"/>
      <c r="AN205" s="278"/>
      <c r="AO205" s="277"/>
      <c r="AP205" s="277"/>
      <c r="AQ205" s="276"/>
      <c r="AR205" s="263"/>
      <c r="AS205" s="277"/>
      <c r="AT205" s="293"/>
      <c r="AU205" s="293"/>
      <c r="AV205" s="293"/>
      <c r="AW205" s="293"/>
      <c r="AX205" s="293"/>
      <c r="AY205" s="293"/>
      <c r="AZ205" s="293"/>
      <c r="BA205" s="293"/>
      <c r="BB205" s="293"/>
      <c r="BC205" s="293"/>
      <c r="BD205" s="293"/>
      <c r="BE205" s="293"/>
      <c r="BF205" s="293"/>
      <c r="BG205" s="293"/>
      <c r="BH205" s="293"/>
      <c r="BI205" s="293"/>
      <c r="BJ205" s="293"/>
      <c r="BK205" s="293"/>
      <c r="BL205" s="293"/>
      <c r="BM205" s="293"/>
      <c r="BN205" s="293"/>
      <c r="BO205" s="293"/>
      <c r="BP205" s="293"/>
      <c r="BQ205" s="293"/>
      <c r="BR205" s="293"/>
      <c r="BS205" s="293"/>
      <c r="BT205" s="293"/>
      <c r="BU205" s="293"/>
      <c r="BV205" s="293"/>
      <c r="BW205" s="293"/>
      <c r="BX205" s="293"/>
      <c r="BY205" s="293"/>
      <c r="BZ205" s="293"/>
    </row>
    <row r="206" spans="1:78" s="295" customFormat="1" ht="24" customHeight="1" x14ac:dyDescent="0.2">
      <c r="A206" s="458"/>
      <c r="B206" s="451"/>
      <c r="C206" s="452"/>
      <c r="D206" s="453"/>
      <c r="E206" s="454"/>
      <c r="F206" s="454"/>
      <c r="G206" s="446"/>
      <c r="H206" s="456"/>
      <c r="I206" s="446"/>
      <c r="J206" s="446"/>
      <c r="K206" s="457"/>
      <c r="L206" s="447"/>
      <c r="M206" s="445"/>
      <c r="N206" s="455"/>
      <c r="O206" s="285">
        <f ca="1">IF(NOT(ISERROR(MATCH(N206,_xlfn.ANCHORARRAY(H27),0))),M29&amp;"Por favor no seleccionar los criterios de impacto",N206)</f>
        <v>0</v>
      </c>
      <c r="P206" s="447"/>
      <c r="Q206" s="445"/>
      <c r="R206" s="459"/>
      <c r="S206" s="248">
        <v>4</v>
      </c>
      <c r="T206" s="330"/>
      <c r="U206" s="245"/>
      <c r="V206" s="322" t="str">
        <f t="shared" ref="V206:V208" si="384">IF(OR(W206="Preventivo",W206="Detectivo"),"Probabilidad",IF(W206="Correctivo","Impacto",""))</f>
        <v/>
      </c>
      <c r="W206" s="323"/>
      <c r="X206" s="323"/>
      <c r="Y206" s="324" t="str">
        <f t="shared" ref="Y206:Y208" si="385">IF(AND(W206="Preventivo",X206="Automático"),"50%",IF(AND(W206="Preventivo",X206="Manual"),"40%",IF(AND(W206="Detectivo",X206="Automático"),"40%",IF(AND(W206="Detectivo",X206="Manual"),"30%",IF(AND(W206="Correctivo",X206="Automático"),"35%",IF(AND(W206="Correctivo",X206="Manual"),"25%",""))))))</f>
        <v/>
      </c>
      <c r="Z206" s="323"/>
      <c r="AA206" s="323"/>
      <c r="AB206" s="323"/>
      <c r="AC206" s="325" t="str">
        <f t="shared" si="381"/>
        <v/>
      </c>
      <c r="AD206" s="326" t="str">
        <f t="shared" si="378"/>
        <v/>
      </c>
      <c r="AE206" s="324" t="str">
        <f t="shared" si="382"/>
        <v/>
      </c>
      <c r="AF206" s="326" t="str">
        <f t="shared" si="379"/>
        <v/>
      </c>
      <c r="AG206" s="324" t="str">
        <f t="shared" si="383"/>
        <v/>
      </c>
      <c r="AH206" s="328" t="str">
        <f>IFERROR(IF(OR(AND(AD206="Muy Baja",AF206="Leve"),AND(AD206="Muy Baja",AF206="Menor"),AND(AD206="Baja",AF206="Leve")),"Bajo",IF(OR(AND(AD206="Muy baja",AF206="Moderado"),AND(AD206="Baja",AF206="Menor"),AND(AD206="Baja",AF206="Moderado"),AND(AD206="Media",AF206="Leve"),AND(AD206="Media",AF206="Menor"),AND(AD206="Media",AF206="Moderado"),AND(AD206="Alta",AF206="Leve"),AND(AD206="Alta",AF206="Menor")),"Moderado",IF(OR(AND(AD206="Muy Baja",AF206="Mayor"),AND(AD206="Baja",AF206="Mayor"),AND(AD206="Media",AF206="Mayor"),AND(AD206="Alta",AF206="Moderado"),AND(AD206="Alta",AF206="Mayor"),AND(AD206="Muy Alta",AF206="Leve"),AND(AD206="Muy Alta",AF206="Menor"),AND(AD206="Muy Alta",AF206="Moderado"),AND(AD206="Muy Alta",AF206="Mayor")),"Alto",IF(OR(AND(AD206="Muy Baja",AF206="Catastrófico"),AND(AD206="Baja",AF206="Catastrófico"),AND(AD206="Media",AF206="Catastrófico"),AND(AD206="Alta",AF206="Catastrófico"),AND(AD206="Muy Alta",AF206="Catastrófico")),"Extremo","")))),"")</f>
        <v/>
      </c>
      <c r="AI206" s="323"/>
      <c r="AJ206" s="249"/>
      <c r="AK206" s="249"/>
      <c r="AL206" s="249"/>
      <c r="AM206" s="249"/>
      <c r="AN206" s="278"/>
      <c r="AO206" s="209"/>
      <c r="AP206" s="209"/>
      <c r="AQ206" s="244"/>
      <c r="AR206" s="263"/>
      <c r="AS206" s="209"/>
      <c r="AT206" s="293"/>
      <c r="AU206" s="293"/>
      <c r="AV206" s="293"/>
      <c r="AW206" s="293"/>
      <c r="AX206" s="293"/>
      <c r="AY206" s="293"/>
      <c r="AZ206" s="293"/>
      <c r="BA206" s="293"/>
      <c r="BB206" s="293"/>
      <c r="BC206" s="293"/>
      <c r="BD206" s="293"/>
      <c r="BE206" s="293"/>
      <c r="BF206" s="293"/>
      <c r="BG206" s="293"/>
      <c r="BH206" s="293"/>
      <c r="BI206" s="293"/>
      <c r="BJ206" s="293"/>
      <c r="BK206" s="293"/>
      <c r="BL206" s="293"/>
      <c r="BM206" s="293"/>
      <c r="BN206" s="293"/>
      <c r="BO206" s="293"/>
      <c r="BP206" s="293"/>
      <c r="BQ206" s="293"/>
      <c r="BR206" s="293"/>
      <c r="BS206" s="293"/>
      <c r="BT206" s="293"/>
      <c r="BU206" s="293"/>
      <c r="BV206" s="293"/>
      <c r="BW206" s="293"/>
      <c r="BX206" s="293"/>
      <c r="BY206" s="293"/>
      <c r="BZ206" s="293"/>
    </row>
    <row r="207" spans="1:78" s="295" customFormat="1" ht="24" customHeight="1" x14ac:dyDescent="0.2">
      <c r="A207" s="458"/>
      <c r="B207" s="451"/>
      <c r="C207" s="452"/>
      <c r="D207" s="453"/>
      <c r="E207" s="454"/>
      <c r="F207" s="454"/>
      <c r="G207" s="446"/>
      <c r="H207" s="456"/>
      <c r="I207" s="446"/>
      <c r="J207" s="446"/>
      <c r="K207" s="457"/>
      <c r="L207" s="447"/>
      <c r="M207" s="445"/>
      <c r="N207" s="455"/>
      <c r="O207" s="285">
        <f ca="1">IF(NOT(ISERROR(MATCH(N207,_xlfn.ANCHORARRAY(H28),0))),M30&amp;"Por favor no seleccionar los criterios de impacto",N207)</f>
        <v>0</v>
      </c>
      <c r="P207" s="447"/>
      <c r="Q207" s="445"/>
      <c r="R207" s="459"/>
      <c r="S207" s="248">
        <v>5</v>
      </c>
      <c r="T207" s="330"/>
      <c r="U207" s="245"/>
      <c r="V207" s="322" t="str">
        <f t="shared" si="384"/>
        <v/>
      </c>
      <c r="W207" s="323"/>
      <c r="X207" s="323"/>
      <c r="Y207" s="324" t="str">
        <f t="shared" si="385"/>
        <v/>
      </c>
      <c r="Z207" s="323"/>
      <c r="AA207" s="323"/>
      <c r="AB207" s="323"/>
      <c r="AC207" s="325" t="str">
        <f t="shared" si="381"/>
        <v/>
      </c>
      <c r="AD207" s="326" t="str">
        <f t="shared" si="378"/>
        <v/>
      </c>
      <c r="AE207" s="324" t="str">
        <f t="shared" si="382"/>
        <v/>
      </c>
      <c r="AF207" s="326" t="str">
        <f t="shared" si="379"/>
        <v/>
      </c>
      <c r="AG207" s="324" t="str">
        <f t="shared" si="383"/>
        <v/>
      </c>
      <c r="AH207" s="328" t="str">
        <f t="shared" ref="AH207:AH208" si="386">IFERROR(IF(OR(AND(AD207="Muy Baja",AF207="Leve"),AND(AD207="Muy Baja",AF207="Menor"),AND(AD207="Baja",AF207="Leve")),"Bajo",IF(OR(AND(AD207="Muy baja",AF207="Moderado"),AND(AD207="Baja",AF207="Menor"),AND(AD207="Baja",AF207="Moderado"),AND(AD207="Media",AF207="Leve"),AND(AD207="Media",AF207="Menor"),AND(AD207="Media",AF207="Moderado"),AND(AD207="Alta",AF207="Leve"),AND(AD207="Alta",AF207="Menor")),"Moderado",IF(OR(AND(AD207="Muy Baja",AF207="Mayor"),AND(AD207="Baja",AF207="Mayor"),AND(AD207="Media",AF207="Mayor"),AND(AD207="Alta",AF207="Moderado"),AND(AD207="Alta",AF207="Mayor"),AND(AD207="Muy Alta",AF207="Leve"),AND(AD207="Muy Alta",AF207="Menor"),AND(AD207="Muy Alta",AF207="Moderado"),AND(AD207="Muy Alta",AF207="Mayor")),"Alto",IF(OR(AND(AD207="Muy Baja",AF207="Catastrófico"),AND(AD207="Baja",AF207="Catastrófico"),AND(AD207="Media",AF207="Catastrófico"),AND(AD207="Alta",AF207="Catastrófico"),AND(AD207="Muy Alta",AF207="Catastrófico")),"Extremo","")))),"")</f>
        <v/>
      </c>
      <c r="AI207" s="323"/>
      <c r="AJ207" s="249"/>
      <c r="AK207" s="249"/>
      <c r="AL207" s="249"/>
      <c r="AM207" s="249"/>
      <c r="AN207" s="278"/>
      <c r="AO207" s="276"/>
      <c r="AP207" s="276"/>
      <c r="AQ207" s="278"/>
      <c r="AR207" s="211"/>
      <c r="AS207" s="211"/>
      <c r="AT207" s="293"/>
      <c r="AU207" s="293"/>
      <c r="AV207" s="293"/>
      <c r="AW207" s="293"/>
      <c r="AX207" s="293"/>
      <c r="AY207" s="293"/>
      <c r="AZ207" s="293"/>
      <c r="BA207" s="293"/>
      <c r="BB207" s="293"/>
      <c r="BC207" s="293"/>
      <c r="BD207" s="293"/>
      <c r="BE207" s="293"/>
      <c r="BF207" s="293"/>
      <c r="BG207" s="293"/>
      <c r="BH207" s="293"/>
      <c r="BI207" s="293"/>
      <c r="BJ207" s="293"/>
      <c r="BK207" s="293"/>
      <c r="BL207" s="293"/>
      <c r="BM207" s="293"/>
      <c r="BN207" s="293"/>
      <c r="BO207" s="293"/>
      <c r="BP207" s="293"/>
      <c r="BQ207" s="293"/>
      <c r="BR207" s="293"/>
      <c r="BS207" s="293"/>
      <c r="BT207" s="293"/>
      <c r="BU207" s="293"/>
      <c r="BV207" s="293"/>
      <c r="BW207" s="293"/>
      <c r="BX207" s="293"/>
      <c r="BY207" s="293"/>
      <c r="BZ207" s="293"/>
    </row>
    <row r="208" spans="1:78" s="295" customFormat="1" ht="24" customHeight="1" x14ac:dyDescent="0.2">
      <c r="A208" s="458"/>
      <c r="B208" s="451"/>
      <c r="C208" s="452"/>
      <c r="D208" s="453"/>
      <c r="E208" s="454"/>
      <c r="F208" s="454"/>
      <c r="G208" s="446"/>
      <c r="H208" s="456"/>
      <c r="I208" s="446"/>
      <c r="J208" s="446"/>
      <c r="K208" s="457"/>
      <c r="L208" s="447"/>
      <c r="M208" s="445"/>
      <c r="N208" s="455"/>
      <c r="O208" s="285">
        <f ca="1">IF(NOT(ISERROR(MATCH(N208,_xlfn.ANCHORARRAY(H29),0))),M37&amp;"Por favor no seleccionar los criterios de impacto",N208)</f>
        <v>0</v>
      </c>
      <c r="P208" s="447"/>
      <c r="Q208" s="445"/>
      <c r="R208" s="459"/>
      <c r="S208" s="248">
        <v>6</v>
      </c>
      <c r="T208" s="330"/>
      <c r="U208" s="245"/>
      <c r="V208" s="322" t="str">
        <f t="shared" si="384"/>
        <v/>
      </c>
      <c r="W208" s="323"/>
      <c r="X208" s="323"/>
      <c r="Y208" s="324" t="str">
        <f t="shared" si="385"/>
        <v/>
      </c>
      <c r="Z208" s="323"/>
      <c r="AA208" s="323"/>
      <c r="AB208" s="323"/>
      <c r="AC208" s="325" t="str">
        <f t="shared" si="381"/>
        <v/>
      </c>
      <c r="AD208" s="326" t="str">
        <f t="shared" si="378"/>
        <v/>
      </c>
      <c r="AE208" s="324" t="str">
        <f t="shared" si="382"/>
        <v/>
      </c>
      <c r="AF208" s="326" t="str">
        <f t="shared" si="379"/>
        <v/>
      </c>
      <c r="AG208" s="324" t="str">
        <f t="shared" si="383"/>
        <v/>
      </c>
      <c r="AH208" s="328" t="str">
        <f t="shared" si="386"/>
        <v/>
      </c>
      <c r="AI208" s="323"/>
      <c r="AJ208" s="249"/>
      <c r="AK208" s="249"/>
      <c r="AL208" s="249"/>
      <c r="AM208" s="249"/>
      <c r="AN208" s="278"/>
      <c r="AO208" s="276"/>
      <c r="AP208" s="276"/>
      <c r="AQ208" s="278"/>
      <c r="AR208" s="211"/>
      <c r="AS208" s="211"/>
      <c r="AT208" s="293"/>
      <c r="AU208" s="293"/>
      <c r="AV208" s="293"/>
      <c r="AW208" s="293"/>
      <c r="AX208" s="293"/>
      <c r="AY208" s="293"/>
      <c r="AZ208" s="293"/>
      <c r="BA208" s="293"/>
      <c r="BB208" s="293"/>
      <c r="BC208" s="293"/>
      <c r="BD208" s="293"/>
      <c r="BE208" s="293"/>
      <c r="BF208" s="293"/>
      <c r="BG208" s="293"/>
      <c r="BH208" s="293"/>
      <c r="BI208" s="293"/>
      <c r="BJ208" s="293"/>
      <c r="BK208" s="293"/>
      <c r="BL208" s="293"/>
      <c r="BM208" s="293"/>
      <c r="BN208" s="293"/>
      <c r="BO208" s="293"/>
      <c r="BP208" s="293"/>
      <c r="BQ208" s="293"/>
      <c r="BR208" s="293"/>
      <c r="BS208" s="293"/>
      <c r="BT208" s="293"/>
      <c r="BU208" s="293"/>
      <c r="BV208" s="293"/>
      <c r="BW208" s="293"/>
      <c r="BX208" s="293"/>
      <c r="BY208" s="293"/>
      <c r="BZ208" s="293"/>
    </row>
    <row r="209" spans="1:78" s="294" customFormat="1" ht="116.25" customHeight="1" x14ac:dyDescent="0.2">
      <c r="A209" s="458" t="s">
        <v>1015</v>
      </c>
      <c r="B209" s="451" t="s">
        <v>830</v>
      </c>
      <c r="C209" s="452" t="s">
        <v>610</v>
      </c>
      <c r="D209" s="453" t="s">
        <v>619</v>
      </c>
      <c r="E209" s="454" t="s">
        <v>107</v>
      </c>
      <c r="F209" s="454" t="s">
        <v>937</v>
      </c>
      <c r="G209" s="446" t="s">
        <v>938</v>
      </c>
      <c r="H209" s="456" t="s">
        <v>939</v>
      </c>
      <c r="I209" s="446" t="s">
        <v>654</v>
      </c>
      <c r="J209" s="446" t="s">
        <v>1052</v>
      </c>
      <c r="K209" s="457">
        <v>4</v>
      </c>
      <c r="L209" s="447" t="str">
        <f t="shared" ref="L209" si="387">IF(K209&lt;=0,"",IF(K209&lt;=2,"Muy Baja",IF(K209&lt;=24,"Baja",IF(K209&lt;=500,"Media",IF(K209&lt;=5000,"Alta","Muy Alta")))))</f>
        <v>Baja</v>
      </c>
      <c r="M209" s="445">
        <f>IF(L209="","",IF(L209="Muy Baja",0.2,IF(L209="Baja",0.4,IF(L209="Media",0.6,IF(L209="Alta",0.8,IF(L209="Muy Alta",1,))))))</f>
        <v>0.4</v>
      </c>
      <c r="N209" s="455" t="s">
        <v>1022</v>
      </c>
      <c r="O209" s="285" t="str">
        <f ca="1">IF(NOT(ISERROR(MATCH(N209,'Tabla Impacto'!$B$221:$B$223,0))),'Tabla Impacto'!$F$223&amp;"Por favor no seleccionar los criterios de impacto(Afectación Económica o presupuestal y Pérdida Reputacional)",N209)</f>
        <v xml:space="preserve">     El riesgo afecta la imagen de la entidad internamente, de conocimiento general, nivel interno, de junta directiva y accionistas y/o de proveedores</v>
      </c>
      <c r="P209" s="447" t="s">
        <v>1100</v>
      </c>
      <c r="Q209" s="445">
        <f>IF(P209="","",IF(P209="Leve",0.2,IF(P209="Menor",0.4,IF(P209="Moderado",0.6,IF(P209="Mayor",0.8,IF(P209="Catastrófico",1,))))))</f>
        <v>0.4</v>
      </c>
      <c r="R209" s="459" t="str">
        <f>IF(OR(AND(L209="Muy Baja",P209="Leve"),AND(L209="Muy Baja",P209="Menor"),AND(L209="Baja",P209="Leve")),"Bajo",IF(OR(AND(L209="Muy baja",P209="Moderado"),AND(L209="Baja",P209="Menor"),AND(L209="Baja",P209="Moderado"),AND(L209="Media",P209="Leve"),AND(L209="Media",P209="Menor"),AND(L209="Media",P209="Moderado"),AND(L209="Alta",P209="Leve"),AND(L209="Alta",P209="Menor")),"Moderado",IF(OR(AND(L209="Muy Baja",P209="Mayor"),AND(L209="Baja",P209="Mayor"),AND(L209="Media",P209="Mayor"),AND(L209="Alta",P209="Moderado"),AND(L209="Alta",P209="Mayor"),AND(L209="Muy Alta",P209="Leve"),AND(L209="Muy Alta",P209="Menor"),AND(L209="Muy Alta",P209="Moderado"),AND(L209="Muy Alta",P209="Mayor")),"Alto",IF(OR(AND(L209="Muy Baja",P209="Catastrófico"),AND(L209="Baja",P209="Catastrófico"),AND(L209="Media",P209="Catastrófico"),AND(L209="Alta",P209="Catastrófico"),AND(L209="Muy Alta",P209="Catastrófico")),"Extremo",""))))</f>
        <v>Moderado</v>
      </c>
      <c r="S209" s="248">
        <v>1</v>
      </c>
      <c r="T209" s="321" t="s">
        <v>1053</v>
      </c>
      <c r="U209" s="245" t="s">
        <v>293</v>
      </c>
      <c r="V209" s="322" t="str">
        <f>IF(OR(W209="Preventivo",W209="Detectivo"),"Probabilidad",IF(W209="Correctivo","Impacto",""))</f>
        <v>Probabilidad</v>
      </c>
      <c r="W209" s="323" t="s">
        <v>13</v>
      </c>
      <c r="X209" s="323" t="s">
        <v>8</v>
      </c>
      <c r="Y209" s="324" t="str">
        <f>IF(AND(W209="Preventivo",X209="Automático"),"50%",IF(AND(W209="Preventivo",X209="Manual"),"40%",IF(AND(W209="Detectivo",X209="Automático"),"40%",IF(AND(W209="Detectivo",X209="Manual"),"30%",IF(AND(W209="Correctivo",X209="Automático"),"35%",IF(AND(W209="Correctivo",X209="Manual"),"25%",""))))))</f>
        <v>40%</v>
      </c>
      <c r="Z209" s="323" t="s">
        <v>19</v>
      </c>
      <c r="AA209" s="323" t="s">
        <v>21</v>
      </c>
      <c r="AB209" s="323" t="s">
        <v>103</v>
      </c>
      <c r="AC209" s="325">
        <f t="shared" ref="AC209" si="388">IFERROR(IF(V209="Probabilidad",(M209-(+M209*Y209)),IF(V209="Impacto",M209,"")),"")</f>
        <v>0.24</v>
      </c>
      <c r="AD209" s="326" t="str">
        <f>IFERROR(IF(AC209="","",IF(AC209&lt;=0.2,"Muy Baja",IF(AC209&lt;=0.4,"Baja",IF(AC209&lt;=0.6,"Media",IF(AC209&lt;=0.8,"Alta","Muy Alta"))))),"")</f>
        <v>Baja</v>
      </c>
      <c r="AE209" s="324">
        <f>+AC209</f>
        <v>0.24</v>
      </c>
      <c r="AF209" s="326" t="str">
        <f>IFERROR(IF(AG209="","",IF(AG209&lt;=0.2,"Leve",IF(AG209&lt;=0.4,"Menor",IF(AG209&lt;=0.6,"Moderado",IF(AG209&lt;=0.8,"Mayor","Catastrófico"))))),"")</f>
        <v>Menor</v>
      </c>
      <c r="AG209" s="324">
        <f>IFERROR(IF(V209="Impacto",(Q209-(+Q209*Y209)),IF(V209="Probabilidad",Q209,"")),"")</f>
        <v>0.4</v>
      </c>
      <c r="AH209" s="328" t="str">
        <f>IFERROR(IF(OR(AND(AD209="Muy Baja",AF209="Leve"),AND(AD209="Muy Baja",AF209="Menor"),AND(AD209="Baja",AF209="Leve")),"Bajo",IF(OR(AND(AD209="Muy baja",AF209="Moderado"),AND(AD209="Baja",AF209="Menor"),AND(AD209="Baja",AF209="Moderado"),AND(AD209="Media",AF209="Leve"),AND(AD209="Media",AF209="Menor"),AND(AD209="Media",AF209="Moderado"),AND(AD209="Alta",AF209="Leve"),AND(AD209="Alta",AF209="Menor")),"Moderado",IF(OR(AND(AD209="Muy Baja",AF209="Mayor"),AND(AD209="Baja",AF209="Mayor"),AND(AD209="Media",AF209="Mayor"),AND(AD209="Alta",AF209="Moderado"),AND(AD209="Alta",AF209="Mayor"),AND(AD209="Muy Alta",AF209="Leve"),AND(AD209="Muy Alta",AF209="Menor"),AND(AD209="Muy Alta",AF209="Moderado"),AND(AD209="Muy Alta",AF209="Mayor")),"Alto",IF(OR(AND(AD209="Muy Baja",AF209="Catastrófico"),AND(AD209="Baja",AF209="Catastrófico"),AND(AD209="Media",AF209="Catastrófico"),AND(AD209="Alta",AF209="Catastrófico"),AND(AD209="Muy Alta",AF209="Catastrófico")),"Extremo","")))),"")</f>
        <v>Moderado</v>
      </c>
      <c r="AI209" s="323" t="s">
        <v>26</v>
      </c>
      <c r="AJ209" s="249">
        <v>4</v>
      </c>
      <c r="AK209" s="249">
        <v>1</v>
      </c>
      <c r="AL209" s="249">
        <v>1</v>
      </c>
      <c r="AM209" s="249">
        <v>2</v>
      </c>
      <c r="AN209" s="240"/>
      <c r="AO209" s="259"/>
      <c r="AP209" s="259"/>
      <c r="AQ209" s="239"/>
      <c r="AR209" s="264"/>
      <c r="AS209" s="265"/>
      <c r="AT209" s="293"/>
      <c r="AU209" s="293"/>
      <c r="AV209" s="293"/>
      <c r="AW209" s="293"/>
      <c r="AX209" s="293"/>
      <c r="AY209" s="293"/>
      <c r="AZ209" s="293"/>
      <c r="BA209" s="293"/>
      <c r="BB209" s="293"/>
      <c r="BC209" s="293"/>
      <c r="BD209" s="293"/>
      <c r="BE209" s="293"/>
      <c r="BF209" s="293"/>
      <c r="BG209" s="293"/>
      <c r="BH209" s="293"/>
      <c r="BI209" s="293"/>
      <c r="BJ209" s="293"/>
      <c r="BK209" s="293"/>
      <c r="BL209" s="293"/>
      <c r="BM209" s="293"/>
      <c r="BN209" s="293"/>
      <c r="BO209" s="293"/>
      <c r="BP209" s="293"/>
      <c r="BQ209" s="293"/>
      <c r="BR209" s="293"/>
      <c r="BS209" s="293"/>
      <c r="BT209" s="293"/>
      <c r="BU209" s="293"/>
      <c r="BV209" s="293"/>
      <c r="BW209" s="293"/>
      <c r="BX209" s="293"/>
      <c r="BY209" s="293"/>
      <c r="BZ209" s="293"/>
    </row>
    <row r="210" spans="1:78" s="295" customFormat="1" ht="27.75" customHeight="1" x14ac:dyDescent="0.2">
      <c r="A210" s="458"/>
      <c r="B210" s="451"/>
      <c r="C210" s="452"/>
      <c r="D210" s="453"/>
      <c r="E210" s="454"/>
      <c r="F210" s="454"/>
      <c r="G210" s="446"/>
      <c r="H210" s="456"/>
      <c r="I210" s="446"/>
      <c r="J210" s="446"/>
      <c r="K210" s="457"/>
      <c r="L210" s="447"/>
      <c r="M210" s="445"/>
      <c r="N210" s="455"/>
      <c r="O210" s="285">
        <f ca="1">IF(NOT(ISERROR(MATCH(N210,_xlfn.ANCHORARRAY(H37),0))),M39&amp;"Por favor no seleccionar los criterios de impacto",N210)</f>
        <v>0</v>
      </c>
      <c r="P210" s="447"/>
      <c r="Q210" s="445"/>
      <c r="R210" s="459"/>
      <c r="S210" s="248">
        <v>2</v>
      </c>
      <c r="T210" s="330"/>
      <c r="U210" s="245"/>
      <c r="V210" s="322" t="str">
        <f>IF(OR(W210="Preventivo",W210="Detectivo"),"Probabilidad",IF(W210="Correctivo","Impacto",""))</f>
        <v/>
      </c>
      <c r="W210" s="323"/>
      <c r="X210" s="323"/>
      <c r="Y210" s="324" t="str">
        <f>IF(AND(W210="Preventivo",X210="Automático"),"50%",IF(AND(W210="Preventivo",X210="Manual"),"40%",IF(AND(W210="Detectivo",X210="Automático"),"40%",IF(AND(W210="Detectivo",X210="Manual"),"30%",IF(AND(W210="Correctivo",X210="Automático"),"35%",IF(AND(W210="Correctivo",X210="Manual"),"25%",""))))))</f>
        <v/>
      </c>
      <c r="Z210" s="323"/>
      <c r="AA210" s="323"/>
      <c r="AB210" s="323"/>
      <c r="AC210" s="325" t="str">
        <f t="shared" ref="AC210" si="389">IFERROR(IF(AND(V209="Probabilidad",V210="Probabilidad"),(AE209-(+AE209*Y210)),IF(V210="Probabilidad",(M209-(+M209*Y210)),IF(V210="Impacto",AE209,""))),"")</f>
        <v/>
      </c>
      <c r="AD210" s="326" t="str">
        <f t="shared" ref="AD210:AD214" si="390">IFERROR(IF(AC210="","",IF(AC210&lt;=0.2,"Muy Baja",IF(AC210&lt;=0.4,"Baja",IF(AC210&lt;=0.6,"Media",IF(AC210&lt;=0.8,"Alta","Muy Alta"))))),"")</f>
        <v/>
      </c>
      <c r="AE210" s="324" t="str">
        <f>+AC210</f>
        <v/>
      </c>
      <c r="AF210" s="326" t="str">
        <f t="shared" ref="AF210:AF214" si="391">IFERROR(IF(AG210="","",IF(AG210&lt;=0.2,"Leve",IF(AG210&lt;=0.4,"Menor",IF(AG210&lt;=0.6,"Moderado",IF(AG210&lt;=0.8,"Mayor","Catastrófico"))))),"")</f>
        <v/>
      </c>
      <c r="AG210" s="324" t="str">
        <f>IFERROR(IF(AND(V209="Impacto",V210="Impacto"),(AG209-(+AG209*Y210)),IF(V210="Impacto",($Q$209-(+$Q$209*Y210)),IF(V210="Probabilidad",AG209,""))),"")</f>
        <v/>
      </c>
      <c r="AH210" s="328" t="str">
        <f t="shared" ref="AH210:AH211" si="392">IFERROR(IF(OR(AND(AD210="Muy Baja",AF210="Leve"),AND(AD210="Muy Baja",AF210="Menor"),AND(AD210="Baja",AF210="Leve")),"Bajo",IF(OR(AND(AD210="Muy baja",AF210="Moderado"),AND(AD210="Baja",AF210="Menor"),AND(AD210="Baja",AF210="Moderado"),AND(AD210="Media",AF210="Leve"),AND(AD210="Media",AF210="Menor"),AND(AD210="Media",AF210="Moderado"),AND(AD210="Alta",AF210="Leve"),AND(AD210="Alta",AF210="Menor")),"Moderado",IF(OR(AND(AD210="Muy Baja",AF210="Mayor"),AND(AD210="Baja",AF210="Mayor"),AND(AD210="Media",AF210="Mayor"),AND(AD210="Alta",AF210="Moderado"),AND(AD210="Alta",AF210="Mayor"),AND(AD210="Muy Alta",AF210="Leve"),AND(AD210="Muy Alta",AF210="Menor"),AND(AD210="Muy Alta",AF210="Moderado"),AND(AD210="Muy Alta",AF210="Mayor")),"Alto",IF(OR(AND(AD210="Muy Baja",AF210="Catastrófico"),AND(AD210="Baja",AF210="Catastrófico"),AND(AD210="Media",AF210="Catastrófico"),AND(AD210="Alta",AF210="Catastrófico"),AND(AD210="Muy Alta",AF210="Catastrófico")),"Extremo","")))),"")</f>
        <v/>
      </c>
      <c r="AI210" s="323"/>
      <c r="AJ210" s="249"/>
      <c r="AK210" s="249"/>
      <c r="AL210" s="249"/>
      <c r="AM210" s="249"/>
      <c r="AN210" s="278"/>
      <c r="AO210" s="277"/>
      <c r="AP210" s="277"/>
      <c r="AQ210" s="276"/>
      <c r="AR210" s="263"/>
      <c r="AS210" s="277"/>
      <c r="AT210" s="293"/>
      <c r="AU210" s="293"/>
      <c r="AV210" s="293"/>
      <c r="AW210" s="293"/>
      <c r="AX210" s="293"/>
      <c r="AY210" s="293"/>
      <c r="AZ210" s="293"/>
      <c r="BA210" s="293"/>
      <c r="BB210" s="293"/>
      <c r="BC210" s="293"/>
      <c r="BD210" s="293"/>
      <c r="BE210" s="293"/>
      <c r="BF210" s="293"/>
      <c r="BG210" s="293"/>
      <c r="BH210" s="293"/>
      <c r="BI210" s="293"/>
      <c r="BJ210" s="293"/>
      <c r="BK210" s="293"/>
      <c r="BL210" s="293"/>
      <c r="BM210" s="293"/>
      <c r="BN210" s="293"/>
      <c r="BO210" s="293"/>
      <c r="BP210" s="293"/>
      <c r="BQ210" s="293"/>
      <c r="BR210" s="293"/>
      <c r="BS210" s="293"/>
      <c r="BT210" s="293"/>
      <c r="BU210" s="293"/>
      <c r="BV210" s="293"/>
      <c r="BW210" s="293"/>
      <c r="BX210" s="293"/>
      <c r="BY210" s="293"/>
      <c r="BZ210" s="293"/>
    </row>
    <row r="211" spans="1:78" s="295" customFormat="1" ht="27.75" customHeight="1" x14ac:dyDescent="0.2">
      <c r="A211" s="458"/>
      <c r="B211" s="451"/>
      <c r="C211" s="452"/>
      <c r="D211" s="453"/>
      <c r="E211" s="454"/>
      <c r="F211" s="454"/>
      <c r="G211" s="446"/>
      <c r="H211" s="456"/>
      <c r="I211" s="446"/>
      <c r="J211" s="446"/>
      <c r="K211" s="457"/>
      <c r="L211" s="447"/>
      <c r="M211" s="445"/>
      <c r="N211" s="455"/>
      <c r="O211" s="285">
        <f ca="1">IF(NOT(ISERROR(MATCH(N211,_xlfn.ANCHORARRAY(H38),0))),M40&amp;"Por favor no seleccionar los criterios de impacto",N211)</f>
        <v>0</v>
      </c>
      <c r="P211" s="447"/>
      <c r="Q211" s="445"/>
      <c r="R211" s="459"/>
      <c r="S211" s="248">
        <v>3</v>
      </c>
      <c r="T211" s="330"/>
      <c r="U211" s="245"/>
      <c r="V211" s="322" t="str">
        <f>IF(OR(W211="Preventivo",W211="Detectivo"),"Probabilidad",IF(W211="Correctivo","Impacto",""))</f>
        <v/>
      </c>
      <c r="W211" s="323"/>
      <c r="X211" s="323"/>
      <c r="Y211" s="324" t="str">
        <f>IF(AND(W211="Preventivo",X211="Automático"),"50%",IF(AND(W211="Preventivo",X211="Manual"),"40%",IF(AND(W211="Detectivo",X211="Automático"),"40%",IF(AND(W211="Detectivo",X211="Manual"),"30%",IF(AND(W211="Correctivo",X211="Automático"),"35%",IF(AND(W211="Correctivo",X211="Manual"),"25%",""))))))</f>
        <v/>
      </c>
      <c r="Z211" s="323"/>
      <c r="AA211" s="323"/>
      <c r="AB211" s="323"/>
      <c r="AC211" s="325" t="str">
        <f t="shared" ref="AC211:AC214" si="393">IFERROR(IF(AND(V210="Probabilidad",V211="Probabilidad"),(AE210-(+AE210*Y211)),IF(AND(V210="Impacto",V211="Probabilidad"),(AE209-(+AE209*Y211)),IF(V211="Impacto",AE210,""))),"")</f>
        <v/>
      </c>
      <c r="AD211" s="326" t="str">
        <f t="shared" si="390"/>
        <v/>
      </c>
      <c r="AE211" s="324" t="str">
        <f t="shared" ref="AE211:AE214" si="394">+AC211</f>
        <v/>
      </c>
      <c r="AF211" s="326" t="str">
        <f t="shared" si="391"/>
        <v/>
      </c>
      <c r="AG211" s="324" t="str">
        <f t="shared" ref="AG211:AG214" si="395">IFERROR(IF(AND(V210="Impacto",V211="Impacto"),(AG210-(+AG210*Y211)),IF(V211="Impacto",($Q$209-(+$Q$209*Y211)),IF(V211="Probabilidad",AG210,""))),"")</f>
        <v/>
      </c>
      <c r="AH211" s="328" t="str">
        <f t="shared" si="392"/>
        <v/>
      </c>
      <c r="AI211" s="323"/>
      <c r="AJ211" s="249"/>
      <c r="AK211" s="249"/>
      <c r="AL211" s="249"/>
      <c r="AM211" s="249"/>
      <c r="AN211" s="278"/>
      <c r="AO211" s="277"/>
      <c r="AP211" s="277"/>
      <c r="AQ211" s="276"/>
      <c r="AR211" s="263"/>
      <c r="AS211" s="277"/>
      <c r="AT211" s="293"/>
      <c r="AU211" s="293"/>
      <c r="AV211" s="293"/>
      <c r="AW211" s="293"/>
      <c r="AX211" s="293"/>
      <c r="AY211" s="293"/>
      <c r="AZ211" s="293"/>
      <c r="BA211" s="293"/>
      <c r="BB211" s="293"/>
      <c r="BC211" s="293"/>
      <c r="BD211" s="293"/>
      <c r="BE211" s="293"/>
      <c r="BF211" s="293"/>
      <c r="BG211" s="293"/>
      <c r="BH211" s="293"/>
      <c r="BI211" s="293"/>
      <c r="BJ211" s="293"/>
      <c r="BK211" s="293"/>
      <c r="BL211" s="293"/>
      <c r="BM211" s="293"/>
      <c r="BN211" s="293"/>
      <c r="BO211" s="293"/>
      <c r="BP211" s="293"/>
      <c r="BQ211" s="293"/>
      <c r="BR211" s="293"/>
      <c r="BS211" s="293"/>
      <c r="BT211" s="293"/>
      <c r="BU211" s="293"/>
      <c r="BV211" s="293"/>
      <c r="BW211" s="293"/>
      <c r="BX211" s="293"/>
      <c r="BY211" s="293"/>
      <c r="BZ211" s="293"/>
    </row>
    <row r="212" spans="1:78" s="295" customFormat="1" ht="27.75" customHeight="1" x14ac:dyDescent="0.2">
      <c r="A212" s="458"/>
      <c r="B212" s="451"/>
      <c r="C212" s="452"/>
      <c r="D212" s="453"/>
      <c r="E212" s="454"/>
      <c r="F212" s="454"/>
      <c r="G212" s="446"/>
      <c r="H212" s="456"/>
      <c r="I212" s="446"/>
      <c r="J212" s="446"/>
      <c r="K212" s="457"/>
      <c r="L212" s="447"/>
      <c r="M212" s="445"/>
      <c r="N212" s="455"/>
      <c r="O212" s="285">
        <f ca="1">IF(NOT(ISERROR(MATCH(N212,_xlfn.ANCHORARRAY(H39),0))),M41&amp;"Por favor no seleccionar los criterios de impacto",N212)</f>
        <v>0</v>
      </c>
      <c r="P212" s="447"/>
      <c r="Q212" s="445"/>
      <c r="R212" s="459"/>
      <c r="S212" s="248">
        <v>4</v>
      </c>
      <c r="T212" s="330"/>
      <c r="U212" s="245"/>
      <c r="V212" s="322" t="str">
        <f t="shared" ref="V212:V214" si="396">IF(OR(W212="Preventivo",W212="Detectivo"),"Probabilidad",IF(W212="Correctivo","Impacto",""))</f>
        <v/>
      </c>
      <c r="W212" s="323"/>
      <c r="X212" s="323"/>
      <c r="Y212" s="324" t="str">
        <f t="shared" ref="Y212:Y214" si="397">IF(AND(W212="Preventivo",X212="Automático"),"50%",IF(AND(W212="Preventivo",X212="Manual"),"40%",IF(AND(W212="Detectivo",X212="Automático"),"40%",IF(AND(W212="Detectivo",X212="Manual"),"30%",IF(AND(W212="Correctivo",X212="Automático"),"35%",IF(AND(W212="Correctivo",X212="Manual"),"25%",""))))))</f>
        <v/>
      </c>
      <c r="Z212" s="323"/>
      <c r="AA212" s="323"/>
      <c r="AB212" s="323"/>
      <c r="AC212" s="325" t="str">
        <f t="shared" si="393"/>
        <v/>
      </c>
      <c r="AD212" s="326" t="str">
        <f t="shared" si="390"/>
        <v/>
      </c>
      <c r="AE212" s="324" t="str">
        <f t="shared" si="394"/>
        <v/>
      </c>
      <c r="AF212" s="326" t="str">
        <f t="shared" si="391"/>
        <v/>
      </c>
      <c r="AG212" s="324" t="str">
        <f t="shared" si="395"/>
        <v/>
      </c>
      <c r="AH212" s="328" t="str">
        <f>IFERROR(IF(OR(AND(AD212="Muy Baja",AF212="Leve"),AND(AD212="Muy Baja",AF212="Menor"),AND(AD212="Baja",AF212="Leve")),"Bajo",IF(OR(AND(AD212="Muy baja",AF212="Moderado"),AND(AD212="Baja",AF212="Menor"),AND(AD212="Baja",AF212="Moderado"),AND(AD212="Media",AF212="Leve"),AND(AD212="Media",AF212="Menor"),AND(AD212="Media",AF212="Moderado"),AND(AD212="Alta",AF212="Leve"),AND(AD212="Alta",AF212="Menor")),"Moderado",IF(OR(AND(AD212="Muy Baja",AF212="Mayor"),AND(AD212="Baja",AF212="Mayor"),AND(AD212="Media",AF212="Mayor"),AND(AD212="Alta",AF212="Moderado"),AND(AD212="Alta",AF212="Mayor"),AND(AD212="Muy Alta",AF212="Leve"),AND(AD212="Muy Alta",AF212="Menor"),AND(AD212="Muy Alta",AF212="Moderado"),AND(AD212="Muy Alta",AF212="Mayor")),"Alto",IF(OR(AND(AD212="Muy Baja",AF212="Catastrófico"),AND(AD212="Baja",AF212="Catastrófico"),AND(AD212="Media",AF212="Catastrófico"),AND(AD212="Alta",AF212="Catastrófico"),AND(AD212="Muy Alta",AF212="Catastrófico")),"Extremo","")))),"")</f>
        <v/>
      </c>
      <c r="AI212" s="323"/>
      <c r="AJ212" s="249"/>
      <c r="AK212" s="249"/>
      <c r="AL212" s="249"/>
      <c r="AM212" s="249"/>
      <c r="AN212" s="278"/>
      <c r="AO212" s="209"/>
      <c r="AP212" s="209"/>
      <c r="AQ212" s="244"/>
      <c r="AR212" s="263"/>
      <c r="AS212" s="209"/>
      <c r="AT212" s="293"/>
      <c r="AU212" s="293"/>
      <c r="AV212" s="293"/>
      <c r="AW212" s="293"/>
      <c r="AX212" s="293"/>
      <c r="AY212" s="293"/>
      <c r="AZ212" s="293"/>
      <c r="BA212" s="293"/>
      <c r="BB212" s="293"/>
      <c r="BC212" s="293"/>
      <c r="BD212" s="293"/>
      <c r="BE212" s="293"/>
      <c r="BF212" s="293"/>
      <c r="BG212" s="293"/>
      <c r="BH212" s="293"/>
      <c r="BI212" s="293"/>
      <c r="BJ212" s="293"/>
      <c r="BK212" s="293"/>
      <c r="BL212" s="293"/>
      <c r="BM212" s="293"/>
      <c r="BN212" s="293"/>
      <c r="BO212" s="293"/>
      <c r="BP212" s="293"/>
      <c r="BQ212" s="293"/>
      <c r="BR212" s="293"/>
      <c r="BS212" s="293"/>
      <c r="BT212" s="293"/>
      <c r="BU212" s="293"/>
      <c r="BV212" s="293"/>
      <c r="BW212" s="293"/>
      <c r="BX212" s="293"/>
      <c r="BY212" s="293"/>
      <c r="BZ212" s="293"/>
    </row>
    <row r="213" spans="1:78" s="295" customFormat="1" ht="27.75" customHeight="1" x14ac:dyDescent="0.2">
      <c r="A213" s="458"/>
      <c r="B213" s="451"/>
      <c r="C213" s="452"/>
      <c r="D213" s="453"/>
      <c r="E213" s="454"/>
      <c r="F213" s="454"/>
      <c r="G213" s="446"/>
      <c r="H213" s="456"/>
      <c r="I213" s="446"/>
      <c r="J213" s="446"/>
      <c r="K213" s="457"/>
      <c r="L213" s="447"/>
      <c r="M213" s="445"/>
      <c r="N213" s="455"/>
      <c r="O213" s="285">
        <f ca="1">IF(NOT(ISERROR(MATCH(N213,_xlfn.ANCHORARRAY(H40),0))),M42&amp;"Por favor no seleccionar los criterios de impacto",N213)</f>
        <v>0</v>
      </c>
      <c r="P213" s="447"/>
      <c r="Q213" s="445"/>
      <c r="R213" s="459"/>
      <c r="S213" s="248">
        <v>5</v>
      </c>
      <c r="T213" s="330"/>
      <c r="U213" s="245"/>
      <c r="V213" s="322" t="str">
        <f t="shared" si="396"/>
        <v/>
      </c>
      <c r="W213" s="323"/>
      <c r="X213" s="323"/>
      <c r="Y213" s="324" t="str">
        <f t="shared" si="397"/>
        <v/>
      </c>
      <c r="Z213" s="323"/>
      <c r="AA213" s="323"/>
      <c r="AB213" s="323"/>
      <c r="AC213" s="325" t="str">
        <f t="shared" si="393"/>
        <v/>
      </c>
      <c r="AD213" s="326" t="str">
        <f t="shared" si="390"/>
        <v/>
      </c>
      <c r="AE213" s="324" t="str">
        <f t="shared" si="394"/>
        <v/>
      </c>
      <c r="AF213" s="326" t="str">
        <f t="shared" si="391"/>
        <v/>
      </c>
      <c r="AG213" s="324" t="str">
        <f t="shared" si="395"/>
        <v/>
      </c>
      <c r="AH213" s="328" t="str">
        <f t="shared" ref="AH213:AH214" si="398">IFERROR(IF(OR(AND(AD213="Muy Baja",AF213="Leve"),AND(AD213="Muy Baja",AF213="Menor"),AND(AD213="Baja",AF213="Leve")),"Bajo",IF(OR(AND(AD213="Muy baja",AF213="Moderado"),AND(AD213="Baja",AF213="Menor"),AND(AD213="Baja",AF213="Moderado"),AND(AD213="Media",AF213="Leve"),AND(AD213="Media",AF213="Menor"),AND(AD213="Media",AF213="Moderado"),AND(AD213="Alta",AF213="Leve"),AND(AD213="Alta",AF213="Menor")),"Moderado",IF(OR(AND(AD213="Muy Baja",AF213="Mayor"),AND(AD213="Baja",AF213="Mayor"),AND(AD213="Media",AF213="Mayor"),AND(AD213="Alta",AF213="Moderado"),AND(AD213="Alta",AF213="Mayor"),AND(AD213="Muy Alta",AF213="Leve"),AND(AD213="Muy Alta",AF213="Menor"),AND(AD213="Muy Alta",AF213="Moderado"),AND(AD213="Muy Alta",AF213="Mayor")),"Alto",IF(OR(AND(AD213="Muy Baja",AF213="Catastrófico"),AND(AD213="Baja",AF213="Catastrófico"),AND(AD213="Media",AF213="Catastrófico"),AND(AD213="Alta",AF213="Catastrófico"),AND(AD213="Muy Alta",AF213="Catastrófico")),"Extremo","")))),"")</f>
        <v/>
      </c>
      <c r="AI213" s="323"/>
      <c r="AJ213" s="249"/>
      <c r="AK213" s="249"/>
      <c r="AL213" s="249"/>
      <c r="AM213" s="249"/>
      <c r="AN213" s="278"/>
      <c r="AO213" s="276"/>
      <c r="AP213" s="276"/>
      <c r="AQ213" s="278"/>
      <c r="AR213" s="211"/>
      <c r="AS213" s="211"/>
      <c r="AT213" s="293"/>
      <c r="AU213" s="293"/>
      <c r="AV213" s="293"/>
      <c r="AW213" s="293"/>
      <c r="AX213" s="293"/>
      <c r="AY213" s="293"/>
      <c r="AZ213" s="293"/>
      <c r="BA213" s="293"/>
      <c r="BB213" s="293"/>
      <c r="BC213" s="293"/>
      <c r="BD213" s="293"/>
      <c r="BE213" s="293"/>
      <c r="BF213" s="293"/>
      <c r="BG213" s="293"/>
      <c r="BH213" s="293"/>
      <c r="BI213" s="293"/>
      <c r="BJ213" s="293"/>
      <c r="BK213" s="293"/>
      <c r="BL213" s="293"/>
      <c r="BM213" s="293"/>
      <c r="BN213" s="293"/>
      <c r="BO213" s="293"/>
      <c r="BP213" s="293"/>
      <c r="BQ213" s="293"/>
      <c r="BR213" s="293"/>
      <c r="BS213" s="293"/>
      <c r="BT213" s="293"/>
      <c r="BU213" s="293"/>
      <c r="BV213" s="293"/>
      <c r="BW213" s="293"/>
      <c r="BX213" s="293"/>
      <c r="BY213" s="293"/>
      <c r="BZ213" s="293"/>
    </row>
    <row r="214" spans="1:78" s="295" customFormat="1" ht="27.75" customHeight="1" x14ac:dyDescent="0.2">
      <c r="A214" s="458"/>
      <c r="B214" s="451"/>
      <c r="C214" s="452"/>
      <c r="D214" s="453"/>
      <c r="E214" s="454"/>
      <c r="F214" s="454"/>
      <c r="G214" s="446"/>
      <c r="H214" s="456"/>
      <c r="I214" s="446"/>
      <c r="J214" s="446"/>
      <c r="K214" s="457"/>
      <c r="L214" s="447"/>
      <c r="M214" s="445"/>
      <c r="N214" s="455"/>
      <c r="O214" s="285">
        <f ca="1">IF(NOT(ISERROR(MATCH(N214,_xlfn.ANCHORARRAY(H41),0))),#REF!&amp;"Por favor no seleccionar los criterios de impacto",N214)</f>
        <v>0</v>
      </c>
      <c r="P214" s="447"/>
      <c r="Q214" s="445"/>
      <c r="R214" s="459"/>
      <c r="S214" s="248">
        <v>6</v>
      </c>
      <c r="T214" s="330"/>
      <c r="U214" s="245"/>
      <c r="V214" s="322" t="str">
        <f t="shared" si="396"/>
        <v/>
      </c>
      <c r="W214" s="323"/>
      <c r="X214" s="323"/>
      <c r="Y214" s="324" t="str">
        <f t="shared" si="397"/>
        <v/>
      </c>
      <c r="Z214" s="323"/>
      <c r="AA214" s="323"/>
      <c r="AB214" s="323"/>
      <c r="AC214" s="325" t="str">
        <f t="shared" si="393"/>
        <v/>
      </c>
      <c r="AD214" s="326" t="str">
        <f t="shared" si="390"/>
        <v/>
      </c>
      <c r="AE214" s="324" t="str">
        <f t="shared" si="394"/>
        <v/>
      </c>
      <c r="AF214" s="326" t="str">
        <f t="shared" si="391"/>
        <v/>
      </c>
      <c r="AG214" s="324" t="str">
        <f t="shared" si="395"/>
        <v/>
      </c>
      <c r="AH214" s="328" t="str">
        <f t="shared" si="398"/>
        <v/>
      </c>
      <c r="AI214" s="323"/>
      <c r="AJ214" s="249"/>
      <c r="AK214" s="249"/>
      <c r="AL214" s="249"/>
      <c r="AM214" s="249"/>
      <c r="AN214" s="278"/>
      <c r="AO214" s="276"/>
      <c r="AP214" s="276"/>
      <c r="AQ214" s="278"/>
      <c r="AR214" s="211"/>
      <c r="AS214" s="211"/>
      <c r="AT214" s="293"/>
      <c r="AU214" s="293"/>
      <c r="AV214" s="293"/>
      <c r="AW214" s="293"/>
      <c r="AX214" s="293"/>
      <c r="AY214" s="293"/>
      <c r="AZ214" s="293"/>
      <c r="BA214" s="293"/>
      <c r="BB214" s="293"/>
      <c r="BC214" s="293"/>
      <c r="BD214" s="293"/>
      <c r="BE214" s="293"/>
      <c r="BF214" s="293"/>
      <c r="BG214" s="293"/>
      <c r="BH214" s="293"/>
      <c r="BI214" s="293"/>
      <c r="BJ214" s="293"/>
      <c r="BK214" s="293"/>
      <c r="BL214" s="293"/>
      <c r="BM214" s="293"/>
      <c r="BN214" s="293"/>
      <c r="BO214" s="293"/>
      <c r="BP214" s="293"/>
      <c r="BQ214" s="293"/>
      <c r="BR214" s="293"/>
      <c r="BS214" s="293"/>
      <c r="BT214" s="293"/>
      <c r="BU214" s="293"/>
      <c r="BV214" s="293"/>
      <c r="BW214" s="293"/>
      <c r="BX214" s="293"/>
      <c r="BY214" s="293"/>
      <c r="BZ214" s="293"/>
    </row>
    <row r="215" spans="1:78" s="300" customFormat="1" ht="138.75" customHeight="1" x14ac:dyDescent="0.2">
      <c r="A215" s="458" t="s">
        <v>677</v>
      </c>
      <c r="B215" s="451" t="s">
        <v>830</v>
      </c>
      <c r="C215" s="452" t="s">
        <v>610</v>
      </c>
      <c r="D215" s="453" t="s">
        <v>624</v>
      </c>
      <c r="E215" s="454" t="s">
        <v>109</v>
      </c>
      <c r="F215" s="454" t="s">
        <v>1006</v>
      </c>
      <c r="G215" s="446" t="s">
        <v>675</v>
      </c>
      <c r="H215" s="456" t="s">
        <v>996</v>
      </c>
      <c r="I215" s="446" t="s">
        <v>660</v>
      </c>
      <c r="J215" s="446" t="s">
        <v>774</v>
      </c>
      <c r="K215" s="457">
        <v>50</v>
      </c>
      <c r="L215" s="447" t="str">
        <f t="shared" ref="L215" si="399">IF(K215&lt;=0,"",IF(K215&lt;=2,"Muy Baja",IF(K215&lt;=24,"Baja",IF(K215&lt;=500,"Media",IF(K215&lt;=5000,"Alta","Muy Alta")))))</f>
        <v>Media</v>
      </c>
      <c r="M215" s="445">
        <f>IF(L215="","",IF(L215="Muy Baja",0.2,IF(L215="Baja",0.4,IF(L215="Media",0.6,IF(L215="Alta",0.8,IF(L215="Muy Alta",1,))))))</f>
        <v>0.6</v>
      </c>
      <c r="N215" s="455" t="s">
        <v>115</v>
      </c>
      <c r="O215" s="285" t="str">
        <f ca="1">IF(NOT(ISERROR(MATCH(N215,'Tabla Impacto'!$B$221:$B$223,0))),'Tabla Impacto'!$F$223&amp;"Por favor no seleccionar los criterios de impacto(Afectación Económica o presupuestal y Pérdida Reputacional)",N215)</f>
        <v xml:space="preserve">     Entre 50 y 100 SMLMV </v>
      </c>
      <c r="P215" s="447" t="str">
        <f ca="1">IF(OR(O215='Tabla Impacto'!$C$11,O215='Tabla Impacto'!$D$11),"Leve",IF(OR(O215='Tabla Impacto'!$C$12,O215='Tabla Impacto'!$D$12),"Menor",IF(OR(O215='Tabla Impacto'!$C$13,O215='Tabla Impacto'!$D$13),"Moderado",IF(OR(O215='Tabla Impacto'!$C$14,O215='Tabla Impacto'!$D$14),"Mayor",IF(OR(O215='Tabla Impacto'!$C$15,O215='Tabla Impacto'!$D$15),"Catastrófico","")))))</f>
        <v>Moderado</v>
      </c>
      <c r="Q215" s="445">
        <f ca="1">IF(P215="","",IF(P215="Leve",0.2,IF(P215="Menor",0.4,IF(P215="Moderado",0.6,IF(P215="Mayor",0.8,IF(P215="Catastrófico",1,))))))</f>
        <v>0.6</v>
      </c>
      <c r="R215" s="459" t="str">
        <f ca="1">IF(OR(AND(L215="Muy Baja",P215="Leve"),AND(L215="Muy Baja",P215="Menor"),AND(L215="Baja",P215="Leve")),"Bajo",IF(OR(AND(L215="Muy baja",P215="Moderado"),AND(L215="Baja",P215="Menor"),AND(L215="Baja",P215="Moderado"),AND(L215="Media",P215="Leve"),AND(L215="Media",P215="Menor"),AND(L215="Media",P215="Moderado"),AND(L215="Alta",P215="Leve"),AND(L215="Alta",P215="Menor")),"Moderado",IF(OR(AND(L215="Muy Baja",P215="Mayor"),AND(L215="Baja",P215="Mayor"),AND(L215="Media",P215="Mayor"),AND(L215="Alta",P215="Moderado"),AND(L215="Alta",P215="Mayor"),AND(L215="Muy Alta",P215="Leve"),AND(L215="Muy Alta",P215="Menor"),AND(L215="Muy Alta",P215="Moderado"),AND(L215="Muy Alta",P215="Mayor")),"Alto",IF(OR(AND(L215="Muy Baja",P215="Catastrófico"),AND(L215="Baja",P215="Catastrófico"),AND(L215="Media",P215="Catastrófico"),AND(L215="Alta",P215="Catastrófico"),AND(L215="Muy Alta",P215="Catastrófico")),"Extremo",""))))</f>
        <v>Moderado</v>
      </c>
      <c r="S215" s="248">
        <v>1</v>
      </c>
      <c r="T215" s="351" t="s">
        <v>997</v>
      </c>
      <c r="U215" s="350" t="s">
        <v>292</v>
      </c>
      <c r="V215" s="322" t="str">
        <f>IF(OR(W215="Preventivo",W215="Detectivo"),"Probabilidad",IF(W215="Correctivo","Impacto",""))</f>
        <v>Probabilidad</v>
      </c>
      <c r="W215" s="323" t="s">
        <v>13</v>
      </c>
      <c r="X215" s="323" t="s">
        <v>8</v>
      </c>
      <c r="Y215" s="324" t="str">
        <f>IF(AND(W215="Preventivo",X215="Automático"),"50%",IF(AND(W215="Preventivo",X215="Manual"),"40%",IF(AND(W215="Detectivo",X215="Automático"),"40%",IF(AND(W215="Detectivo",X215="Manual"),"30%",IF(AND(W215="Correctivo",X215="Automático"),"35%",IF(AND(W215="Correctivo",X215="Manual"),"25%",""))))))</f>
        <v>40%</v>
      </c>
      <c r="Z215" s="323" t="s">
        <v>19</v>
      </c>
      <c r="AA215" s="323" t="s">
        <v>21</v>
      </c>
      <c r="AB215" s="323" t="s">
        <v>103</v>
      </c>
      <c r="AC215" s="325">
        <f t="shared" ref="AC215" si="400">IFERROR(IF(V215="Probabilidad",(M215-(+M215*Y215)),IF(V215="Impacto",M215,"")),"")</f>
        <v>0.36</v>
      </c>
      <c r="AD215" s="326" t="str">
        <f>IFERROR(IF(AC215="","",IF(AC215&lt;=0.2,"Muy Baja",IF(AC215&lt;=0.4,"Baja",IF(AC215&lt;=0.6,"Media",IF(AC215&lt;=0.8,"Alta","Muy Alta"))))),"")</f>
        <v>Baja</v>
      </c>
      <c r="AE215" s="324">
        <f>+AC215</f>
        <v>0.36</v>
      </c>
      <c r="AF215" s="326" t="str">
        <f ca="1">IFERROR(IF(AG215="","",IF(AG215&lt;=0.2,"Leve",IF(AG215&lt;=0.4,"Menor",IF(AG215&lt;=0.6,"Moderado",IF(AG215&lt;=0.8,"Mayor","Catastrófico"))))),"")</f>
        <v>Moderado</v>
      </c>
      <c r="AG215" s="324">
        <f ca="1">IFERROR(IF(V215="Impacto",(Q215-(+Q215*Y215)),IF(V215="Probabilidad",Q215,"")),"")</f>
        <v>0.6</v>
      </c>
      <c r="AH215" s="328" t="str">
        <f ca="1">IFERROR(IF(OR(AND(AD215="Muy Baja",AF215="Leve"),AND(AD215="Muy Baja",AF215="Menor"),AND(AD215="Baja",AF215="Leve")),"Bajo",IF(OR(AND(AD215="Muy baja",AF215="Moderado"),AND(AD215="Baja",AF215="Menor"),AND(AD215="Baja",AF215="Moderado"),AND(AD215="Media",AF215="Leve"),AND(AD215="Media",AF215="Menor"),AND(AD215="Media",AF215="Moderado"),AND(AD215="Alta",AF215="Leve"),AND(AD215="Alta",AF215="Menor")),"Moderado",IF(OR(AND(AD215="Muy Baja",AF215="Mayor"),AND(AD215="Baja",AF215="Mayor"),AND(AD215="Media",AF215="Mayor"),AND(AD215="Alta",AF215="Moderado"),AND(AD215="Alta",AF215="Mayor"),AND(AD215="Muy Alta",AF215="Leve"),AND(AD215="Muy Alta",AF215="Menor"),AND(AD215="Muy Alta",AF215="Moderado"),AND(AD215="Muy Alta",AF215="Mayor")),"Alto",IF(OR(AND(AD215="Muy Baja",AF215="Catastrófico"),AND(AD215="Baja",AF215="Catastrófico"),AND(AD215="Media",AF215="Catastrófico"),AND(AD215="Alta",AF215="Catastrófico"),AND(AD215="Muy Alta",AF215="Catastrófico")),"Extremo","")))),"")</f>
        <v>Moderado</v>
      </c>
      <c r="AI215" s="323" t="s">
        <v>26</v>
      </c>
      <c r="AJ215" s="249">
        <v>1</v>
      </c>
      <c r="AK215" s="249">
        <v>0</v>
      </c>
      <c r="AL215" s="249">
        <v>1</v>
      </c>
      <c r="AM215" s="249">
        <v>0</v>
      </c>
      <c r="AN215" s="240"/>
      <c r="AO215" s="296"/>
      <c r="AP215" s="296"/>
      <c r="AQ215" s="289"/>
      <c r="AR215" s="297"/>
      <c r="AS215" s="298"/>
      <c r="AT215" s="299"/>
      <c r="AU215" s="299"/>
      <c r="AV215" s="299"/>
      <c r="AW215" s="299"/>
      <c r="AX215" s="299"/>
      <c r="AY215" s="299"/>
      <c r="AZ215" s="299"/>
      <c r="BA215" s="299"/>
      <c r="BB215" s="299"/>
      <c r="BC215" s="299"/>
      <c r="BD215" s="299"/>
      <c r="BE215" s="299"/>
      <c r="BF215" s="299"/>
      <c r="BG215" s="299"/>
      <c r="BH215" s="299"/>
      <c r="BI215" s="299"/>
      <c r="BJ215" s="299"/>
      <c r="BK215" s="299"/>
      <c r="BL215" s="299"/>
      <c r="BM215" s="299"/>
      <c r="BN215" s="299"/>
      <c r="BO215" s="299"/>
      <c r="BP215" s="299"/>
      <c r="BQ215" s="299"/>
      <c r="BR215" s="299"/>
      <c r="BS215" s="299"/>
      <c r="BT215" s="299"/>
      <c r="BU215" s="299"/>
      <c r="BV215" s="299"/>
      <c r="BW215" s="299"/>
      <c r="BX215" s="299"/>
      <c r="BY215" s="299"/>
      <c r="BZ215" s="299"/>
    </row>
    <row r="216" spans="1:78" s="302" customFormat="1" ht="27.75" customHeight="1" x14ac:dyDescent="0.2">
      <c r="A216" s="458"/>
      <c r="B216" s="451"/>
      <c r="C216" s="452"/>
      <c r="D216" s="453"/>
      <c r="E216" s="454"/>
      <c r="F216" s="454"/>
      <c r="G216" s="446"/>
      <c r="H216" s="456"/>
      <c r="I216" s="446"/>
      <c r="J216" s="446"/>
      <c r="K216" s="457"/>
      <c r="L216" s="447"/>
      <c r="M216" s="445"/>
      <c r="N216" s="455"/>
      <c r="O216" s="285">
        <f ca="1">IF(NOT(ISERROR(MATCH(N216,_xlfn.ANCHORARRAY(H37),0))),M39&amp;"Por favor no seleccionar los criterios de impacto",N216)</f>
        <v>0</v>
      </c>
      <c r="P216" s="447"/>
      <c r="Q216" s="445"/>
      <c r="R216" s="459"/>
      <c r="S216" s="248">
        <v>2</v>
      </c>
      <c r="T216" s="330"/>
      <c r="U216" s="245"/>
      <c r="V216" s="322" t="str">
        <f>IF(OR(W216="Preventivo",W216="Detectivo"),"Probabilidad",IF(W216="Correctivo","Impacto",""))</f>
        <v/>
      </c>
      <c r="W216" s="323"/>
      <c r="X216" s="323"/>
      <c r="Y216" s="324" t="str">
        <f>IF(AND(W216="Preventivo",X216="Automático"),"50%",IF(AND(W216="Preventivo",X216="Manual"),"40%",IF(AND(W216="Detectivo",X216="Automático"),"40%",IF(AND(W216="Detectivo",X216="Manual"),"30%",IF(AND(W216="Correctivo",X216="Automático"),"35%",IF(AND(W216="Correctivo",X216="Manual"),"25%",""))))))</f>
        <v/>
      </c>
      <c r="Z216" s="323"/>
      <c r="AA216" s="323"/>
      <c r="AB216" s="323"/>
      <c r="AC216" s="325" t="str">
        <f t="shared" ref="AC216" si="401">IFERROR(IF(AND(V215="Probabilidad",V216="Probabilidad"),(AE215-(+AE215*Y216)),IF(V216="Probabilidad",(M215-(+M215*Y216)),IF(V216="Impacto",AE215,""))),"")</f>
        <v/>
      </c>
      <c r="AD216" s="326" t="str">
        <f t="shared" ref="AD216:AD220" si="402">IFERROR(IF(AC216="","",IF(AC216&lt;=0.2,"Muy Baja",IF(AC216&lt;=0.4,"Baja",IF(AC216&lt;=0.6,"Media",IF(AC216&lt;=0.8,"Alta","Muy Alta"))))),"")</f>
        <v/>
      </c>
      <c r="AE216" s="324" t="str">
        <f>+AC216</f>
        <v/>
      </c>
      <c r="AF216" s="326" t="str">
        <f t="shared" ref="AF216:AF220" si="403">IFERROR(IF(AG216="","",IF(AG216&lt;=0.2,"Leve",IF(AG216&lt;=0.4,"Menor",IF(AG216&lt;=0.6,"Moderado",IF(AG216&lt;=0.8,"Mayor","Catastrófico"))))),"")</f>
        <v/>
      </c>
      <c r="AG216" s="324" t="str">
        <f>IFERROR(IF(AND(V215="Impacto",V216="Impacto"),(AG215-(+AG215*Y216)),IF(V216="Impacto",($Q$209-(+$Q$209*Y216)),IF(V216="Probabilidad",AG215,""))),"")</f>
        <v/>
      </c>
      <c r="AH216" s="328" t="str">
        <f t="shared" ref="AH216:AH217" si="404">IFERROR(IF(OR(AND(AD216="Muy Baja",AF216="Leve"),AND(AD216="Muy Baja",AF216="Menor"),AND(AD216="Baja",AF216="Leve")),"Bajo",IF(OR(AND(AD216="Muy baja",AF216="Moderado"),AND(AD216="Baja",AF216="Menor"),AND(AD216="Baja",AF216="Moderado"),AND(AD216="Media",AF216="Leve"),AND(AD216="Media",AF216="Menor"),AND(AD216="Media",AF216="Moderado"),AND(AD216="Alta",AF216="Leve"),AND(AD216="Alta",AF216="Menor")),"Moderado",IF(OR(AND(AD216="Muy Baja",AF216="Mayor"),AND(AD216="Baja",AF216="Mayor"),AND(AD216="Media",AF216="Mayor"),AND(AD216="Alta",AF216="Moderado"),AND(AD216="Alta",AF216="Mayor"),AND(AD216="Muy Alta",AF216="Leve"),AND(AD216="Muy Alta",AF216="Menor"),AND(AD216="Muy Alta",AF216="Moderado"),AND(AD216="Muy Alta",AF216="Mayor")),"Alto",IF(OR(AND(AD216="Muy Baja",AF216="Catastrófico"),AND(AD216="Baja",AF216="Catastrófico"),AND(AD216="Media",AF216="Catastrófico"),AND(AD216="Alta",AF216="Catastrófico"),AND(AD216="Muy Alta",AF216="Catastrófico")),"Extremo","")))),"")</f>
        <v/>
      </c>
      <c r="AI216" s="323"/>
      <c r="AJ216" s="249"/>
      <c r="AK216" s="249"/>
      <c r="AL216" s="249"/>
      <c r="AM216" s="249"/>
      <c r="AN216" s="278"/>
      <c r="AO216" s="279"/>
      <c r="AP216" s="279"/>
      <c r="AQ216" s="280"/>
      <c r="AR216" s="301"/>
      <c r="AS216" s="279"/>
      <c r="AT216" s="299"/>
      <c r="AU216" s="299"/>
      <c r="AV216" s="299"/>
      <c r="AW216" s="299"/>
      <c r="AX216" s="299"/>
      <c r="AY216" s="299"/>
      <c r="AZ216" s="299"/>
      <c r="BA216" s="299"/>
      <c r="BB216" s="299"/>
      <c r="BC216" s="299"/>
      <c r="BD216" s="299"/>
      <c r="BE216" s="299"/>
      <c r="BF216" s="299"/>
      <c r="BG216" s="299"/>
      <c r="BH216" s="299"/>
      <c r="BI216" s="299"/>
      <c r="BJ216" s="299"/>
      <c r="BK216" s="299"/>
      <c r="BL216" s="299"/>
      <c r="BM216" s="299"/>
      <c r="BN216" s="299"/>
      <c r="BO216" s="299"/>
      <c r="BP216" s="299"/>
      <c r="BQ216" s="299"/>
      <c r="BR216" s="299"/>
      <c r="BS216" s="299"/>
      <c r="BT216" s="299"/>
      <c r="BU216" s="299"/>
      <c r="BV216" s="299"/>
      <c r="BW216" s="299"/>
      <c r="BX216" s="299"/>
      <c r="BY216" s="299"/>
      <c r="BZ216" s="299"/>
    </row>
    <row r="217" spans="1:78" s="302" customFormat="1" ht="27.75" customHeight="1" x14ac:dyDescent="0.2">
      <c r="A217" s="458"/>
      <c r="B217" s="451"/>
      <c r="C217" s="452"/>
      <c r="D217" s="453"/>
      <c r="E217" s="454"/>
      <c r="F217" s="454"/>
      <c r="G217" s="446"/>
      <c r="H217" s="456"/>
      <c r="I217" s="446"/>
      <c r="J217" s="446"/>
      <c r="K217" s="457"/>
      <c r="L217" s="447"/>
      <c r="M217" s="445"/>
      <c r="N217" s="455"/>
      <c r="O217" s="285">
        <f ca="1">IF(NOT(ISERROR(MATCH(N217,_xlfn.ANCHORARRAY(H38),0))),M40&amp;"Por favor no seleccionar los criterios de impacto",N217)</f>
        <v>0</v>
      </c>
      <c r="P217" s="447"/>
      <c r="Q217" s="445"/>
      <c r="R217" s="459"/>
      <c r="S217" s="248">
        <v>3</v>
      </c>
      <c r="T217" s="330"/>
      <c r="U217" s="245"/>
      <c r="V217" s="322" t="str">
        <f>IF(OR(W217="Preventivo",W217="Detectivo"),"Probabilidad",IF(W217="Correctivo","Impacto",""))</f>
        <v/>
      </c>
      <c r="W217" s="323"/>
      <c r="X217" s="323"/>
      <c r="Y217" s="324" t="str">
        <f>IF(AND(W217="Preventivo",X217="Automático"),"50%",IF(AND(W217="Preventivo",X217="Manual"),"40%",IF(AND(W217="Detectivo",X217="Automático"),"40%",IF(AND(W217="Detectivo",X217="Manual"),"30%",IF(AND(W217="Correctivo",X217="Automático"),"35%",IF(AND(W217="Correctivo",X217="Manual"),"25%",""))))))</f>
        <v/>
      </c>
      <c r="Z217" s="323"/>
      <c r="AA217" s="323"/>
      <c r="AB217" s="323"/>
      <c r="AC217" s="325" t="str">
        <f t="shared" ref="AC217:AC220" si="405">IFERROR(IF(AND(V216="Probabilidad",V217="Probabilidad"),(AE216-(+AE216*Y217)),IF(AND(V216="Impacto",V217="Probabilidad"),(AE215-(+AE215*Y217)),IF(V217="Impacto",AE216,""))),"")</f>
        <v/>
      </c>
      <c r="AD217" s="326" t="str">
        <f t="shared" si="402"/>
        <v/>
      </c>
      <c r="AE217" s="324" t="str">
        <f t="shared" ref="AE217:AE220" si="406">+AC217</f>
        <v/>
      </c>
      <c r="AF217" s="326" t="str">
        <f t="shared" si="403"/>
        <v/>
      </c>
      <c r="AG217" s="324" t="str">
        <f t="shared" ref="AG217:AG220" si="407">IFERROR(IF(AND(V216="Impacto",V217="Impacto"),(AG216-(+AG216*Y217)),IF(V217="Impacto",($Q$209-(+$Q$209*Y217)),IF(V217="Probabilidad",AG216,""))),"")</f>
        <v/>
      </c>
      <c r="AH217" s="328" t="str">
        <f t="shared" si="404"/>
        <v/>
      </c>
      <c r="AI217" s="323"/>
      <c r="AJ217" s="249"/>
      <c r="AK217" s="249"/>
      <c r="AL217" s="249"/>
      <c r="AM217" s="249"/>
      <c r="AN217" s="278"/>
      <c r="AO217" s="279"/>
      <c r="AP217" s="279"/>
      <c r="AQ217" s="280"/>
      <c r="AR217" s="301"/>
      <c r="AS217" s="279"/>
      <c r="AT217" s="299"/>
      <c r="AU217" s="299"/>
      <c r="AV217" s="299"/>
      <c r="AW217" s="299"/>
      <c r="AX217" s="299"/>
      <c r="AY217" s="299"/>
      <c r="AZ217" s="299"/>
      <c r="BA217" s="299"/>
      <c r="BB217" s="299"/>
      <c r="BC217" s="299"/>
      <c r="BD217" s="299"/>
      <c r="BE217" s="299"/>
      <c r="BF217" s="299"/>
      <c r="BG217" s="299"/>
      <c r="BH217" s="299"/>
      <c r="BI217" s="299"/>
      <c r="BJ217" s="299"/>
      <c r="BK217" s="299"/>
      <c r="BL217" s="299"/>
      <c r="BM217" s="299"/>
      <c r="BN217" s="299"/>
      <c r="BO217" s="299"/>
      <c r="BP217" s="299"/>
      <c r="BQ217" s="299"/>
      <c r="BR217" s="299"/>
      <c r="BS217" s="299"/>
      <c r="BT217" s="299"/>
      <c r="BU217" s="299"/>
      <c r="BV217" s="299"/>
      <c r="BW217" s="299"/>
      <c r="BX217" s="299"/>
      <c r="BY217" s="299"/>
      <c r="BZ217" s="299"/>
    </row>
    <row r="218" spans="1:78" s="302" customFormat="1" ht="27.75" customHeight="1" x14ac:dyDescent="0.2">
      <c r="A218" s="458"/>
      <c r="B218" s="451"/>
      <c r="C218" s="452"/>
      <c r="D218" s="453"/>
      <c r="E218" s="454"/>
      <c r="F218" s="454"/>
      <c r="G218" s="446"/>
      <c r="H218" s="456"/>
      <c r="I218" s="446"/>
      <c r="J218" s="446"/>
      <c r="K218" s="457"/>
      <c r="L218" s="447"/>
      <c r="M218" s="445"/>
      <c r="N218" s="455"/>
      <c r="O218" s="285">
        <f ca="1">IF(NOT(ISERROR(MATCH(N218,_xlfn.ANCHORARRAY(H39),0))),M41&amp;"Por favor no seleccionar los criterios de impacto",N218)</f>
        <v>0</v>
      </c>
      <c r="P218" s="447"/>
      <c r="Q218" s="445"/>
      <c r="R218" s="459"/>
      <c r="S218" s="248">
        <v>4</v>
      </c>
      <c r="T218" s="330"/>
      <c r="U218" s="245"/>
      <c r="V218" s="322" t="str">
        <f t="shared" ref="V218:V220" si="408">IF(OR(W218="Preventivo",W218="Detectivo"),"Probabilidad",IF(W218="Correctivo","Impacto",""))</f>
        <v/>
      </c>
      <c r="W218" s="323"/>
      <c r="X218" s="323"/>
      <c r="Y218" s="324" t="str">
        <f t="shared" ref="Y218:Y220" si="409">IF(AND(W218="Preventivo",X218="Automático"),"50%",IF(AND(W218="Preventivo",X218="Manual"),"40%",IF(AND(W218="Detectivo",X218="Automático"),"40%",IF(AND(W218="Detectivo",X218="Manual"),"30%",IF(AND(W218="Correctivo",X218="Automático"),"35%",IF(AND(W218="Correctivo",X218="Manual"),"25%",""))))))</f>
        <v/>
      </c>
      <c r="Z218" s="323"/>
      <c r="AA218" s="323"/>
      <c r="AB218" s="323"/>
      <c r="AC218" s="325" t="str">
        <f t="shared" si="405"/>
        <v/>
      </c>
      <c r="AD218" s="326" t="str">
        <f t="shared" si="402"/>
        <v/>
      </c>
      <c r="AE218" s="324" t="str">
        <f t="shared" si="406"/>
        <v/>
      </c>
      <c r="AF218" s="326" t="str">
        <f t="shared" si="403"/>
        <v/>
      </c>
      <c r="AG218" s="324" t="str">
        <f t="shared" si="407"/>
        <v/>
      </c>
      <c r="AH218" s="328" t="str">
        <f>IFERROR(IF(OR(AND(AD218="Muy Baja",AF218="Leve"),AND(AD218="Muy Baja",AF218="Menor"),AND(AD218="Baja",AF218="Leve")),"Bajo",IF(OR(AND(AD218="Muy baja",AF218="Moderado"),AND(AD218="Baja",AF218="Menor"),AND(AD218="Baja",AF218="Moderado"),AND(AD218="Media",AF218="Leve"),AND(AD218="Media",AF218="Menor"),AND(AD218="Media",AF218="Moderado"),AND(AD218="Alta",AF218="Leve"),AND(AD218="Alta",AF218="Menor")),"Moderado",IF(OR(AND(AD218="Muy Baja",AF218="Mayor"),AND(AD218="Baja",AF218="Mayor"),AND(AD218="Media",AF218="Mayor"),AND(AD218="Alta",AF218="Moderado"),AND(AD218="Alta",AF218="Mayor"),AND(AD218="Muy Alta",AF218="Leve"),AND(AD218="Muy Alta",AF218="Menor"),AND(AD218="Muy Alta",AF218="Moderado"),AND(AD218="Muy Alta",AF218="Mayor")),"Alto",IF(OR(AND(AD218="Muy Baja",AF218="Catastrófico"),AND(AD218="Baja",AF218="Catastrófico"),AND(AD218="Media",AF218="Catastrófico"),AND(AD218="Alta",AF218="Catastrófico"),AND(AD218="Muy Alta",AF218="Catastrófico")),"Extremo","")))),"")</f>
        <v/>
      </c>
      <c r="AI218" s="323"/>
      <c r="AJ218" s="249"/>
      <c r="AK218" s="249"/>
      <c r="AL218" s="249"/>
      <c r="AM218" s="249"/>
      <c r="AN218" s="278"/>
      <c r="AO218" s="303"/>
      <c r="AP218" s="303"/>
      <c r="AQ218" s="253"/>
      <c r="AR218" s="301"/>
      <c r="AS218" s="303"/>
      <c r="AT218" s="299"/>
      <c r="AU218" s="299"/>
      <c r="AV218" s="299"/>
      <c r="AW218" s="299"/>
      <c r="AX218" s="299"/>
      <c r="AY218" s="299"/>
      <c r="AZ218" s="299"/>
      <c r="BA218" s="299"/>
      <c r="BB218" s="299"/>
      <c r="BC218" s="299"/>
      <c r="BD218" s="299"/>
      <c r="BE218" s="299"/>
      <c r="BF218" s="299"/>
      <c r="BG218" s="299"/>
      <c r="BH218" s="299"/>
      <c r="BI218" s="299"/>
      <c r="BJ218" s="299"/>
      <c r="BK218" s="299"/>
      <c r="BL218" s="299"/>
      <c r="BM218" s="299"/>
      <c r="BN218" s="299"/>
      <c r="BO218" s="299"/>
      <c r="BP218" s="299"/>
      <c r="BQ218" s="299"/>
      <c r="BR218" s="299"/>
      <c r="BS218" s="299"/>
      <c r="BT218" s="299"/>
      <c r="BU218" s="299"/>
      <c r="BV218" s="299"/>
      <c r="BW218" s="299"/>
      <c r="BX218" s="299"/>
      <c r="BY218" s="299"/>
      <c r="BZ218" s="299"/>
    </row>
    <row r="219" spans="1:78" s="302" customFormat="1" ht="27.75" customHeight="1" x14ac:dyDescent="0.2">
      <c r="A219" s="458"/>
      <c r="B219" s="451"/>
      <c r="C219" s="452"/>
      <c r="D219" s="453"/>
      <c r="E219" s="454"/>
      <c r="F219" s="454"/>
      <c r="G219" s="446"/>
      <c r="H219" s="456"/>
      <c r="I219" s="446"/>
      <c r="J219" s="446"/>
      <c r="K219" s="457"/>
      <c r="L219" s="447"/>
      <c r="M219" s="445"/>
      <c r="N219" s="455"/>
      <c r="O219" s="285">
        <f ca="1">IF(NOT(ISERROR(MATCH(N219,_xlfn.ANCHORARRAY(H40),0))),M42&amp;"Por favor no seleccionar los criterios de impacto",N219)</f>
        <v>0</v>
      </c>
      <c r="P219" s="447"/>
      <c r="Q219" s="445"/>
      <c r="R219" s="459"/>
      <c r="S219" s="248">
        <v>5</v>
      </c>
      <c r="T219" s="330"/>
      <c r="U219" s="245"/>
      <c r="V219" s="322" t="str">
        <f t="shared" si="408"/>
        <v/>
      </c>
      <c r="W219" s="323"/>
      <c r="X219" s="323"/>
      <c r="Y219" s="324" t="str">
        <f t="shared" si="409"/>
        <v/>
      </c>
      <c r="Z219" s="323"/>
      <c r="AA219" s="323"/>
      <c r="AB219" s="323"/>
      <c r="AC219" s="325" t="str">
        <f t="shared" si="405"/>
        <v/>
      </c>
      <c r="AD219" s="326" t="str">
        <f t="shared" si="402"/>
        <v/>
      </c>
      <c r="AE219" s="324" t="str">
        <f t="shared" si="406"/>
        <v/>
      </c>
      <c r="AF219" s="326" t="str">
        <f t="shared" si="403"/>
        <v/>
      </c>
      <c r="AG219" s="324" t="str">
        <f t="shared" si="407"/>
        <v/>
      </c>
      <c r="AH219" s="328" t="str">
        <f t="shared" ref="AH219:AH220" si="410">IFERROR(IF(OR(AND(AD219="Muy Baja",AF219="Leve"),AND(AD219="Muy Baja",AF219="Menor"),AND(AD219="Baja",AF219="Leve")),"Bajo",IF(OR(AND(AD219="Muy baja",AF219="Moderado"),AND(AD219="Baja",AF219="Menor"),AND(AD219="Baja",AF219="Moderado"),AND(AD219="Media",AF219="Leve"),AND(AD219="Media",AF219="Menor"),AND(AD219="Media",AF219="Moderado"),AND(AD219="Alta",AF219="Leve"),AND(AD219="Alta",AF219="Menor")),"Moderado",IF(OR(AND(AD219="Muy Baja",AF219="Mayor"),AND(AD219="Baja",AF219="Mayor"),AND(AD219="Media",AF219="Mayor"),AND(AD219="Alta",AF219="Moderado"),AND(AD219="Alta",AF219="Mayor"),AND(AD219="Muy Alta",AF219="Leve"),AND(AD219="Muy Alta",AF219="Menor"),AND(AD219="Muy Alta",AF219="Moderado"),AND(AD219="Muy Alta",AF219="Mayor")),"Alto",IF(OR(AND(AD219="Muy Baja",AF219="Catastrófico"),AND(AD219="Baja",AF219="Catastrófico"),AND(AD219="Media",AF219="Catastrófico"),AND(AD219="Alta",AF219="Catastrófico"),AND(AD219="Muy Alta",AF219="Catastrófico")),"Extremo","")))),"")</f>
        <v/>
      </c>
      <c r="AI219" s="323"/>
      <c r="AJ219" s="249"/>
      <c r="AK219" s="249"/>
      <c r="AL219" s="249"/>
      <c r="AM219" s="249"/>
      <c r="AN219" s="278"/>
      <c r="AO219" s="280"/>
      <c r="AP219" s="280"/>
      <c r="AQ219" s="281"/>
      <c r="AR219" s="304"/>
      <c r="AS219" s="304"/>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299"/>
      <c r="BQ219" s="299"/>
      <c r="BR219" s="299"/>
      <c r="BS219" s="299"/>
      <c r="BT219" s="299"/>
      <c r="BU219" s="299"/>
      <c r="BV219" s="299"/>
      <c r="BW219" s="299"/>
      <c r="BX219" s="299"/>
      <c r="BY219" s="299"/>
      <c r="BZ219" s="299"/>
    </row>
    <row r="220" spans="1:78" s="302" customFormat="1" ht="27.75" customHeight="1" x14ac:dyDescent="0.2">
      <c r="A220" s="458"/>
      <c r="B220" s="451"/>
      <c r="C220" s="452"/>
      <c r="D220" s="453"/>
      <c r="E220" s="454"/>
      <c r="F220" s="454"/>
      <c r="G220" s="446"/>
      <c r="H220" s="456"/>
      <c r="I220" s="446"/>
      <c r="J220" s="446"/>
      <c r="K220" s="457"/>
      <c r="L220" s="447"/>
      <c r="M220" s="445"/>
      <c r="N220" s="455"/>
      <c r="O220" s="285">
        <f ca="1">IF(NOT(ISERROR(MATCH(N220,_xlfn.ANCHORARRAY(H41),0))),#REF!&amp;"Por favor no seleccionar los criterios de impacto",N220)</f>
        <v>0</v>
      </c>
      <c r="P220" s="447"/>
      <c r="Q220" s="445"/>
      <c r="R220" s="459"/>
      <c r="S220" s="248">
        <v>6</v>
      </c>
      <c r="T220" s="330"/>
      <c r="U220" s="245"/>
      <c r="V220" s="322" t="str">
        <f t="shared" si="408"/>
        <v/>
      </c>
      <c r="W220" s="323"/>
      <c r="X220" s="323"/>
      <c r="Y220" s="324" t="str">
        <f t="shared" si="409"/>
        <v/>
      </c>
      <c r="Z220" s="323"/>
      <c r="AA220" s="323"/>
      <c r="AB220" s="323"/>
      <c r="AC220" s="325" t="str">
        <f t="shared" si="405"/>
        <v/>
      </c>
      <c r="AD220" s="326" t="str">
        <f t="shared" si="402"/>
        <v/>
      </c>
      <c r="AE220" s="324" t="str">
        <f t="shared" si="406"/>
        <v/>
      </c>
      <c r="AF220" s="326" t="str">
        <f t="shared" si="403"/>
        <v/>
      </c>
      <c r="AG220" s="324" t="str">
        <f t="shared" si="407"/>
        <v/>
      </c>
      <c r="AH220" s="328" t="str">
        <f t="shared" si="410"/>
        <v/>
      </c>
      <c r="AI220" s="323"/>
      <c r="AJ220" s="249"/>
      <c r="AK220" s="249"/>
      <c r="AL220" s="249"/>
      <c r="AM220" s="249"/>
      <c r="AN220" s="278"/>
      <c r="AO220" s="280"/>
      <c r="AP220" s="280"/>
      <c r="AQ220" s="281"/>
      <c r="AR220" s="304"/>
      <c r="AS220" s="304"/>
      <c r="AT220" s="299"/>
      <c r="AU220" s="299"/>
      <c r="AV220" s="299"/>
      <c r="AW220" s="299"/>
      <c r="AX220" s="299"/>
      <c r="AY220" s="299"/>
      <c r="AZ220" s="299"/>
      <c r="BA220" s="299"/>
      <c r="BB220" s="299"/>
      <c r="BC220" s="299"/>
      <c r="BD220" s="299"/>
      <c r="BE220" s="299"/>
      <c r="BF220" s="299"/>
      <c r="BG220" s="299"/>
      <c r="BH220" s="299"/>
      <c r="BI220" s="299"/>
      <c r="BJ220" s="299"/>
      <c r="BK220" s="299"/>
      <c r="BL220" s="299"/>
      <c r="BM220" s="299"/>
      <c r="BN220" s="299"/>
      <c r="BO220" s="299"/>
      <c r="BP220" s="299"/>
      <c r="BQ220" s="299"/>
      <c r="BR220" s="299"/>
      <c r="BS220" s="299"/>
      <c r="BT220" s="299"/>
      <c r="BU220" s="299"/>
      <c r="BV220" s="299"/>
      <c r="BW220" s="299"/>
      <c r="BX220" s="299"/>
      <c r="BY220" s="299"/>
      <c r="BZ220" s="299"/>
    </row>
    <row r="221" spans="1:78" s="294" customFormat="1" ht="193.5" customHeight="1" x14ac:dyDescent="0.2">
      <c r="A221" s="458" t="s">
        <v>687</v>
      </c>
      <c r="B221" s="451" t="s">
        <v>830</v>
      </c>
      <c r="C221" s="452" t="s">
        <v>288</v>
      </c>
      <c r="D221" s="453" t="s">
        <v>618</v>
      </c>
      <c r="E221" s="454" t="s">
        <v>109</v>
      </c>
      <c r="F221" s="454" t="s">
        <v>998</v>
      </c>
      <c r="G221" s="446" t="s">
        <v>675</v>
      </c>
      <c r="H221" s="446" t="s">
        <v>786</v>
      </c>
      <c r="I221" s="446" t="s">
        <v>654</v>
      </c>
      <c r="J221" s="446" t="s">
        <v>1054</v>
      </c>
      <c r="K221" s="457">
        <v>1500</v>
      </c>
      <c r="L221" s="447" t="str">
        <f t="shared" ref="L221" si="411">IF(K221&lt;=0,"",IF(K221&lt;=2,"Muy Baja",IF(K221&lt;=24,"Baja",IF(K221&lt;=500,"Media",IF(K221&lt;=5000,"Alta","Muy Alta")))))</f>
        <v>Alta</v>
      </c>
      <c r="M221" s="445">
        <f>IF(L221="","",IF(L221="Muy Baja",0.2,IF(L221="Baja",0.4,IF(L221="Media",0.6,IF(L221="Alta",0.8,IF(L221="Muy Alta",1,))))))</f>
        <v>0.8</v>
      </c>
      <c r="N221" s="455" t="s">
        <v>117</v>
      </c>
      <c r="O221" s="285" t="str">
        <f ca="1">IF(NOT(ISERROR(MATCH(N221,'Tabla Impacto'!$B$221:$B$223,0))),'Tabla Impacto'!$F$223&amp;"Por favor no seleccionar los criterios de impacto(Afectación Económica o presupuestal y Pérdida Reputacional)",N221)</f>
        <v xml:space="preserve">     Entre 100 y 500 SMLMV </v>
      </c>
      <c r="P221" s="447" t="str">
        <f ca="1">IF(OR(O221='Tabla Impacto'!$C$11,O221='Tabla Impacto'!$D$11),"Leve",IF(OR(O221='Tabla Impacto'!$C$12,O221='Tabla Impacto'!$D$12),"Menor",IF(OR(O221='Tabla Impacto'!$C$13,O221='Tabla Impacto'!$D$13),"Moderado",IF(OR(O221='Tabla Impacto'!$C$14,O221='Tabla Impacto'!$D$14),"Mayor",IF(OR(O221='Tabla Impacto'!$C$15,O221='Tabla Impacto'!$D$15),"Catastrófico","")))))</f>
        <v>Mayor</v>
      </c>
      <c r="Q221" s="445">
        <f ca="1">IF(P221="","",IF(P221="Leve",0.2,IF(P221="Menor",0.4,IF(P221="Moderado",0.6,IF(P221="Mayor",0.8,IF(P221="Catastrófico",1,))))))</f>
        <v>0.8</v>
      </c>
      <c r="R221" s="459" t="str">
        <f ca="1">IF(OR(AND(L221="Muy Baja",P221="Leve"),AND(L221="Muy Baja",P221="Menor"),AND(L221="Baja",P221="Leve")),"Bajo",IF(OR(AND(L221="Muy baja",P221="Moderado"),AND(L221="Baja",P221="Menor"),AND(L221="Baja",P221="Moderado"),AND(L221="Media",P221="Leve"),AND(L221="Media",P221="Menor"),AND(L221="Media",P221="Moderado"),AND(L221="Alta",P221="Leve"),AND(L221="Alta",P221="Menor")),"Moderado",IF(OR(AND(L221="Muy Baja",P221="Mayor"),AND(L221="Baja",P221="Mayor"),AND(L221="Media",P221="Mayor"),AND(L221="Alta",P221="Moderado"),AND(L221="Alta",P221="Mayor"),AND(L221="Muy Alta",P221="Leve"),AND(L221="Muy Alta",P221="Menor"),AND(L221="Muy Alta",P221="Moderado"),AND(L221="Muy Alta",P221="Mayor")),"Alto",IF(OR(AND(L221="Muy Baja",P221="Catastrófico"),AND(L221="Baja",P221="Catastrófico"),AND(L221="Media",P221="Catastrófico"),AND(L221="Alta",P221="Catastrófico"),AND(L221="Muy Alta",P221="Catastrófico")),"Extremo",""))))</f>
        <v>Alto</v>
      </c>
      <c r="S221" s="248">
        <v>1</v>
      </c>
      <c r="T221" s="351" t="s">
        <v>1055</v>
      </c>
      <c r="U221" s="350" t="s">
        <v>292</v>
      </c>
      <c r="V221" s="322" t="str">
        <f>IF(OR(W221="Preventivo",W221="Detectivo"),"Probabilidad",IF(W221="Correctivo","Impacto",""))</f>
        <v>Probabilidad</v>
      </c>
      <c r="W221" s="323" t="s">
        <v>13</v>
      </c>
      <c r="X221" s="323" t="s">
        <v>8</v>
      </c>
      <c r="Y221" s="324" t="str">
        <f t="shared" ref="Y221:Y222" si="412">IF(AND(W221="Preventivo",X221="Automático"),"50%",IF(AND(W221="Preventivo",X221="Manual"),"40%",IF(AND(W221="Detectivo",X221="Automático"),"40%",IF(AND(W221="Detectivo",X221="Manual"),"30%",IF(AND(W221="Correctivo",X221="Automático"),"35%",IF(AND(W221="Correctivo",X221="Manual"),"25%",""))))))</f>
        <v>40%</v>
      </c>
      <c r="Z221" s="323" t="s">
        <v>19</v>
      </c>
      <c r="AA221" s="323" t="s">
        <v>21</v>
      </c>
      <c r="AB221" s="323" t="s">
        <v>103</v>
      </c>
      <c r="AC221" s="325">
        <f t="shared" ref="AC221" si="413">IFERROR(IF(V221="Probabilidad",(M221-(+M221*Y221)),IF(V221="Impacto",M221,"")),"")</f>
        <v>0.48</v>
      </c>
      <c r="AD221" s="326" t="str">
        <f>IFERROR(IF(AC221="","",IF(AC221&lt;=0.2,"Muy Baja",IF(AC221&lt;=0.4,"Baja",IF(AC221&lt;=0.6,"Media",IF(AC221&lt;=0.8,"Alta","Muy Alta"))))),"")</f>
        <v>Media</v>
      </c>
      <c r="AE221" s="324">
        <f>+AC221</f>
        <v>0.48</v>
      </c>
      <c r="AF221" s="326" t="str">
        <f ca="1">IFERROR(IF(AG221="","",IF(AG221&lt;=0.2,"Leve",IF(AG221&lt;=0.4,"Menor",IF(AG221&lt;=0.6,"Moderado",IF(AG221&lt;=0.8,"Mayor","Catastrófico"))))),"")</f>
        <v>Mayor</v>
      </c>
      <c r="AG221" s="324">
        <f ca="1">IFERROR(IF(V221="Impacto",(Q221-(+Q221*Y221)),IF(V221="Probabilidad",Q221,"")),"")</f>
        <v>0.8</v>
      </c>
      <c r="AH221" s="328" t="str">
        <f ca="1">IFERROR(IF(OR(AND(AD221="Muy Baja",AF221="Leve"),AND(AD221="Muy Baja",AF221="Menor"),AND(AD221="Baja",AF221="Leve")),"Bajo",IF(OR(AND(AD221="Muy baja",AF221="Moderado"),AND(AD221="Baja",AF221="Menor"),AND(AD221="Baja",AF221="Moderado"),AND(AD221="Media",AF221="Leve"),AND(AD221="Media",AF221="Menor"),AND(AD221="Media",AF221="Moderado"),AND(AD221="Alta",AF221="Leve"),AND(AD221="Alta",AF221="Menor")),"Moderado",IF(OR(AND(AD221="Muy Baja",AF221="Mayor"),AND(AD221="Baja",AF221="Mayor"),AND(AD221="Media",AF221="Mayor"),AND(AD221="Alta",AF221="Moderado"),AND(AD221="Alta",AF221="Mayor"),AND(AD221="Muy Alta",AF221="Leve"),AND(AD221="Muy Alta",AF221="Menor"),AND(AD221="Muy Alta",AF221="Moderado"),AND(AD221="Muy Alta",AF221="Mayor")),"Alto",IF(OR(AND(AD221="Muy Baja",AF221="Catastrófico"),AND(AD221="Baja",AF221="Catastrófico"),AND(AD221="Media",AF221="Catastrófico"),AND(AD221="Alta",AF221="Catastrófico"),AND(AD221="Muy Alta",AF221="Catastrófico")),"Extremo","")))),"")</f>
        <v>Alto</v>
      </c>
      <c r="AI221" s="323" t="s">
        <v>26</v>
      </c>
      <c r="AJ221" s="248">
        <v>4</v>
      </c>
      <c r="AK221" s="248">
        <v>1</v>
      </c>
      <c r="AL221" s="248">
        <v>1</v>
      </c>
      <c r="AM221" s="248">
        <v>2</v>
      </c>
      <c r="AN221" s="248"/>
      <c r="AO221" s="259"/>
      <c r="AP221" s="259"/>
      <c r="AQ221" s="239"/>
      <c r="AR221" s="264"/>
      <c r="AS221" s="265"/>
      <c r="AT221" s="293"/>
      <c r="AU221" s="293"/>
      <c r="AV221" s="293"/>
      <c r="AW221" s="293"/>
      <c r="AX221" s="293"/>
      <c r="AY221" s="293"/>
      <c r="AZ221" s="293"/>
      <c r="BA221" s="293"/>
      <c r="BB221" s="293"/>
      <c r="BC221" s="293"/>
      <c r="BD221" s="293"/>
      <c r="BE221" s="293"/>
      <c r="BF221" s="293"/>
      <c r="BG221" s="293"/>
      <c r="BH221" s="293"/>
      <c r="BI221" s="293"/>
      <c r="BJ221" s="293"/>
      <c r="BK221" s="293"/>
      <c r="BL221" s="293"/>
      <c r="BM221" s="293"/>
      <c r="BN221" s="293"/>
      <c r="BO221" s="293"/>
      <c r="BP221" s="293"/>
      <c r="BQ221" s="293"/>
      <c r="BR221" s="293"/>
      <c r="BS221" s="293"/>
      <c r="BT221" s="293"/>
      <c r="BU221" s="293"/>
      <c r="BV221" s="293"/>
      <c r="BW221" s="293"/>
      <c r="BX221" s="293"/>
      <c r="BY221" s="293"/>
      <c r="BZ221" s="293"/>
    </row>
    <row r="222" spans="1:78" s="295" customFormat="1" ht="7.5" customHeight="1" x14ac:dyDescent="0.2">
      <c r="A222" s="458"/>
      <c r="B222" s="451"/>
      <c r="C222" s="452"/>
      <c r="D222" s="453"/>
      <c r="E222" s="454"/>
      <c r="F222" s="454"/>
      <c r="G222" s="446"/>
      <c r="H222" s="446"/>
      <c r="I222" s="446"/>
      <c r="J222" s="446"/>
      <c r="K222" s="457"/>
      <c r="L222" s="447"/>
      <c r="M222" s="445"/>
      <c r="N222" s="455"/>
      <c r="O222" s="285">
        <f ca="1">IF(NOT(ISERROR(MATCH(N222,_xlfn.ANCHORARRAY(H239),0))),M241&amp;"Por favor no seleccionar los criterios de impacto",N222)</f>
        <v>0</v>
      </c>
      <c r="P222" s="447"/>
      <c r="Q222" s="445"/>
      <c r="R222" s="459"/>
      <c r="S222" s="248">
        <v>2</v>
      </c>
      <c r="T222" s="330"/>
      <c r="U222" s="245"/>
      <c r="V222" s="322" t="str">
        <f>IF(OR(W222="Preventivo",W222="Detectivo"),"Probabilidad",IF(W222="Correctivo","Impacto",""))</f>
        <v/>
      </c>
      <c r="W222" s="323"/>
      <c r="X222" s="323"/>
      <c r="Y222" s="324" t="str">
        <f t="shared" si="412"/>
        <v/>
      </c>
      <c r="Z222" s="323"/>
      <c r="AA222" s="323"/>
      <c r="AB222" s="323"/>
      <c r="AC222" s="325" t="str">
        <f t="shared" ref="AC222" si="414">IFERROR(IF(AND(V221="Probabilidad",V222="Probabilidad"),(AE221-(+AE221*Y222)),IF(V222="Probabilidad",(M221-(+M221*Y222)),IF(V222="Impacto",AE221,""))),"")</f>
        <v/>
      </c>
      <c r="AD222" s="326" t="str">
        <f t="shared" ref="AD222:AD226" si="415">IFERROR(IF(AC222="","",IF(AC222&lt;=0.2,"Muy Baja",IF(AC222&lt;=0.4,"Baja",IF(AC222&lt;=0.6,"Media",IF(AC222&lt;=0.8,"Alta","Muy Alta"))))),"")</f>
        <v/>
      </c>
      <c r="AE222" s="324" t="str">
        <f t="shared" ref="AE222:AE226" si="416">+AC222</f>
        <v/>
      </c>
      <c r="AF222" s="326" t="str">
        <f t="shared" ref="AF222:AF226" si="417">IFERROR(IF(AG222="","",IF(AG222&lt;=0.2,"Leve",IF(AG222&lt;=0.4,"Menor",IF(AG222&lt;=0.6,"Moderado",IF(AG222&lt;=0.8,"Mayor","Catastrófico"))))),"")</f>
        <v/>
      </c>
      <c r="AG222" s="324" t="str">
        <f>IFERROR(IF(AND(V221="Impacto",V222="Impacto"),(AG221-(+AG221*Y222)),IF(V222="Impacto",($Q$221-(+$Q$221*Y222)),IF(V222="Probabilidad",AG221,""))),"")</f>
        <v/>
      </c>
      <c r="AH222" s="328" t="str">
        <f t="shared" ref="AH222:AH223" si="418">IFERROR(IF(OR(AND(AD222="Muy Baja",AF222="Leve"),AND(AD222="Muy Baja",AF222="Menor"),AND(AD222="Baja",AF222="Leve")),"Bajo",IF(OR(AND(AD222="Muy baja",AF222="Moderado"),AND(AD222="Baja",AF222="Menor"),AND(AD222="Baja",AF222="Moderado"),AND(AD222="Media",AF222="Leve"),AND(AD222="Media",AF222="Menor"),AND(AD222="Media",AF222="Moderado"),AND(AD222="Alta",AF222="Leve"),AND(AD222="Alta",AF222="Menor")),"Moderado",IF(OR(AND(AD222="Muy Baja",AF222="Mayor"),AND(AD222="Baja",AF222="Mayor"),AND(AD222="Media",AF222="Mayor"),AND(AD222="Alta",AF222="Moderado"),AND(AD222="Alta",AF222="Mayor"),AND(AD222="Muy Alta",AF222="Leve"),AND(AD222="Muy Alta",AF222="Menor"),AND(AD222="Muy Alta",AF222="Moderado"),AND(AD222="Muy Alta",AF222="Mayor")),"Alto",IF(OR(AND(AD222="Muy Baja",AF222="Catastrófico"),AND(AD222="Baja",AF222="Catastrófico"),AND(AD222="Media",AF222="Catastrófico"),AND(AD222="Alta",AF222="Catastrófico"),AND(AD222="Muy Alta",AF222="Catastrófico")),"Extremo","")))),"")</f>
        <v/>
      </c>
      <c r="AI222" s="323"/>
      <c r="AJ222" s="249"/>
      <c r="AK222" s="249"/>
      <c r="AL222" s="249"/>
      <c r="AM222" s="249"/>
      <c r="AN222" s="278"/>
      <c r="AO222" s="277"/>
      <c r="AP222" s="277"/>
      <c r="AQ222" s="276"/>
      <c r="AR222" s="263"/>
      <c r="AS222" s="277"/>
      <c r="AT222" s="293"/>
      <c r="AU222" s="293"/>
      <c r="AV222" s="293"/>
      <c r="AW222" s="293"/>
      <c r="AX222" s="293"/>
      <c r="AY222" s="293"/>
      <c r="AZ222" s="293"/>
      <c r="BA222" s="293"/>
      <c r="BB222" s="293"/>
      <c r="BC222" s="293"/>
      <c r="BD222" s="293"/>
      <c r="BE222" s="293"/>
      <c r="BF222" s="293"/>
      <c r="BG222" s="293"/>
      <c r="BH222" s="293"/>
      <c r="BI222" s="293"/>
      <c r="BJ222" s="293"/>
      <c r="BK222" s="293"/>
      <c r="BL222" s="293"/>
      <c r="BM222" s="293"/>
      <c r="BN222" s="293"/>
      <c r="BO222" s="293"/>
      <c r="BP222" s="293"/>
      <c r="BQ222" s="293"/>
      <c r="BR222" s="293"/>
      <c r="BS222" s="293"/>
      <c r="BT222" s="293"/>
      <c r="BU222" s="293"/>
      <c r="BV222" s="293"/>
      <c r="BW222" s="293"/>
      <c r="BX222" s="293"/>
      <c r="BY222" s="293"/>
      <c r="BZ222" s="293"/>
    </row>
    <row r="223" spans="1:78" s="295" customFormat="1" ht="7.5" customHeight="1" x14ac:dyDescent="0.2">
      <c r="A223" s="458"/>
      <c r="B223" s="451"/>
      <c r="C223" s="452"/>
      <c r="D223" s="453"/>
      <c r="E223" s="454"/>
      <c r="F223" s="454"/>
      <c r="G223" s="446"/>
      <c r="H223" s="446"/>
      <c r="I223" s="446"/>
      <c r="J223" s="446"/>
      <c r="K223" s="457"/>
      <c r="L223" s="447"/>
      <c r="M223" s="445"/>
      <c r="N223" s="455"/>
      <c r="O223" s="285">
        <f ca="1">IF(NOT(ISERROR(MATCH(N223,_xlfn.ANCHORARRAY(H240),0))),M242&amp;"Por favor no seleccionar los criterios de impacto",N223)</f>
        <v>0</v>
      </c>
      <c r="P223" s="447"/>
      <c r="Q223" s="445"/>
      <c r="R223" s="459"/>
      <c r="S223" s="248">
        <v>3</v>
      </c>
      <c r="T223" s="330"/>
      <c r="U223" s="245"/>
      <c r="V223" s="322" t="str">
        <f>IF(OR(W223="Preventivo",W223="Detectivo"),"Probabilidad",IF(W223="Correctivo","Impacto",""))</f>
        <v/>
      </c>
      <c r="W223" s="323"/>
      <c r="X223" s="323"/>
      <c r="Y223" s="324" t="str">
        <f>IF(AND(W223="Preventivo",X223="Automático"),"50%",IF(AND(W223="Preventivo",X223="Manual"),"40%",IF(AND(W223="Detectivo",X223="Automático"),"40%",IF(AND(W223="Detectivo",X223="Manual"),"30%",IF(AND(W223="Correctivo",X223="Automático"),"35%",IF(AND(W223="Correctivo",X223="Manual"),"25%",""))))))</f>
        <v/>
      </c>
      <c r="Z223" s="323"/>
      <c r="AA223" s="323"/>
      <c r="AB223" s="323"/>
      <c r="AC223" s="325" t="str">
        <f t="shared" ref="AC223:AC226" si="419">IFERROR(IF(AND(V222="Probabilidad",V223="Probabilidad"),(AE222-(+AE222*Y223)),IF(AND(V222="Impacto",V223="Probabilidad"),(AE221-(+AE221*Y223)),IF(V223="Impacto",AE222,""))),"")</f>
        <v/>
      </c>
      <c r="AD223" s="326" t="str">
        <f t="shared" si="415"/>
        <v/>
      </c>
      <c r="AE223" s="324" t="str">
        <f t="shared" si="416"/>
        <v/>
      </c>
      <c r="AF223" s="326" t="str">
        <f t="shared" si="417"/>
        <v/>
      </c>
      <c r="AG223" s="324" t="str">
        <f t="shared" ref="AG223:AG226" si="420">IFERROR(IF(AND(V222="Impacto",V223="Impacto"),(AG222-(+AG222*Y223)),IF(V223="Impacto",($Q$221-(+$Q$221*Y223)),IF(V223="Probabilidad",AG222,""))),"")</f>
        <v/>
      </c>
      <c r="AH223" s="328" t="str">
        <f t="shared" si="418"/>
        <v/>
      </c>
      <c r="AI223" s="323"/>
      <c r="AJ223" s="249"/>
      <c r="AK223" s="249"/>
      <c r="AL223" s="249"/>
      <c r="AM223" s="249"/>
      <c r="AN223" s="278"/>
      <c r="AO223" s="277"/>
      <c r="AP223" s="277"/>
      <c r="AQ223" s="276"/>
      <c r="AR223" s="263"/>
      <c r="AS223" s="277"/>
      <c r="AT223" s="293"/>
      <c r="AU223" s="293"/>
      <c r="AV223" s="293"/>
      <c r="AW223" s="293"/>
      <c r="AX223" s="293"/>
      <c r="AY223" s="293"/>
      <c r="AZ223" s="293"/>
      <c r="BA223" s="293"/>
      <c r="BB223" s="293"/>
      <c r="BC223" s="293"/>
      <c r="BD223" s="293"/>
      <c r="BE223" s="293"/>
      <c r="BF223" s="293"/>
      <c r="BG223" s="293"/>
      <c r="BH223" s="293"/>
      <c r="BI223" s="293"/>
      <c r="BJ223" s="293"/>
      <c r="BK223" s="293"/>
      <c r="BL223" s="293"/>
      <c r="BM223" s="293"/>
      <c r="BN223" s="293"/>
      <c r="BO223" s="293"/>
      <c r="BP223" s="293"/>
      <c r="BQ223" s="293"/>
      <c r="BR223" s="293"/>
      <c r="BS223" s="293"/>
      <c r="BT223" s="293"/>
      <c r="BU223" s="293"/>
      <c r="BV223" s="293"/>
      <c r="BW223" s="293"/>
      <c r="BX223" s="293"/>
      <c r="BY223" s="293"/>
      <c r="BZ223" s="293"/>
    </row>
    <row r="224" spans="1:78" s="295" customFormat="1" ht="7.5" customHeight="1" x14ac:dyDescent="0.2">
      <c r="A224" s="458"/>
      <c r="B224" s="451"/>
      <c r="C224" s="452"/>
      <c r="D224" s="453"/>
      <c r="E224" s="454"/>
      <c r="F224" s="454"/>
      <c r="G224" s="446"/>
      <c r="H224" s="446"/>
      <c r="I224" s="446"/>
      <c r="J224" s="446"/>
      <c r="K224" s="457"/>
      <c r="L224" s="447"/>
      <c r="M224" s="445"/>
      <c r="N224" s="455"/>
      <c r="O224" s="285">
        <f ca="1">IF(NOT(ISERROR(MATCH(N224,_xlfn.ANCHORARRAY(H241),0))),M243&amp;"Por favor no seleccionar los criterios de impacto",N224)</f>
        <v>0</v>
      </c>
      <c r="P224" s="447"/>
      <c r="Q224" s="445"/>
      <c r="R224" s="459"/>
      <c r="S224" s="248">
        <v>4</v>
      </c>
      <c r="T224" s="330"/>
      <c r="U224" s="245"/>
      <c r="V224" s="322" t="str">
        <f t="shared" ref="V224:V226" si="421">IF(OR(W224="Preventivo",W224="Detectivo"),"Probabilidad",IF(W224="Correctivo","Impacto",""))</f>
        <v/>
      </c>
      <c r="W224" s="323"/>
      <c r="X224" s="323"/>
      <c r="Y224" s="324" t="str">
        <f t="shared" ref="Y224:Y226" si="422">IF(AND(W224="Preventivo",X224="Automático"),"50%",IF(AND(W224="Preventivo",X224="Manual"),"40%",IF(AND(W224="Detectivo",X224="Automático"),"40%",IF(AND(W224="Detectivo",X224="Manual"),"30%",IF(AND(W224="Correctivo",X224="Automático"),"35%",IF(AND(W224="Correctivo",X224="Manual"),"25%",""))))))</f>
        <v/>
      </c>
      <c r="Z224" s="323"/>
      <c r="AA224" s="323"/>
      <c r="AB224" s="323"/>
      <c r="AC224" s="325" t="str">
        <f t="shared" si="419"/>
        <v/>
      </c>
      <c r="AD224" s="326" t="str">
        <f t="shared" si="415"/>
        <v/>
      </c>
      <c r="AE224" s="324" t="str">
        <f t="shared" si="416"/>
        <v/>
      </c>
      <c r="AF224" s="326" t="str">
        <f t="shared" si="417"/>
        <v/>
      </c>
      <c r="AG224" s="324" t="str">
        <f t="shared" si="420"/>
        <v/>
      </c>
      <c r="AH224" s="328" t="str">
        <f>IFERROR(IF(OR(AND(AD224="Muy Baja",AF224="Leve"),AND(AD224="Muy Baja",AF224="Menor"),AND(AD224="Baja",AF224="Leve")),"Bajo",IF(OR(AND(AD224="Muy baja",AF224="Moderado"),AND(AD224="Baja",AF224="Menor"),AND(AD224="Baja",AF224="Moderado"),AND(AD224="Media",AF224="Leve"),AND(AD224="Media",AF224="Menor"),AND(AD224="Media",AF224="Moderado"),AND(AD224="Alta",AF224="Leve"),AND(AD224="Alta",AF224="Menor")),"Moderado",IF(OR(AND(AD224="Muy Baja",AF224="Mayor"),AND(AD224="Baja",AF224="Mayor"),AND(AD224="Media",AF224="Mayor"),AND(AD224="Alta",AF224="Moderado"),AND(AD224="Alta",AF224="Mayor"),AND(AD224="Muy Alta",AF224="Leve"),AND(AD224="Muy Alta",AF224="Menor"),AND(AD224="Muy Alta",AF224="Moderado"),AND(AD224="Muy Alta",AF224="Mayor")),"Alto",IF(OR(AND(AD224="Muy Baja",AF224="Catastrófico"),AND(AD224="Baja",AF224="Catastrófico"),AND(AD224="Media",AF224="Catastrófico"),AND(AD224="Alta",AF224="Catastrófico"),AND(AD224="Muy Alta",AF224="Catastrófico")),"Extremo","")))),"")</f>
        <v/>
      </c>
      <c r="AI224" s="323"/>
      <c r="AJ224" s="249"/>
      <c r="AK224" s="249"/>
      <c r="AL224" s="249"/>
      <c r="AM224" s="249"/>
      <c r="AN224" s="278"/>
      <c r="AO224" s="209"/>
      <c r="AP224" s="209"/>
      <c r="AQ224" s="244"/>
      <c r="AR224" s="263"/>
      <c r="AS224" s="209"/>
      <c r="AT224" s="293"/>
      <c r="AU224" s="293"/>
      <c r="AV224" s="293"/>
      <c r="AW224" s="293"/>
      <c r="AX224" s="293"/>
      <c r="AY224" s="293"/>
      <c r="AZ224" s="293"/>
      <c r="BA224" s="293"/>
      <c r="BB224" s="293"/>
      <c r="BC224" s="293"/>
      <c r="BD224" s="293"/>
      <c r="BE224" s="293"/>
      <c r="BF224" s="293"/>
      <c r="BG224" s="293"/>
      <c r="BH224" s="293"/>
      <c r="BI224" s="293"/>
      <c r="BJ224" s="293"/>
      <c r="BK224" s="293"/>
      <c r="BL224" s="293"/>
      <c r="BM224" s="293"/>
      <c r="BN224" s="293"/>
      <c r="BO224" s="293"/>
      <c r="BP224" s="293"/>
      <c r="BQ224" s="293"/>
      <c r="BR224" s="293"/>
      <c r="BS224" s="293"/>
      <c r="BT224" s="293"/>
      <c r="BU224" s="293"/>
      <c r="BV224" s="293"/>
      <c r="BW224" s="293"/>
      <c r="BX224" s="293"/>
      <c r="BY224" s="293"/>
      <c r="BZ224" s="293"/>
    </row>
    <row r="225" spans="1:78" s="295" customFormat="1" ht="7.5" customHeight="1" x14ac:dyDescent="0.2">
      <c r="A225" s="458"/>
      <c r="B225" s="451"/>
      <c r="C225" s="452"/>
      <c r="D225" s="453"/>
      <c r="E225" s="454"/>
      <c r="F225" s="454"/>
      <c r="G225" s="446"/>
      <c r="H225" s="446"/>
      <c r="I225" s="446"/>
      <c r="J225" s="446"/>
      <c r="K225" s="457"/>
      <c r="L225" s="447"/>
      <c r="M225" s="445"/>
      <c r="N225" s="455"/>
      <c r="O225" s="285">
        <f ca="1">IF(NOT(ISERROR(MATCH(N225,_xlfn.ANCHORARRAY(H242),0))),M244&amp;"Por favor no seleccionar los criterios de impacto",N225)</f>
        <v>0</v>
      </c>
      <c r="P225" s="447"/>
      <c r="Q225" s="445"/>
      <c r="R225" s="459"/>
      <c r="S225" s="248">
        <v>5</v>
      </c>
      <c r="T225" s="330"/>
      <c r="U225" s="245"/>
      <c r="V225" s="322" t="str">
        <f t="shared" si="421"/>
        <v/>
      </c>
      <c r="W225" s="323"/>
      <c r="X225" s="323"/>
      <c r="Y225" s="324" t="str">
        <f t="shared" si="422"/>
        <v/>
      </c>
      <c r="Z225" s="323"/>
      <c r="AA225" s="323"/>
      <c r="AB225" s="323"/>
      <c r="AC225" s="325" t="str">
        <f t="shared" si="419"/>
        <v/>
      </c>
      <c r="AD225" s="326" t="str">
        <f t="shared" si="415"/>
        <v/>
      </c>
      <c r="AE225" s="324" t="str">
        <f t="shared" si="416"/>
        <v/>
      </c>
      <c r="AF225" s="326" t="str">
        <f t="shared" si="417"/>
        <v/>
      </c>
      <c r="AG225" s="324" t="str">
        <f t="shared" si="420"/>
        <v/>
      </c>
      <c r="AH225" s="328" t="str">
        <f t="shared" ref="AH225:AH226" si="423">IFERROR(IF(OR(AND(AD225="Muy Baja",AF225="Leve"),AND(AD225="Muy Baja",AF225="Menor"),AND(AD225="Baja",AF225="Leve")),"Bajo",IF(OR(AND(AD225="Muy baja",AF225="Moderado"),AND(AD225="Baja",AF225="Menor"),AND(AD225="Baja",AF225="Moderado"),AND(AD225="Media",AF225="Leve"),AND(AD225="Media",AF225="Menor"),AND(AD225="Media",AF225="Moderado"),AND(AD225="Alta",AF225="Leve"),AND(AD225="Alta",AF225="Menor")),"Moderado",IF(OR(AND(AD225="Muy Baja",AF225="Mayor"),AND(AD225="Baja",AF225="Mayor"),AND(AD225="Media",AF225="Mayor"),AND(AD225="Alta",AF225="Moderado"),AND(AD225="Alta",AF225="Mayor"),AND(AD225="Muy Alta",AF225="Leve"),AND(AD225="Muy Alta",AF225="Menor"),AND(AD225="Muy Alta",AF225="Moderado"),AND(AD225="Muy Alta",AF225="Mayor")),"Alto",IF(OR(AND(AD225="Muy Baja",AF225="Catastrófico"),AND(AD225="Baja",AF225="Catastrófico"),AND(AD225="Media",AF225="Catastrófico"),AND(AD225="Alta",AF225="Catastrófico"),AND(AD225="Muy Alta",AF225="Catastrófico")),"Extremo","")))),"")</f>
        <v/>
      </c>
      <c r="AI225" s="323"/>
      <c r="AJ225" s="249"/>
      <c r="AK225" s="249"/>
      <c r="AL225" s="249"/>
      <c r="AM225" s="249"/>
      <c r="AN225" s="278"/>
      <c r="AO225" s="276"/>
      <c r="AP225" s="276"/>
      <c r="AQ225" s="278"/>
      <c r="AR225" s="211"/>
      <c r="AS225" s="211"/>
      <c r="AT225" s="293"/>
      <c r="AU225" s="293"/>
      <c r="AV225" s="293"/>
      <c r="AW225" s="293"/>
      <c r="AX225" s="293"/>
      <c r="AY225" s="293"/>
      <c r="AZ225" s="293"/>
      <c r="BA225" s="293"/>
      <c r="BB225" s="293"/>
      <c r="BC225" s="293"/>
      <c r="BD225" s="293"/>
      <c r="BE225" s="293"/>
      <c r="BF225" s="293"/>
      <c r="BG225" s="293"/>
      <c r="BH225" s="293"/>
      <c r="BI225" s="293"/>
      <c r="BJ225" s="293"/>
      <c r="BK225" s="293"/>
      <c r="BL225" s="293"/>
      <c r="BM225" s="293"/>
      <c r="BN225" s="293"/>
      <c r="BO225" s="293"/>
      <c r="BP225" s="293"/>
      <c r="BQ225" s="293"/>
      <c r="BR225" s="293"/>
      <c r="BS225" s="293"/>
      <c r="BT225" s="293"/>
      <c r="BU225" s="293"/>
      <c r="BV225" s="293"/>
      <c r="BW225" s="293"/>
      <c r="BX225" s="293"/>
      <c r="BY225" s="293"/>
      <c r="BZ225" s="293"/>
    </row>
    <row r="226" spans="1:78" s="295" customFormat="1" ht="7.5" customHeight="1" x14ac:dyDescent="0.2">
      <c r="A226" s="458"/>
      <c r="B226" s="451"/>
      <c r="C226" s="452"/>
      <c r="D226" s="453"/>
      <c r="E226" s="454"/>
      <c r="F226" s="454"/>
      <c r="G226" s="446"/>
      <c r="H226" s="446"/>
      <c r="I226" s="446"/>
      <c r="J226" s="446"/>
      <c r="K226" s="457"/>
      <c r="L226" s="447"/>
      <c r="M226" s="445"/>
      <c r="N226" s="455"/>
      <c r="O226" s="285">
        <f ca="1">IF(NOT(ISERROR(MATCH(N226,_xlfn.ANCHORARRAY(H243),0))),M257&amp;"Por favor no seleccionar los criterios de impacto",N226)</f>
        <v>0</v>
      </c>
      <c r="P226" s="447"/>
      <c r="Q226" s="445"/>
      <c r="R226" s="459"/>
      <c r="S226" s="248">
        <v>6</v>
      </c>
      <c r="T226" s="330"/>
      <c r="U226" s="245"/>
      <c r="V226" s="322" t="str">
        <f t="shared" si="421"/>
        <v/>
      </c>
      <c r="W226" s="323"/>
      <c r="X226" s="323"/>
      <c r="Y226" s="324" t="str">
        <f t="shared" si="422"/>
        <v/>
      </c>
      <c r="Z226" s="323"/>
      <c r="AA226" s="323"/>
      <c r="AB226" s="323"/>
      <c r="AC226" s="325" t="str">
        <f t="shared" si="419"/>
        <v/>
      </c>
      <c r="AD226" s="326" t="str">
        <f t="shared" si="415"/>
        <v/>
      </c>
      <c r="AE226" s="324" t="str">
        <f t="shared" si="416"/>
        <v/>
      </c>
      <c r="AF226" s="326" t="str">
        <f t="shared" si="417"/>
        <v/>
      </c>
      <c r="AG226" s="324" t="str">
        <f t="shared" si="420"/>
        <v/>
      </c>
      <c r="AH226" s="328" t="str">
        <f t="shared" si="423"/>
        <v/>
      </c>
      <c r="AI226" s="323"/>
      <c r="AJ226" s="249"/>
      <c r="AK226" s="249"/>
      <c r="AL226" s="249"/>
      <c r="AM226" s="249"/>
      <c r="AN226" s="278"/>
      <c r="AO226" s="276"/>
      <c r="AP226" s="276"/>
      <c r="AQ226" s="278"/>
      <c r="AR226" s="211"/>
      <c r="AS226" s="211"/>
      <c r="AT226" s="293"/>
      <c r="AU226" s="293"/>
      <c r="AV226" s="293"/>
      <c r="AW226" s="293"/>
      <c r="AX226" s="293"/>
      <c r="AY226" s="293"/>
      <c r="AZ226" s="293"/>
      <c r="BA226" s="293"/>
      <c r="BB226" s="293"/>
      <c r="BC226" s="293"/>
      <c r="BD226" s="293"/>
      <c r="BE226" s="293"/>
      <c r="BF226" s="293"/>
      <c r="BG226" s="293"/>
      <c r="BH226" s="293"/>
      <c r="BI226" s="293"/>
      <c r="BJ226" s="293"/>
      <c r="BK226" s="293"/>
      <c r="BL226" s="293"/>
      <c r="BM226" s="293"/>
      <c r="BN226" s="293"/>
      <c r="BO226" s="293"/>
      <c r="BP226" s="293"/>
      <c r="BQ226" s="293"/>
      <c r="BR226" s="293"/>
      <c r="BS226" s="293"/>
      <c r="BT226" s="293"/>
      <c r="BU226" s="293"/>
      <c r="BV226" s="293"/>
      <c r="BW226" s="293"/>
      <c r="BX226" s="293"/>
      <c r="BY226" s="293"/>
      <c r="BZ226" s="293"/>
    </row>
    <row r="227" spans="1:78" s="294" customFormat="1" ht="140.25" customHeight="1" x14ac:dyDescent="0.2">
      <c r="A227" s="458" t="s">
        <v>770</v>
      </c>
      <c r="B227" s="451" t="s">
        <v>830</v>
      </c>
      <c r="C227" s="452" t="s">
        <v>288</v>
      </c>
      <c r="D227" s="453" t="s">
        <v>620</v>
      </c>
      <c r="E227" s="534" t="s">
        <v>109</v>
      </c>
      <c r="F227" s="453" t="s">
        <v>1007</v>
      </c>
      <c r="G227" s="534" t="s">
        <v>675</v>
      </c>
      <c r="H227" s="456" t="s">
        <v>694</v>
      </c>
      <c r="I227" s="446" t="s">
        <v>660</v>
      </c>
      <c r="J227" s="446" t="s">
        <v>695</v>
      </c>
      <c r="K227" s="457">
        <v>10</v>
      </c>
      <c r="L227" s="447" t="str">
        <f>IF(K227&lt;=0,"",IF(K227&lt;=2,"Muy Baja",IF(K227&lt;=24,"Baja",IF(K227&lt;=500,"Media",IF(K227&lt;=5000,"Alta","Muy Alta")))))</f>
        <v>Baja</v>
      </c>
      <c r="M227" s="445">
        <f>IF(L227="","",IF(L227="Muy Baja",0.2,IF(L227="Baja",0.4,IF(L227="Media",0.6,IF(L227="Alta",0.8,IF(L227="Muy Alta",1,))))))</f>
        <v>0.4</v>
      </c>
      <c r="N227" s="455" t="s">
        <v>116</v>
      </c>
      <c r="O227" s="445" t="str">
        <f ca="1">IF(NOT(ISERROR(MATCH(N227,'Tabla Impacto'!$B$221:$B$223,0))),'Tabla Impacto'!$F$223&amp;"Por favor no seleccionar los criterios de impacto(Afectación Económica o presupuestal y Pérdida Reputacional)",N227)</f>
        <v xml:space="preserve">     Entre 10 y 50 SMLMV </v>
      </c>
      <c r="P227" s="447" t="str">
        <f ca="1">IF(OR(O227='Tabla Impacto'!$C$11,O227='Tabla Impacto'!$D$11),"Leve",IF(OR(O227='Tabla Impacto'!$C$12,O227='Tabla Impacto'!$D$12),"Menor",IF(OR(O227='Tabla Impacto'!$C$13,O227='Tabla Impacto'!$D$13),"Moderado",IF(OR(O227='Tabla Impacto'!$C$14,O227='Tabla Impacto'!$D$14),"Mayor",IF(OR(O227='Tabla Impacto'!$C$15,O227='Tabla Impacto'!$D$15),"Catastrófico","")))))</f>
        <v>Menor</v>
      </c>
      <c r="Q227" s="445">
        <f ca="1">IF(P227="","",IF(P227="Leve",0.2,IF(P227="Menor",0.4,IF(P227="Moderado",0.6,IF(P227="Mayor",0.8,IF(P227="Catastrófico",1,))))))</f>
        <v>0.4</v>
      </c>
      <c r="R227" s="459" t="str">
        <f ca="1">IF(OR(AND(L227="Muy Baja",P227="Leve"),AND(L227="Muy Baja",P227="Menor"),AND(L227="Baja",P227="Leve")),"Bajo",IF(OR(AND(L227="Muy baja",P227="Moderado"),AND(L227="Baja",P227="Menor"),AND(L227="Baja",P227="Moderado"),AND(L227="Media",P227="Leve"),AND(L227="Media",P227="Menor"),AND(L227="Media",P227="Moderado"),AND(L227="Alta",P227="Leve"),AND(L227="Alta",P227="Menor")),"Moderado",IF(OR(AND(L227="Muy Baja",P227="Mayor"),AND(L227="Baja",P227="Mayor"),AND(L227="Media",P227="Mayor"),AND(L227="Alta",P227="Moderado"),AND(L227="Alta",P227="Mayor"),AND(L227="Muy Alta",P227="Leve"),AND(L227="Muy Alta",P227="Menor"),AND(L227="Muy Alta",P227="Moderado"),AND(L227="Muy Alta",P227="Mayor")),"Alto",IF(OR(AND(L227="Muy Baja",P227="Catastrófico"),AND(L227="Baja",P227="Catastrófico"),AND(L227="Media",P227="Catastrófico"),AND(L227="Alta",P227="Catastrófico"),AND(L227="Muy Alta",P227="Catastrófico")),"Extremo",""))))</f>
        <v>Moderado</v>
      </c>
      <c r="S227" s="248">
        <v>1</v>
      </c>
      <c r="T227" s="351" t="s">
        <v>1089</v>
      </c>
      <c r="U227" s="350" t="s">
        <v>292</v>
      </c>
      <c r="V227" s="322" t="str">
        <f t="shared" ref="V227:V235" si="424">IF(OR(W227="Preventivo",W227="Detectivo"),"Probabilidad",IF(W227="Correctivo","Impacto",""))</f>
        <v>Probabilidad</v>
      </c>
      <c r="W227" s="323" t="s">
        <v>13</v>
      </c>
      <c r="X227" s="323" t="s">
        <v>8</v>
      </c>
      <c r="Y227" s="324" t="str">
        <f t="shared" ref="Y227:Y233" si="425">IF(AND(W227="Preventivo",X227="Automático"),"50%",IF(AND(W227="Preventivo",X227="Manual"),"40%",IF(AND(W227="Detectivo",X227="Automático"),"40%",IF(AND(W227="Detectivo",X227="Manual"),"30%",IF(AND(W227="Correctivo",X227="Automático"),"35%",IF(AND(W227="Correctivo",X227="Manual"),"25%",""))))))</f>
        <v>40%</v>
      </c>
      <c r="Z227" s="323" t="s">
        <v>18</v>
      </c>
      <c r="AA227" s="323" t="s">
        <v>21</v>
      </c>
      <c r="AB227" s="323" t="s">
        <v>103</v>
      </c>
      <c r="AC227" s="325">
        <f t="shared" ref="AC227" si="426">IFERROR(IF(V227="Probabilidad",(M227-(+M227*Y227)),IF(V227="Impacto",M227,"")),"")</f>
        <v>0.24</v>
      </c>
      <c r="AD227" s="326" t="str">
        <f t="shared" ref="AD227:AD233" si="427">IFERROR(IF(AC227="","",IF(AC227&lt;=0.2,"Muy Baja",IF(AC227&lt;=0.4,"Baja",IF(AC227&lt;=0.6,"Media",IF(AC227&lt;=0.8,"Alta","Muy Alta"))))),"")</f>
        <v>Baja</v>
      </c>
      <c r="AE227" s="324">
        <f t="shared" ref="AE227:AE232" si="428">+AC227</f>
        <v>0.24</v>
      </c>
      <c r="AF227" s="326" t="str">
        <f ca="1">IFERROR(IF(AG227="","",IF(AG227&lt;=0.2,"Leve",IF(AG227&lt;=0.4,"Menor",IF(AG227&lt;=0.6,"Moderado",IF(AG227&lt;=0.8,"Mayor","Catastrófico"))))),"")</f>
        <v>Menor</v>
      </c>
      <c r="AG227" s="324">
        <f ca="1">IFERROR(IF(V227="Impacto",(Q227-(+Q227*Y227)),IF(V227="Probabilidad",Q227,"")),"")</f>
        <v>0.4</v>
      </c>
      <c r="AH227" s="328" t="str">
        <f ca="1">IFERROR(IF(OR(AND(AD227="Muy Baja",AF227="Leve"),AND(AD227="Muy Baja",AF227="Menor"),AND(AD227="Baja",AF227="Leve")),"Bajo",IF(OR(AND(AD227="Muy baja",AF227="Moderado"),AND(AD227="Baja",AF227="Menor"),AND(AD227="Baja",AF227="Moderado"),AND(AD227="Media",AF227="Leve"),AND(AD227="Media",AF227="Menor"),AND(AD227="Media",AF227="Moderado"),AND(AD227="Alta",AF227="Leve"),AND(AD227="Alta",AF227="Menor")),"Moderado",IF(OR(AND(AD227="Muy Baja",AF227="Mayor"),AND(AD227="Baja",AF227="Mayor"),AND(AD227="Media",AF227="Mayor"),AND(AD227="Alta",AF227="Moderado"),AND(AD227="Alta",AF227="Mayor"),AND(AD227="Muy Alta",AF227="Leve"),AND(AD227="Muy Alta",AF227="Menor"),AND(AD227="Muy Alta",AF227="Moderado"),AND(AD227="Muy Alta",AF227="Mayor")),"Alto",IF(OR(AND(AD227="Muy Baja",AF227="Catastrófico"),AND(AD227="Baja",AF227="Catastrófico"),AND(AD227="Media",AF227="Catastrófico"),AND(AD227="Alta",AF227="Catastrófico"),AND(AD227="Muy Alta",AF227="Catastrófico")),"Extremo","")))),"")</f>
        <v>Moderado</v>
      </c>
      <c r="AI227" s="323" t="s">
        <v>26</v>
      </c>
      <c r="AJ227" s="249">
        <v>4</v>
      </c>
      <c r="AK227" s="249">
        <v>1</v>
      </c>
      <c r="AL227" s="249">
        <v>1</v>
      </c>
      <c r="AM227" s="249">
        <v>2</v>
      </c>
      <c r="AN227" s="240"/>
      <c r="AO227" s="239"/>
      <c r="AP227" s="239"/>
      <c r="AQ227" s="240"/>
      <c r="AR227" s="241"/>
      <c r="AS227" s="241"/>
      <c r="AT227" s="293"/>
      <c r="AU227" s="293"/>
      <c r="AV227" s="293"/>
      <c r="AW227" s="293"/>
      <c r="AX227" s="293"/>
      <c r="AY227" s="293"/>
      <c r="AZ227" s="293"/>
      <c r="BA227" s="293"/>
      <c r="BB227" s="293"/>
      <c r="BC227" s="293"/>
      <c r="BD227" s="293"/>
      <c r="BE227" s="293"/>
      <c r="BF227" s="293"/>
      <c r="BG227" s="293"/>
      <c r="BH227" s="293"/>
      <c r="BI227" s="293"/>
      <c r="BJ227" s="293"/>
      <c r="BK227" s="293"/>
      <c r="BL227" s="293"/>
      <c r="BM227" s="293"/>
      <c r="BN227" s="293"/>
      <c r="BO227" s="293"/>
      <c r="BP227" s="293"/>
      <c r="BQ227" s="293"/>
      <c r="BR227" s="293"/>
      <c r="BS227" s="293"/>
      <c r="BT227" s="293"/>
      <c r="BU227" s="293"/>
      <c r="BV227" s="293"/>
      <c r="BW227" s="293"/>
      <c r="BX227" s="293"/>
      <c r="BY227" s="293"/>
      <c r="BZ227" s="293"/>
    </row>
    <row r="228" spans="1:78" s="295" customFormat="1" ht="14.25" customHeight="1" x14ac:dyDescent="0.2">
      <c r="A228" s="458"/>
      <c r="B228" s="451"/>
      <c r="C228" s="452"/>
      <c r="D228" s="453"/>
      <c r="E228" s="534"/>
      <c r="F228" s="453"/>
      <c r="G228" s="534"/>
      <c r="H228" s="456"/>
      <c r="I228" s="446"/>
      <c r="J228" s="446"/>
      <c r="K228" s="457"/>
      <c r="L228" s="447"/>
      <c r="M228" s="445"/>
      <c r="N228" s="455"/>
      <c r="O228" s="445">
        <f ca="1">IF(NOT(ISERROR(MATCH(N228,_xlfn.ANCHORARRAY(#REF!),0))),#REF!&amp;"Por favor no seleccionar los criterios de impacto",N228)</f>
        <v>0</v>
      </c>
      <c r="P228" s="447"/>
      <c r="Q228" s="445"/>
      <c r="R228" s="459"/>
      <c r="S228" s="248">
        <v>2</v>
      </c>
      <c r="T228" s="330"/>
      <c r="U228" s="245"/>
      <c r="V228" s="322" t="str">
        <f t="shared" si="424"/>
        <v/>
      </c>
      <c r="W228" s="323"/>
      <c r="X228" s="323"/>
      <c r="Y228" s="324" t="str">
        <f t="shared" si="425"/>
        <v/>
      </c>
      <c r="Z228" s="323"/>
      <c r="AA228" s="323"/>
      <c r="AB228" s="323"/>
      <c r="AC228" s="325" t="str">
        <f t="shared" ref="AC228" si="429">IFERROR(IF(AND(V227="Probabilidad",V228="Probabilidad"),(AE227-(+AE227*Y228)),IF(V228="Probabilidad",(M227-(+M227*Y228)),IF(V228="Impacto",AE227,""))),"")</f>
        <v/>
      </c>
      <c r="AD228" s="326" t="str">
        <f t="shared" si="427"/>
        <v/>
      </c>
      <c r="AE228" s="324" t="str">
        <f t="shared" si="428"/>
        <v/>
      </c>
      <c r="AF228" s="326"/>
      <c r="AG228" s="324" t="str">
        <f>IFERROR(IF(AND(V227="Impacto",V228="Impacto"),(AG227-(+AG227*Y228)),IF(V228="Impacto",($Q$227-(+$Q$227*Y228)),IF(V228="Probabilidad",AG227,""))),"")</f>
        <v/>
      </c>
      <c r="AH228" s="328" t="str">
        <f t="shared" ref="AH228:AH232" si="430">IFERROR(IF(OR(AND(AD228="Muy Baja",AF228="Leve"),AND(AD228="Muy Baja",AF228="Menor"),AND(AD228="Baja",AF228="Leve")),"Bajo",IF(OR(AND(AD228="Muy baja",AF228="Moderado"),AND(AD228="Baja",AF228="Menor"),AND(AD228="Baja",AF228="Moderado"),AND(AD228="Media",AF228="Leve"),AND(AD228="Media",AF228="Menor"),AND(AD228="Media",AF228="Moderado"),AND(AD228="Alta",AF228="Leve"),AND(AD228="Alta",AF228="Menor")),"Moderado",IF(OR(AND(AD228="Muy Baja",AF228="Mayor"),AND(AD228="Baja",AF228="Mayor"),AND(AD228="Media",AF228="Mayor"),AND(AD228="Alta",AF228="Moderado"),AND(AD228="Alta",AF228="Mayor"),AND(AD228="Muy Alta",AF228="Leve"),AND(AD228="Muy Alta",AF228="Menor"),AND(AD228="Muy Alta",AF228="Moderado"),AND(AD228="Muy Alta",AF228="Mayor")),"Alto",IF(OR(AND(AD228="Muy Baja",AF228="Catastrófico"),AND(AD228="Baja",AF228="Catastrófico"),AND(AD228="Media",AF228="Catastrófico"),AND(AD228="Alta",AF228="Catastrófico"),AND(AD228="Muy Alta",AF228="Catastrófico")),"Extremo","")))),"")</f>
        <v/>
      </c>
      <c r="AI228" s="323"/>
      <c r="AJ228" s="249"/>
      <c r="AK228" s="249"/>
      <c r="AL228" s="249"/>
      <c r="AM228" s="249"/>
      <c r="AN228" s="278"/>
      <c r="AO228" s="276"/>
      <c r="AP228" s="276"/>
      <c r="AQ228" s="278"/>
      <c r="AR228" s="211"/>
      <c r="AS228" s="211"/>
      <c r="AT228" s="293"/>
      <c r="AU228" s="293"/>
      <c r="AV228" s="293"/>
      <c r="AW228" s="293"/>
      <c r="AX228" s="293"/>
      <c r="AY228" s="293"/>
      <c r="AZ228" s="293"/>
      <c r="BA228" s="293"/>
      <c r="BB228" s="293"/>
      <c r="BC228" s="293"/>
      <c r="BD228" s="293"/>
      <c r="BE228" s="293"/>
      <c r="BF228" s="293"/>
      <c r="BG228" s="293"/>
      <c r="BH228" s="293"/>
      <c r="BI228" s="293"/>
      <c r="BJ228" s="293"/>
      <c r="BK228" s="293"/>
      <c r="BL228" s="293"/>
      <c r="BM228" s="293"/>
      <c r="BN228" s="293"/>
      <c r="BO228" s="293"/>
      <c r="BP228" s="293"/>
      <c r="BQ228" s="293"/>
      <c r="BR228" s="293"/>
      <c r="BS228" s="293"/>
      <c r="BT228" s="293"/>
      <c r="BU228" s="293"/>
      <c r="BV228" s="293"/>
      <c r="BW228" s="293"/>
      <c r="BX228" s="293"/>
      <c r="BY228" s="293"/>
      <c r="BZ228" s="293"/>
    </row>
    <row r="229" spans="1:78" s="295" customFormat="1" ht="14.25" customHeight="1" x14ac:dyDescent="0.2">
      <c r="A229" s="458"/>
      <c r="B229" s="451"/>
      <c r="C229" s="452"/>
      <c r="D229" s="453"/>
      <c r="E229" s="534"/>
      <c r="F229" s="453"/>
      <c r="G229" s="534"/>
      <c r="H229" s="456"/>
      <c r="I229" s="446"/>
      <c r="J229" s="446"/>
      <c r="K229" s="457"/>
      <c r="L229" s="447"/>
      <c r="M229" s="445"/>
      <c r="N229" s="455"/>
      <c r="O229" s="445">
        <f ca="1">IF(NOT(ISERROR(MATCH(N229,_xlfn.ANCHORARRAY(#REF!),0))),#REF!&amp;"Por favor no seleccionar los criterios de impacto",N229)</f>
        <v>0</v>
      </c>
      <c r="P229" s="447"/>
      <c r="Q229" s="445"/>
      <c r="R229" s="459"/>
      <c r="S229" s="248">
        <v>3</v>
      </c>
      <c r="T229" s="330"/>
      <c r="U229" s="245"/>
      <c r="V229" s="322" t="str">
        <f t="shared" si="424"/>
        <v/>
      </c>
      <c r="W229" s="323"/>
      <c r="X229" s="323"/>
      <c r="Y229" s="324" t="str">
        <f t="shared" si="425"/>
        <v/>
      </c>
      <c r="Z229" s="323"/>
      <c r="AA229" s="323"/>
      <c r="AB229" s="323"/>
      <c r="AC229" s="325" t="str">
        <f t="shared" ref="AC229" si="431">IFERROR(IF(AND(V228="Probabilidad",V229="Probabilidad"),(AE228-(+AE228*Y229)),IF(AND(V228="Impacto",V229="Probabilidad"),(AE227-(+AE227*Y229)),IF(V229="Impacto",AE228,""))),"")</f>
        <v/>
      </c>
      <c r="AD229" s="326" t="str">
        <f t="shared" si="427"/>
        <v/>
      </c>
      <c r="AE229" s="324" t="str">
        <f t="shared" si="428"/>
        <v/>
      </c>
      <c r="AF229" s="326" t="str">
        <f>IFERROR(IF(AG229="","",IF(AG229&lt;=0.2,"Leve",IF(AG229&lt;=0.4,"Menor",IF(AG229&lt;=0.6,"Moderado",IF(AG229&lt;=0.8,"Mayor","Catastrófico"))))),"")</f>
        <v/>
      </c>
      <c r="AG229" s="324" t="str">
        <f t="shared" ref="AG229:AG232" si="432">IFERROR(IF(AND(V228="Impacto",V229="Impacto"),(AG228-(+AG228*Y229)),IF(V229="Impacto",($Q$227-(+$Q$227*Y229)),IF(V229="Probabilidad",AG228,""))),"")</f>
        <v/>
      </c>
      <c r="AH229" s="328" t="str">
        <f t="shared" si="430"/>
        <v/>
      </c>
      <c r="AI229" s="323"/>
      <c r="AJ229" s="249"/>
      <c r="AK229" s="249"/>
      <c r="AL229" s="249"/>
      <c r="AM229" s="249"/>
      <c r="AN229" s="278"/>
      <c r="AO229" s="276"/>
      <c r="AP229" s="276"/>
      <c r="AQ229" s="278"/>
      <c r="AR229" s="211"/>
      <c r="AS229" s="211"/>
      <c r="AT229" s="293"/>
      <c r="AU229" s="293"/>
      <c r="AV229" s="293"/>
      <c r="AW229" s="293"/>
      <c r="AX229" s="293"/>
      <c r="AY229" s="293"/>
      <c r="AZ229" s="293"/>
      <c r="BA229" s="293"/>
      <c r="BB229" s="293"/>
      <c r="BC229" s="293"/>
      <c r="BD229" s="293"/>
      <c r="BE229" s="293"/>
      <c r="BF229" s="293"/>
      <c r="BG229" s="293"/>
      <c r="BH229" s="293"/>
      <c r="BI229" s="293"/>
      <c r="BJ229" s="293"/>
      <c r="BK229" s="293"/>
      <c r="BL229" s="293"/>
      <c r="BM229" s="293"/>
      <c r="BN229" s="293"/>
      <c r="BO229" s="293"/>
      <c r="BP229" s="293"/>
      <c r="BQ229" s="293"/>
      <c r="BR229" s="293"/>
      <c r="BS229" s="293"/>
      <c r="BT229" s="293"/>
      <c r="BU229" s="293"/>
      <c r="BV229" s="293"/>
      <c r="BW229" s="293"/>
      <c r="BX229" s="293"/>
      <c r="BY229" s="293"/>
      <c r="BZ229" s="293"/>
    </row>
    <row r="230" spans="1:78" s="295" customFormat="1" ht="14.25" customHeight="1" x14ac:dyDescent="0.2">
      <c r="A230" s="458"/>
      <c r="B230" s="451"/>
      <c r="C230" s="452"/>
      <c r="D230" s="453"/>
      <c r="E230" s="534"/>
      <c r="F230" s="453"/>
      <c r="G230" s="534"/>
      <c r="H230" s="456"/>
      <c r="I230" s="446"/>
      <c r="J230" s="446"/>
      <c r="K230" s="457"/>
      <c r="L230" s="447"/>
      <c r="M230" s="445"/>
      <c r="N230" s="455"/>
      <c r="O230" s="445">
        <f ca="1">IF(NOT(ISERROR(MATCH(N230,_xlfn.ANCHORARRAY(#REF!),0))),#REF!&amp;"Por favor no seleccionar los criterios de impacto",N230)</f>
        <v>0</v>
      </c>
      <c r="P230" s="447"/>
      <c r="Q230" s="445"/>
      <c r="R230" s="459"/>
      <c r="S230" s="248">
        <v>4</v>
      </c>
      <c r="T230" s="330"/>
      <c r="U230" s="245"/>
      <c r="V230" s="322" t="str">
        <f t="shared" si="424"/>
        <v/>
      </c>
      <c r="W230" s="323"/>
      <c r="X230" s="323"/>
      <c r="Y230" s="324" t="str">
        <f t="shared" si="425"/>
        <v/>
      </c>
      <c r="Z230" s="323"/>
      <c r="AA230" s="323"/>
      <c r="AB230" s="323"/>
      <c r="AC230" s="325" t="str">
        <f>IFERROR(IF(AND(V229="Probabilidad",V230="Probabilidad"),(AE229-(+AE229*Y230)),IF(AND(V229="Impacto",V230="Probabilidad"),(AE228-(+AE228*Y230)),IF(V230="Impacto",AE229,""))),"")</f>
        <v/>
      </c>
      <c r="AD230" s="326" t="str">
        <f t="shared" si="427"/>
        <v/>
      </c>
      <c r="AE230" s="324" t="str">
        <f t="shared" si="428"/>
        <v/>
      </c>
      <c r="AF230" s="326" t="str">
        <f>IFERROR(IF(AG230="","",IF(AG230&lt;=0.2,"Leve",IF(AG230&lt;=0.4,"Menor",IF(AG230&lt;=0.6,"Moderado",IF(AG230&lt;=0.8,"Mayor","Catastrófico"))))),"")</f>
        <v/>
      </c>
      <c r="AG230" s="324" t="str">
        <f t="shared" si="432"/>
        <v/>
      </c>
      <c r="AH230" s="328" t="str">
        <f t="shared" si="430"/>
        <v/>
      </c>
      <c r="AI230" s="323"/>
      <c r="AJ230" s="249"/>
      <c r="AK230" s="249"/>
      <c r="AL230" s="249"/>
      <c r="AM230" s="249"/>
      <c r="AN230" s="278"/>
      <c r="AO230" s="276"/>
      <c r="AP230" s="276"/>
      <c r="AQ230" s="278"/>
      <c r="AR230" s="211"/>
      <c r="AS230" s="211"/>
      <c r="AT230" s="293"/>
      <c r="AU230" s="293"/>
      <c r="AV230" s="293"/>
      <c r="AW230" s="293"/>
      <c r="AX230" s="293"/>
      <c r="AY230" s="293"/>
      <c r="AZ230" s="293"/>
      <c r="BA230" s="293"/>
      <c r="BB230" s="293"/>
      <c r="BC230" s="293"/>
      <c r="BD230" s="293"/>
      <c r="BE230" s="293"/>
      <c r="BF230" s="293"/>
      <c r="BG230" s="293"/>
      <c r="BH230" s="293"/>
      <c r="BI230" s="293"/>
      <c r="BJ230" s="293"/>
      <c r="BK230" s="293"/>
      <c r="BL230" s="293"/>
      <c r="BM230" s="293"/>
      <c r="BN230" s="293"/>
      <c r="BO230" s="293"/>
      <c r="BP230" s="293"/>
      <c r="BQ230" s="293"/>
      <c r="BR230" s="293"/>
      <c r="BS230" s="293"/>
      <c r="BT230" s="293"/>
      <c r="BU230" s="293"/>
      <c r="BV230" s="293"/>
      <c r="BW230" s="293"/>
      <c r="BX230" s="293"/>
      <c r="BY230" s="293"/>
      <c r="BZ230" s="293"/>
    </row>
    <row r="231" spans="1:78" s="295" customFormat="1" ht="14.25" customHeight="1" x14ac:dyDescent="0.2">
      <c r="A231" s="458"/>
      <c r="B231" s="451"/>
      <c r="C231" s="452"/>
      <c r="D231" s="453"/>
      <c r="E231" s="534"/>
      <c r="F231" s="453"/>
      <c r="G231" s="534"/>
      <c r="H231" s="456"/>
      <c r="I231" s="446"/>
      <c r="J231" s="446"/>
      <c r="K231" s="457"/>
      <c r="L231" s="447"/>
      <c r="M231" s="445"/>
      <c r="N231" s="455"/>
      <c r="O231" s="445">
        <f ca="1">IF(NOT(ISERROR(MATCH(N231,_xlfn.ANCHORARRAY(#REF!),0))),#REF!&amp;"Por favor no seleccionar los criterios de impacto",N231)</f>
        <v>0</v>
      </c>
      <c r="P231" s="447"/>
      <c r="Q231" s="445"/>
      <c r="R231" s="459"/>
      <c r="S231" s="248">
        <v>5</v>
      </c>
      <c r="T231" s="330"/>
      <c r="U231" s="245"/>
      <c r="V231" s="322" t="str">
        <f t="shared" si="424"/>
        <v/>
      </c>
      <c r="W231" s="323"/>
      <c r="X231" s="323"/>
      <c r="Y231" s="324" t="str">
        <f t="shared" si="425"/>
        <v/>
      </c>
      <c r="Z231" s="323"/>
      <c r="AA231" s="323"/>
      <c r="AB231" s="323"/>
      <c r="AC231" s="325" t="str">
        <f>IFERROR(IF(AND(V230="Probabilidad",V231="Probabilidad"),(AE230-(+AE230*Y231)),IF(AND(V230="Impacto",V231="Probabilidad"),(AE229-(+AE229*Y231)),IF(V231="Impacto",AE230,""))),"")</f>
        <v/>
      </c>
      <c r="AD231" s="326" t="str">
        <f t="shared" si="427"/>
        <v/>
      </c>
      <c r="AE231" s="324" t="str">
        <f t="shared" si="428"/>
        <v/>
      </c>
      <c r="AF231" s="326" t="str">
        <f>IFERROR(IF(AG231="","",IF(AG231&lt;=0.2,"Leve",IF(AG231&lt;=0.4,"Menor",IF(AG231&lt;=0.6,"Moderado",IF(AG231&lt;=0.8,"Mayor","Catastrófico"))))),"")</f>
        <v/>
      </c>
      <c r="AG231" s="324" t="str">
        <f t="shared" si="432"/>
        <v/>
      </c>
      <c r="AH231" s="328" t="str">
        <f t="shared" si="430"/>
        <v/>
      </c>
      <c r="AI231" s="323"/>
      <c r="AJ231" s="249"/>
      <c r="AK231" s="249"/>
      <c r="AL231" s="249"/>
      <c r="AM231" s="249"/>
      <c r="AN231" s="278"/>
      <c r="AO231" s="276"/>
      <c r="AP231" s="276"/>
      <c r="AQ231" s="278"/>
      <c r="AR231" s="211"/>
      <c r="AS231" s="211"/>
      <c r="AT231" s="293"/>
      <c r="AU231" s="293"/>
      <c r="AV231" s="293"/>
      <c r="AW231" s="293"/>
      <c r="AX231" s="293"/>
      <c r="AY231" s="293"/>
      <c r="AZ231" s="293"/>
      <c r="BA231" s="293"/>
      <c r="BB231" s="293"/>
      <c r="BC231" s="293"/>
      <c r="BD231" s="293"/>
      <c r="BE231" s="293"/>
      <c r="BF231" s="293"/>
      <c r="BG231" s="293"/>
      <c r="BH231" s="293"/>
      <c r="BI231" s="293"/>
      <c r="BJ231" s="293"/>
      <c r="BK231" s="293"/>
      <c r="BL231" s="293"/>
      <c r="BM231" s="293"/>
      <c r="BN231" s="293"/>
      <c r="BO231" s="293"/>
      <c r="BP231" s="293"/>
      <c r="BQ231" s="293"/>
      <c r="BR231" s="293"/>
      <c r="BS231" s="293"/>
      <c r="BT231" s="293"/>
      <c r="BU231" s="293"/>
      <c r="BV231" s="293"/>
      <c r="BW231" s="293"/>
      <c r="BX231" s="293"/>
      <c r="BY231" s="293"/>
      <c r="BZ231" s="293"/>
    </row>
    <row r="232" spans="1:78" s="295" customFormat="1" ht="14.25" customHeight="1" x14ac:dyDescent="0.2">
      <c r="A232" s="458"/>
      <c r="B232" s="451"/>
      <c r="C232" s="452"/>
      <c r="D232" s="453"/>
      <c r="E232" s="534"/>
      <c r="F232" s="453"/>
      <c r="G232" s="534"/>
      <c r="H232" s="456"/>
      <c r="I232" s="446"/>
      <c r="J232" s="446"/>
      <c r="K232" s="457"/>
      <c r="L232" s="447"/>
      <c r="M232" s="445"/>
      <c r="N232" s="455"/>
      <c r="O232" s="445">
        <f ca="1">IF(NOT(ISERROR(MATCH(N232,_xlfn.ANCHORARRAY(I288),0))),M290&amp;"Por favor no seleccionar los criterios de impacto",N232)</f>
        <v>0</v>
      </c>
      <c r="P232" s="447"/>
      <c r="Q232" s="445"/>
      <c r="R232" s="459"/>
      <c r="S232" s="248">
        <v>6</v>
      </c>
      <c r="T232" s="330"/>
      <c r="U232" s="245"/>
      <c r="V232" s="322" t="str">
        <f t="shared" si="424"/>
        <v/>
      </c>
      <c r="W232" s="323"/>
      <c r="X232" s="323"/>
      <c r="Y232" s="324" t="str">
        <f t="shared" si="425"/>
        <v/>
      </c>
      <c r="Z232" s="323"/>
      <c r="AA232" s="323"/>
      <c r="AB232" s="323"/>
      <c r="AC232" s="325" t="str">
        <f>IFERROR(IF(AND(V231="Probabilidad",V232="Probabilidad"),(AE231-(+AE231*Y232)),IF(AND(V231="Impacto",V232="Probabilidad"),(AE230-(+AE230*Y232)),IF(V232="Impacto",AE231,""))),"")</f>
        <v/>
      </c>
      <c r="AD232" s="326" t="str">
        <f t="shared" si="427"/>
        <v/>
      </c>
      <c r="AE232" s="324" t="str">
        <f t="shared" si="428"/>
        <v/>
      </c>
      <c r="AF232" s="326" t="str">
        <f>IFERROR(IF(AG232="","",IF(AG232&lt;=0.2,"Leve",IF(AG232&lt;=0.4,"Menor",IF(AG232&lt;=0.6,"Moderado",IF(AG232&lt;=0.8,"Mayor","Catastrófico"))))),"")</f>
        <v/>
      </c>
      <c r="AG232" s="324" t="str">
        <f t="shared" si="432"/>
        <v/>
      </c>
      <c r="AH232" s="328" t="str">
        <f t="shared" si="430"/>
        <v/>
      </c>
      <c r="AI232" s="323"/>
      <c r="AJ232" s="249"/>
      <c r="AK232" s="249"/>
      <c r="AL232" s="249"/>
      <c r="AM232" s="249"/>
      <c r="AN232" s="278"/>
      <c r="AO232" s="276"/>
      <c r="AP232" s="276"/>
      <c r="AQ232" s="278"/>
      <c r="AR232" s="211"/>
      <c r="AS232" s="211"/>
      <c r="AT232" s="293"/>
      <c r="AU232" s="293"/>
      <c r="AV232" s="293"/>
      <c r="AW232" s="293"/>
      <c r="AX232" s="293"/>
      <c r="AY232" s="293"/>
      <c r="AZ232" s="293"/>
      <c r="BA232" s="293"/>
      <c r="BB232" s="293"/>
      <c r="BC232" s="293"/>
      <c r="BD232" s="293"/>
      <c r="BE232" s="293"/>
      <c r="BF232" s="293"/>
      <c r="BG232" s="293"/>
      <c r="BH232" s="293"/>
      <c r="BI232" s="293"/>
      <c r="BJ232" s="293"/>
      <c r="BK232" s="293"/>
      <c r="BL232" s="293"/>
      <c r="BM232" s="293"/>
      <c r="BN232" s="293"/>
      <c r="BO232" s="293"/>
      <c r="BP232" s="293"/>
      <c r="BQ232" s="293"/>
      <c r="BR232" s="293"/>
      <c r="BS232" s="293"/>
      <c r="BT232" s="293"/>
      <c r="BU232" s="293"/>
      <c r="BV232" s="293"/>
      <c r="BW232" s="293"/>
      <c r="BX232" s="293"/>
      <c r="BY232" s="293"/>
      <c r="BZ232" s="293"/>
    </row>
    <row r="233" spans="1:78" s="294" customFormat="1" ht="100.5" x14ac:dyDescent="0.2">
      <c r="A233" s="458" t="s">
        <v>682</v>
      </c>
      <c r="B233" s="451" t="s">
        <v>830</v>
      </c>
      <c r="C233" s="452" t="s">
        <v>611</v>
      </c>
      <c r="D233" s="453" t="s">
        <v>624</v>
      </c>
      <c r="E233" s="453" t="s">
        <v>109</v>
      </c>
      <c r="F233" s="454" t="s">
        <v>1056</v>
      </c>
      <c r="G233" s="446" t="s">
        <v>675</v>
      </c>
      <c r="H233" s="536" t="s">
        <v>871</v>
      </c>
      <c r="I233" s="446" t="s">
        <v>660</v>
      </c>
      <c r="J233" s="446" t="s">
        <v>1057</v>
      </c>
      <c r="K233" s="457">
        <v>365</v>
      </c>
      <c r="L233" s="447" t="str">
        <f t="shared" ref="L233" si="433">IF(K233&lt;=0,"",IF(K233&lt;=2,"Muy Baja",IF(K233&lt;=24,"Baja",IF(K233&lt;=500,"Media",IF(K233&lt;=5000,"Alta","Muy Alta")))))</f>
        <v>Media</v>
      </c>
      <c r="M233" s="445">
        <f>IF(L233="","",IF(L233="Muy Baja",0.2,IF(L233="Baja",0.4,IF(L233="Media",0.6,IF(L233="Alta",0.8,IF(L233="Muy Alta",1,))))))</f>
        <v>0.6</v>
      </c>
      <c r="N233" s="455" t="s">
        <v>112</v>
      </c>
      <c r="O233" s="445" t="str">
        <f ca="1">IF(NOT(ISERROR(MATCH(N233,'Tabla Impacto'!$B$221:$B$223,0))),'Tabla Impacto'!$F$223&amp;"Por favor no seleccionar los criterios de impacto(Afectación Económica o presupuestal y Pérdida Reputacional)",N233)</f>
        <v xml:space="preserve">     Afectación menor a 10 SMLMV .</v>
      </c>
      <c r="P233" s="447" t="str">
        <f ca="1">IF(OR(O233='Tabla Impacto'!$C$11,O233='Tabla Impacto'!$D$11),"Leve",IF(OR(O233='Tabla Impacto'!$C$12,O233='Tabla Impacto'!$D$12),"Menor",IF(OR(O233='Tabla Impacto'!$C$13,O233='Tabla Impacto'!$D$13),"Moderado",IF(OR(O233='Tabla Impacto'!$C$14,O233='Tabla Impacto'!$D$14),"Mayor",IF(OR(O233='Tabla Impacto'!$C$15,O233='Tabla Impacto'!$D$15),"Catastrófico","")))))</f>
        <v>Leve</v>
      </c>
      <c r="Q233" s="445">
        <f ca="1">IF(P233="","",IF(P233="Leve",0.2,IF(P233="Menor",0.4,IF(P233="Moderado",0.6,IF(P233="Mayor",0.8,IF(P233="Catastrófico",1,))))))</f>
        <v>0.2</v>
      </c>
      <c r="R233" s="459" t="str">
        <f ca="1">IF(OR(AND(L233="Muy Baja",P233="Leve"),AND(L233="Muy Baja",P233="Menor"),AND(L233="Baja",P233="Leve")),"Bajo",IF(OR(AND(L233="Muy baja",P233="Moderado"),AND(L233="Baja",P233="Menor"),AND(L233="Baja",P233="Moderado"),AND(L233="Media",P233="Leve"),AND(L233="Media",P233="Menor"),AND(L233="Media",P233="Moderado"),AND(L233="Alta",P233="Leve"),AND(L233="Alta",P233="Menor")),"Moderado",IF(OR(AND(L233="Muy Baja",P233="Mayor"),AND(L233="Baja",P233="Mayor"),AND(L233="Media",P233="Mayor"),AND(L233="Alta",P233="Moderado"),AND(L233="Alta",P233="Mayor"),AND(L233="Muy Alta",P233="Leve"),AND(L233="Muy Alta",P233="Menor"),AND(L233="Muy Alta",P233="Moderado"),AND(L233="Muy Alta",P233="Mayor")),"Alto",IF(OR(AND(L233="Muy Baja",P233="Catastrófico"),AND(L233="Baja",P233="Catastrófico"),AND(L233="Media",P233="Catastrófico"),AND(L233="Alta",P233="Catastrófico"),AND(L233="Muy Alta",P233="Catastrófico")),"Extremo",""))))</f>
        <v>Moderado</v>
      </c>
      <c r="S233" s="248">
        <v>1</v>
      </c>
      <c r="T233" s="330" t="s">
        <v>772</v>
      </c>
      <c r="U233" s="245" t="s">
        <v>293</v>
      </c>
      <c r="V233" s="322" t="str">
        <f t="shared" si="424"/>
        <v>Probabilidad</v>
      </c>
      <c r="W233" s="323" t="s">
        <v>13</v>
      </c>
      <c r="X233" s="323" t="s">
        <v>8</v>
      </c>
      <c r="Y233" s="324" t="str">
        <f t="shared" si="425"/>
        <v>40%</v>
      </c>
      <c r="Z233" s="323" t="s">
        <v>18</v>
      </c>
      <c r="AA233" s="323" t="s">
        <v>21</v>
      </c>
      <c r="AB233" s="323" t="s">
        <v>103</v>
      </c>
      <c r="AC233" s="325">
        <f>IFERROR(IF(V233="Probabilidad",(M233-(+M233*Y233)),IF(V233="Impacto",M233,"")),"")</f>
        <v>0.36</v>
      </c>
      <c r="AD233" s="326" t="str">
        <f t="shared" si="427"/>
        <v>Baja</v>
      </c>
      <c r="AE233" s="324">
        <f>+AC233</f>
        <v>0.36</v>
      </c>
      <c r="AF233" s="326" t="str">
        <f ca="1">IFERROR(IF(AG233="","",IF(AG233&lt;=0.2,"Leve",IF(AG233&lt;=0.4,"Menor",IF(AG233&lt;=0.6,"Moderado",IF(AG233&lt;=0.8,"Mayor","Catastrófico"))))),"")</f>
        <v>Leve</v>
      </c>
      <c r="AG233" s="333">
        <f ca="1">IFERROR(IF(V233="Impacto",(Q233-(+Q233*Y233)),IF(V233="Probabilidad",Q233,"")),"")</f>
        <v>0.2</v>
      </c>
      <c r="AH233" s="328" t="str">
        <f ca="1">IFERROR(IF(OR(AND(AD233="Muy Baja",AF233="Leve"),AND(AD233="Muy Baja",AF233="Menor"),AND(AD233="Baja",AF233="Leve")),"Bajo",IF(OR(AND(AD233="Muy baja",AF233="Moderado"),AND(AD233="Baja",AF233="Menor"),AND(AD233="Baja",AF233="Moderado"),AND(AD233="Media",AF233="Leve"),AND(AD233="Media",AF233="Menor"),AND(AD233="Media",AF233="Moderado"),AND(AD233="Alta",AF233="Leve"),AND(AD233="Alta",AF233="Menor")),"Moderado",IF(OR(AND(AD233="Muy Baja",AF233="Mayor"),AND(AD233="Baja",AF233="Mayor"),AND(AD233="Media",AF233="Mayor"),AND(AD233="Alta",AF233="Moderado"),AND(AD233="Alta",AF233="Mayor"),AND(AD233="Muy Alta",AF233="Leve"),AND(AD233="Muy Alta",AF233="Menor"),AND(AD233="Muy Alta",AF233="Moderado"),AND(AD233="Muy Alta",AF233="Mayor")),"Alto",IF(OR(AND(AD233="Muy Baja",AF233="Catastrófico"),AND(AD233="Baja",AF233="Catastrófico"),AND(AD233="Media",AF233="Catastrófico"),AND(AD233="Alta",AF233="Catastrófico"),AND(AD233="Muy Alta",AF233="Catastrófico")),"Extremo","")))),"")</f>
        <v>Bajo</v>
      </c>
      <c r="AI233" s="323" t="s">
        <v>27</v>
      </c>
      <c r="AJ233" s="248">
        <v>12</v>
      </c>
      <c r="AK233" s="248">
        <v>4</v>
      </c>
      <c r="AL233" s="248">
        <v>4</v>
      </c>
      <c r="AM233" s="248">
        <v>4</v>
      </c>
      <c r="AN233" s="248"/>
      <c r="AO233" s="239"/>
      <c r="AP233" s="239"/>
      <c r="AQ233" s="240"/>
      <c r="AR233" s="241"/>
      <c r="AS233" s="241"/>
      <c r="AT233" s="293"/>
      <c r="AU233" s="293"/>
      <c r="AV233" s="293"/>
      <c r="AW233" s="293"/>
      <c r="AX233" s="293"/>
      <c r="AY233" s="293"/>
      <c r="AZ233" s="293"/>
      <c r="BA233" s="293"/>
      <c r="BB233" s="293"/>
      <c r="BC233" s="293"/>
      <c r="BD233" s="293"/>
      <c r="BE233" s="293"/>
      <c r="BF233" s="293"/>
      <c r="BG233" s="293"/>
      <c r="BH233" s="293"/>
      <c r="BI233" s="293"/>
      <c r="BJ233" s="293"/>
      <c r="BK233" s="293"/>
      <c r="BL233" s="293"/>
      <c r="BM233" s="293"/>
      <c r="BN233" s="293"/>
      <c r="BO233" s="293"/>
      <c r="BP233" s="293"/>
      <c r="BQ233" s="293"/>
      <c r="BR233" s="293"/>
      <c r="BS233" s="293"/>
      <c r="BT233" s="293"/>
      <c r="BU233" s="293"/>
      <c r="BV233" s="293"/>
      <c r="BW233" s="293"/>
      <c r="BX233" s="293"/>
      <c r="BY233" s="293"/>
      <c r="BZ233" s="293"/>
    </row>
    <row r="234" spans="1:78" s="295" customFormat="1" ht="236.45" customHeight="1" x14ac:dyDescent="0.2">
      <c r="A234" s="458"/>
      <c r="B234" s="451"/>
      <c r="C234" s="452"/>
      <c r="D234" s="453"/>
      <c r="E234" s="453"/>
      <c r="F234" s="454"/>
      <c r="G234" s="446"/>
      <c r="H234" s="536"/>
      <c r="I234" s="446"/>
      <c r="J234" s="446"/>
      <c r="K234" s="457"/>
      <c r="L234" s="447"/>
      <c r="M234" s="445"/>
      <c r="N234" s="455"/>
      <c r="O234" s="445">
        <f ca="1">IF(NOT(ISERROR(MATCH(N234,_xlfn.ANCHORARRAY(H257),0))),M259&amp;"Por favor no seleccionar los criterios de impacto",N234)</f>
        <v>0</v>
      </c>
      <c r="P234" s="447"/>
      <c r="Q234" s="445"/>
      <c r="R234" s="459"/>
      <c r="S234" s="248">
        <v>2</v>
      </c>
      <c r="T234" s="351" t="s">
        <v>771</v>
      </c>
      <c r="U234" s="350" t="s">
        <v>292</v>
      </c>
      <c r="V234" s="322" t="str">
        <f t="shared" si="424"/>
        <v>Probabilidad</v>
      </c>
      <c r="W234" s="323" t="s">
        <v>13</v>
      </c>
      <c r="X234" s="323" t="s">
        <v>8</v>
      </c>
      <c r="Y234" s="324" t="str">
        <f t="shared" ref="Y234:Y238" si="434">IF(AND(W234="Preventivo",X234="Automático"),"50%",IF(AND(W234="Preventivo",X234="Manual"),"40%",IF(AND(W234="Detectivo",X234="Automático"),"40%",IF(AND(W234="Detectivo",X234="Manual"),"30%",IF(AND(W234="Correctivo",X234="Automático"),"35%",IF(AND(W234="Correctivo",X234="Manual"),"25%",""))))))</f>
        <v>40%</v>
      </c>
      <c r="Z234" s="323" t="s">
        <v>18</v>
      </c>
      <c r="AA234" s="323" t="s">
        <v>21</v>
      </c>
      <c r="AB234" s="323" t="s">
        <v>103</v>
      </c>
      <c r="AC234" s="325">
        <f t="shared" ref="AC234" si="435">IFERROR(IF(AND(V233="Probabilidad",V234="Probabilidad"),(AE233-(+AE233*Y234)),IF(V234="Probabilidad",(M233-(+M233*Y234)),IF(V234="Impacto",AE233,""))),"")</f>
        <v>0.216</v>
      </c>
      <c r="AD234" s="326" t="str">
        <f t="shared" ref="AD234:AD238" si="436">IFERROR(IF(AC234="","",IF(AC234&lt;=0.2,"Muy Baja",IF(AC234&lt;=0.4,"Baja",IF(AC234&lt;=0.6,"Media",IF(AC234&lt;=0.8,"Alta","Muy Alta"))))),"")</f>
        <v>Baja</v>
      </c>
      <c r="AE234" s="324">
        <f t="shared" ref="AE234:AE238" si="437">+AC234</f>
        <v>0.216</v>
      </c>
      <c r="AF234" s="326" t="str">
        <f t="shared" ref="AF234:AF238" ca="1" si="438">IFERROR(IF(AG234="","",IF(AG234&lt;=0.2,"Leve",IF(AG234&lt;=0.4,"Menor",IF(AG234&lt;=0.6,"Moderado",IF(AG234&lt;=0.8,"Mayor","Catastrófico"))))),"")</f>
        <v>Leve</v>
      </c>
      <c r="AG234" s="324">
        <f ca="1">IFERROR(IF(AND(V233="Impacto",V234="Impacto"),(AG233-(+AG233*Y234)),IF(V234="Impacto",($Q$233-(+$Q$233*Y234)),IF(V234="Probabilidad",AG233,""))),"")</f>
        <v>0.2</v>
      </c>
      <c r="AH234" s="328" t="str">
        <f t="shared" ref="AH234:AH235" ca="1" si="439">IFERROR(IF(OR(AND(AD234="Muy Baja",AF234="Leve"),AND(AD234="Muy Baja",AF234="Menor"),AND(AD234="Baja",AF234="Leve")),"Bajo",IF(OR(AND(AD234="Muy baja",AF234="Moderado"),AND(AD234="Baja",AF234="Menor"),AND(AD234="Baja",AF234="Moderado"),AND(AD234="Media",AF234="Leve"),AND(AD234="Media",AF234="Menor"),AND(AD234="Media",AF234="Moderado"),AND(AD234="Alta",AF234="Leve"),AND(AD234="Alta",AF234="Menor")),"Moderado",IF(OR(AND(AD234="Muy Baja",AF234="Mayor"),AND(AD234="Baja",AF234="Mayor"),AND(AD234="Media",AF234="Mayor"),AND(AD234="Alta",AF234="Moderado"),AND(AD234="Alta",AF234="Mayor"),AND(AD234="Muy Alta",AF234="Leve"),AND(AD234="Muy Alta",AF234="Menor"),AND(AD234="Muy Alta",AF234="Moderado"),AND(AD234="Muy Alta",AF234="Mayor")),"Alto",IF(OR(AND(AD234="Muy Baja",AF234="Catastrófico"),AND(AD234="Baja",AF234="Catastrófico"),AND(AD234="Media",AF234="Catastrófico"),AND(AD234="Alta",AF234="Catastrófico"),AND(AD234="Muy Alta",AF234="Catastrófico")),"Extremo","")))),"")</f>
        <v>Bajo</v>
      </c>
      <c r="AI234" s="323" t="s">
        <v>27</v>
      </c>
      <c r="AJ234" s="248">
        <v>4</v>
      </c>
      <c r="AK234" s="248">
        <v>1</v>
      </c>
      <c r="AL234" s="248">
        <v>1</v>
      </c>
      <c r="AM234" s="248">
        <v>2</v>
      </c>
      <c r="AN234" s="248"/>
      <c r="AO234" s="276"/>
      <c r="AP234" s="276"/>
      <c r="AQ234" s="278"/>
      <c r="AR234" s="211"/>
      <c r="AS234" s="211"/>
      <c r="AT234" s="293"/>
      <c r="AU234" s="293"/>
      <c r="AV234" s="293"/>
      <c r="AW234" s="293"/>
      <c r="AX234" s="293"/>
      <c r="AY234" s="293"/>
      <c r="AZ234" s="293"/>
      <c r="BA234" s="293"/>
      <c r="BB234" s="293"/>
      <c r="BC234" s="293"/>
      <c r="BD234" s="293"/>
      <c r="BE234" s="293"/>
      <c r="BF234" s="293"/>
      <c r="BG234" s="293"/>
      <c r="BH234" s="293"/>
      <c r="BI234" s="293"/>
      <c r="BJ234" s="293"/>
      <c r="BK234" s="293"/>
      <c r="BL234" s="293"/>
      <c r="BM234" s="293"/>
      <c r="BN234" s="293"/>
      <c r="BO234" s="293"/>
      <c r="BP234" s="293"/>
      <c r="BQ234" s="293"/>
      <c r="BR234" s="293"/>
      <c r="BS234" s="293"/>
      <c r="BT234" s="293"/>
      <c r="BU234" s="293"/>
      <c r="BV234" s="293"/>
      <c r="BW234" s="293"/>
      <c r="BX234" s="293"/>
      <c r="BY234" s="293"/>
      <c r="BZ234" s="293"/>
    </row>
    <row r="235" spans="1:78" s="295" customFormat="1" ht="104.25" customHeight="1" x14ac:dyDescent="0.2">
      <c r="A235" s="458"/>
      <c r="B235" s="451"/>
      <c r="C235" s="452"/>
      <c r="D235" s="453"/>
      <c r="E235" s="453"/>
      <c r="F235" s="454"/>
      <c r="G235" s="446"/>
      <c r="H235" s="536"/>
      <c r="I235" s="446"/>
      <c r="J235" s="446"/>
      <c r="K235" s="457"/>
      <c r="L235" s="447"/>
      <c r="M235" s="445"/>
      <c r="N235" s="455"/>
      <c r="O235" s="445">
        <f ca="1">IF(NOT(ISERROR(MATCH(N235,_xlfn.ANCHORARRAY(H258),0))),M260&amp;"Por favor no seleccionar los criterios de impacto",N235)</f>
        <v>0</v>
      </c>
      <c r="P235" s="447"/>
      <c r="Q235" s="445"/>
      <c r="R235" s="459"/>
      <c r="S235" s="248">
        <v>3</v>
      </c>
      <c r="T235" s="353" t="s">
        <v>773</v>
      </c>
      <c r="U235" s="350" t="s">
        <v>292</v>
      </c>
      <c r="V235" s="322" t="str">
        <f t="shared" si="424"/>
        <v>Probabilidad</v>
      </c>
      <c r="W235" s="323" t="s">
        <v>13</v>
      </c>
      <c r="X235" s="323" t="s">
        <v>8</v>
      </c>
      <c r="Y235" s="324" t="str">
        <f t="shared" si="434"/>
        <v>40%</v>
      </c>
      <c r="Z235" s="323" t="s">
        <v>18</v>
      </c>
      <c r="AA235" s="323" t="s">
        <v>21</v>
      </c>
      <c r="AB235" s="323" t="s">
        <v>103</v>
      </c>
      <c r="AC235" s="325">
        <f t="shared" ref="AC235:AC238" si="440">IFERROR(IF(AND(V234="Probabilidad",V235="Probabilidad"),(AE234-(+AE234*Y235)),IF(AND(V234="Impacto",V235="Probabilidad"),(AE233-(+AE233*Y235)),IF(V235="Impacto",AE234,""))),"")</f>
        <v>0.12959999999999999</v>
      </c>
      <c r="AD235" s="326" t="str">
        <f t="shared" si="436"/>
        <v>Muy Baja</v>
      </c>
      <c r="AE235" s="324">
        <f t="shared" si="437"/>
        <v>0.12959999999999999</v>
      </c>
      <c r="AF235" s="326" t="str">
        <f t="shared" ca="1" si="438"/>
        <v>Leve</v>
      </c>
      <c r="AG235" s="324">
        <f t="shared" ref="AG235:AG238" ca="1" si="441">IFERROR(IF(AND(V234="Impacto",V235="Impacto"),(AG234-(+AG234*Y235)),IF(V235="Impacto",($Q$233-(+$Q$233*Y235)),IF(V235="Probabilidad",AG234,""))),"")</f>
        <v>0.2</v>
      </c>
      <c r="AH235" s="328" t="str">
        <f t="shared" ca="1" si="439"/>
        <v>Bajo</v>
      </c>
      <c r="AI235" s="323" t="s">
        <v>27</v>
      </c>
      <c r="AJ235" s="248">
        <v>12</v>
      </c>
      <c r="AK235" s="248">
        <v>4</v>
      </c>
      <c r="AL235" s="248">
        <v>4</v>
      </c>
      <c r="AM235" s="248">
        <v>4</v>
      </c>
      <c r="AN235" s="248"/>
      <c r="AO235" s="276"/>
      <c r="AP235" s="276"/>
      <c r="AQ235" s="278"/>
      <c r="AR235" s="211"/>
      <c r="AS235" s="211"/>
      <c r="AT235" s="293"/>
      <c r="AU235" s="293"/>
      <c r="AV235" s="293"/>
      <c r="AW235" s="293"/>
      <c r="AX235" s="293"/>
      <c r="AY235" s="293"/>
      <c r="AZ235" s="293"/>
      <c r="BA235" s="293"/>
      <c r="BB235" s="293"/>
      <c r="BC235" s="293"/>
      <c r="BD235" s="293"/>
      <c r="BE235" s="293"/>
      <c r="BF235" s="293"/>
      <c r="BG235" s="293"/>
      <c r="BH235" s="293"/>
      <c r="BI235" s="293"/>
      <c r="BJ235" s="293"/>
      <c r="BK235" s="293"/>
      <c r="BL235" s="293"/>
      <c r="BM235" s="293"/>
      <c r="BN235" s="293"/>
      <c r="BO235" s="293"/>
      <c r="BP235" s="293"/>
      <c r="BQ235" s="293"/>
      <c r="BR235" s="293"/>
      <c r="BS235" s="293"/>
      <c r="BT235" s="293"/>
      <c r="BU235" s="293"/>
      <c r="BV235" s="293"/>
      <c r="BW235" s="293"/>
      <c r="BX235" s="293"/>
      <c r="BY235" s="293"/>
      <c r="BZ235" s="293"/>
    </row>
    <row r="236" spans="1:78" s="295" customFormat="1" ht="6.75" customHeight="1" x14ac:dyDescent="0.2">
      <c r="A236" s="458"/>
      <c r="B236" s="451"/>
      <c r="C236" s="452"/>
      <c r="D236" s="453"/>
      <c r="E236" s="453"/>
      <c r="F236" s="454"/>
      <c r="G236" s="446"/>
      <c r="H236" s="536"/>
      <c r="I236" s="446"/>
      <c r="J236" s="446"/>
      <c r="K236" s="457"/>
      <c r="L236" s="447"/>
      <c r="M236" s="445"/>
      <c r="N236" s="455"/>
      <c r="O236" s="445">
        <f ca="1">IF(NOT(ISERROR(MATCH(N236,_xlfn.ANCHORARRAY(H259),0))),M261&amp;"Por favor no seleccionar los criterios de impacto",N236)</f>
        <v>0</v>
      </c>
      <c r="P236" s="447"/>
      <c r="Q236" s="445"/>
      <c r="R236" s="459"/>
      <c r="S236" s="248">
        <v>4</v>
      </c>
      <c r="T236" s="330"/>
      <c r="U236" s="245"/>
      <c r="V236" s="322" t="str">
        <f t="shared" ref="V236:V238" si="442">IF(OR(W236="Preventivo",W236="Detectivo"),"Probabilidad",IF(W236="Correctivo","Impacto",""))</f>
        <v/>
      </c>
      <c r="W236" s="323"/>
      <c r="X236" s="323"/>
      <c r="Y236" s="324" t="str">
        <f t="shared" si="434"/>
        <v/>
      </c>
      <c r="Z236" s="323"/>
      <c r="AA236" s="323"/>
      <c r="AB236" s="323"/>
      <c r="AC236" s="325" t="str">
        <f t="shared" si="440"/>
        <v/>
      </c>
      <c r="AD236" s="326" t="str">
        <f t="shared" si="436"/>
        <v/>
      </c>
      <c r="AE236" s="324" t="str">
        <f t="shared" si="437"/>
        <v/>
      </c>
      <c r="AF236" s="326" t="str">
        <f t="shared" si="438"/>
        <v/>
      </c>
      <c r="AG236" s="324" t="str">
        <f t="shared" si="441"/>
        <v/>
      </c>
      <c r="AH236" s="328" t="str">
        <f>IFERROR(IF(OR(AND(AD236="Muy Baja",AF236="Leve"),AND(AD236="Muy Baja",AF236="Menor"),AND(AD236="Baja",AF236="Leve")),"Bajo",IF(OR(AND(AD236="Muy baja",AF236="Moderado"),AND(AD236="Baja",AF236="Menor"),AND(AD236="Baja",AF236="Moderado"),AND(AD236="Media",AF236="Leve"),AND(AD236="Media",AF236="Menor"),AND(AD236="Media",AF236="Moderado"),AND(AD236="Alta",AF236="Leve"),AND(AD236="Alta",AF236="Menor")),"Moderado",IF(OR(AND(AD236="Muy Baja",AF236="Mayor"),AND(AD236="Baja",AF236="Mayor"),AND(AD236="Media",AF236="Mayor"),AND(AD236="Alta",AF236="Moderado"),AND(AD236="Alta",AF236="Mayor"),AND(AD236="Muy Alta",AF236="Leve"),AND(AD236="Muy Alta",AF236="Menor"),AND(AD236="Muy Alta",AF236="Moderado"),AND(AD236="Muy Alta",AF236="Mayor")),"Alto",IF(OR(AND(AD236="Muy Baja",AF236="Catastrófico"),AND(AD236="Baja",AF236="Catastrófico"),AND(AD236="Media",AF236="Catastrófico"),AND(AD236="Alta",AF236="Catastrófico"),AND(AD236="Muy Alta",AF236="Catastrófico")),"Extremo","")))),"")</f>
        <v/>
      </c>
      <c r="AI236" s="323"/>
      <c r="AJ236" s="248"/>
      <c r="AK236" s="248"/>
      <c r="AL236" s="248"/>
      <c r="AM236" s="248"/>
      <c r="AN236" s="248"/>
      <c r="AO236" s="276"/>
      <c r="AP236" s="276"/>
      <c r="AQ236" s="278"/>
      <c r="AR236" s="211"/>
      <c r="AS236" s="211"/>
      <c r="AT236" s="293"/>
      <c r="AU236" s="293"/>
      <c r="AV236" s="293"/>
      <c r="AW236" s="293"/>
      <c r="AX236" s="293"/>
      <c r="AY236" s="293"/>
      <c r="AZ236" s="293"/>
      <c r="BA236" s="293"/>
      <c r="BB236" s="293"/>
      <c r="BC236" s="293"/>
      <c r="BD236" s="293"/>
      <c r="BE236" s="293"/>
      <c r="BF236" s="293"/>
      <c r="BG236" s="293"/>
      <c r="BH236" s="293"/>
      <c r="BI236" s="293"/>
      <c r="BJ236" s="293"/>
      <c r="BK236" s="293"/>
      <c r="BL236" s="293"/>
      <c r="BM236" s="293"/>
      <c r="BN236" s="293"/>
      <c r="BO236" s="293"/>
      <c r="BP236" s="293"/>
      <c r="BQ236" s="293"/>
      <c r="BR236" s="293"/>
      <c r="BS236" s="293"/>
      <c r="BT236" s="293"/>
      <c r="BU236" s="293"/>
      <c r="BV236" s="293"/>
      <c r="BW236" s="293"/>
      <c r="BX236" s="293"/>
      <c r="BY236" s="293"/>
      <c r="BZ236" s="293"/>
    </row>
    <row r="237" spans="1:78" s="295" customFormat="1" ht="6.75" customHeight="1" x14ac:dyDescent="0.2">
      <c r="A237" s="458"/>
      <c r="B237" s="451"/>
      <c r="C237" s="452"/>
      <c r="D237" s="453"/>
      <c r="E237" s="453"/>
      <c r="F237" s="454"/>
      <c r="G237" s="446"/>
      <c r="H237" s="536"/>
      <c r="I237" s="446"/>
      <c r="J237" s="446"/>
      <c r="K237" s="457"/>
      <c r="L237" s="447"/>
      <c r="M237" s="445"/>
      <c r="N237" s="455"/>
      <c r="O237" s="445">
        <f ca="1">IF(NOT(ISERROR(MATCH(N237,_xlfn.ANCHORARRAY(H260),0))),M262&amp;"Por favor no seleccionar los criterios de impacto",N237)</f>
        <v>0</v>
      </c>
      <c r="P237" s="447"/>
      <c r="Q237" s="445"/>
      <c r="R237" s="459"/>
      <c r="S237" s="248">
        <v>5</v>
      </c>
      <c r="T237" s="330"/>
      <c r="U237" s="245"/>
      <c r="V237" s="322" t="str">
        <f t="shared" si="442"/>
        <v/>
      </c>
      <c r="W237" s="323"/>
      <c r="X237" s="323"/>
      <c r="Y237" s="324" t="str">
        <f t="shared" si="434"/>
        <v/>
      </c>
      <c r="Z237" s="323"/>
      <c r="AA237" s="323"/>
      <c r="AB237" s="323"/>
      <c r="AC237" s="325" t="str">
        <f t="shared" si="440"/>
        <v/>
      </c>
      <c r="AD237" s="326" t="str">
        <f t="shared" si="436"/>
        <v/>
      </c>
      <c r="AE237" s="324" t="str">
        <f t="shared" si="437"/>
        <v/>
      </c>
      <c r="AF237" s="326" t="str">
        <f t="shared" si="438"/>
        <v/>
      </c>
      <c r="AG237" s="324" t="str">
        <f t="shared" si="441"/>
        <v/>
      </c>
      <c r="AH237" s="328" t="str">
        <f t="shared" ref="AH237:AH238" si="443">IFERROR(IF(OR(AND(AD237="Muy Baja",AF237="Leve"),AND(AD237="Muy Baja",AF237="Menor"),AND(AD237="Baja",AF237="Leve")),"Bajo",IF(OR(AND(AD237="Muy baja",AF237="Moderado"),AND(AD237="Baja",AF237="Menor"),AND(AD237="Baja",AF237="Moderado"),AND(AD237="Media",AF237="Leve"),AND(AD237="Media",AF237="Menor"),AND(AD237="Media",AF237="Moderado"),AND(AD237="Alta",AF237="Leve"),AND(AD237="Alta",AF237="Menor")),"Moderado",IF(OR(AND(AD237="Muy Baja",AF237="Mayor"),AND(AD237="Baja",AF237="Mayor"),AND(AD237="Media",AF237="Mayor"),AND(AD237="Alta",AF237="Moderado"),AND(AD237="Alta",AF237="Mayor"),AND(AD237="Muy Alta",AF237="Leve"),AND(AD237="Muy Alta",AF237="Menor"),AND(AD237="Muy Alta",AF237="Moderado"),AND(AD237="Muy Alta",AF237="Mayor")),"Alto",IF(OR(AND(AD237="Muy Baja",AF237="Catastrófico"),AND(AD237="Baja",AF237="Catastrófico"),AND(AD237="Media",AF237="Catastrófico"),AND(AD237="Alta",AF237="Catastrófico"),AND(AD237="Muy Alta",AF237="Catastrófico")),"Extremo","")))),"")</f>
        <v/>
      </c>
      <c r="AI237" s="323"/>
      <c r="AJ237" s="248"/>
      <c r="AK237" s="248"/>
      <c r="AL237" s="248"/>
      <c r="AM237" s="248"/>
      <c r="AN237" s="248"/>
      <c r="AO237" s="276"/>
      <c r="AP237" s="276"/>
      <c r="AQ237" s="278"/>
      <c r="AR237" s="211"/>
      <c r="AS237" s="211"/>
      <c r="AT237" s="293"/>
      <c r="AU237" s="293"/>
      <c r="AV237" s="293"/>
      <c r="AW237" s="293"/>
      <c r="AX237" s="293"/>
      <c r="AY237" s="293"/>
      <c r="AZ237" s="293"/>
      <c r="BA237" s="293"/>
      <c r="BB237" s="293"/>
      <c r="BC237" s="293"/>
      <c r="BD237" s="293"/>
      <c r="BE237" s="293"/>
      <c r="BF237" s="293"/>
      <c r="BG237" s="293"/>
      <c r="BH237" s="293"/>
      <c r="BI237" s="293"/>
      <c r="BJ237" s="293"/>
      <c r="BK237" s="293"/>
      <c r="BL237" s="293"/>
      <c r="BM237" s="293"/>
      <c r="BN237" s="293"/>
      <c r="BO237" s="293"/>
      <c r="BP237" s="293"/>
      <c r="BQ237" s="293"/>
      <c r="BR237" s="293"/>
      <c r="BS237" s="293"/>
      <c r="BT237" s="293"/>
      <c r="BU237" s="293"/>
      <c r="BV237" s="293"/>
      <c r="BW237" s="293"/>
      <c r="BX237" s="293"/>
      <c r="BY237" s="293"/>
      <c r="BZ237" s="293"/>
    </row>
    <row r="238" spans="1:78" s="295" customFormat="1" ht="6.75" customHeight="1" x14ac:dyDescent="0.2">
      <c r="A238" s="458"/>
      <c r="B238" s="451"/>
      <c r="C238" s="452"/>
      <c r="D238" s="453"/>
      <c r="E238" s="453"/>
      <c r="F238" s="454"/>
      <c r="G238" s="446"/>
      <c r="H238" s="536"/>
      <c r="I238" s="446"/>
      <c r="J238" s="446"/>
      <c r="K238" s="457"/>
      <c r="L238" s="447"/>
      <c r="M238" s="445"/>
      <c r="N238" s="455"/>
      <c r="O238" s="445">
        <f ca="1">IF(NOT(ISERROR(MATCH(N238,_xlfn.ANCHORARRAY(H261),0))),#REF!&amp;"Por favor no seleccionar los criterios de impacto",N238)</f>
        <v>0</v>
      </c>
      <c r="P238" s="447"/>
      <c r="Q238" s="445"/>
      <c r="R238" s="459"/>
      <c r="S238" s="248">
        <v>6</v>
      </c>
      <c r="T238" s="330"/>
      <c r="U238" s="245"/>
      <c r="V238" s="322" t="str">
        <f t="shared" si="442"/>
        <v/>
      </c>
      <c r="W238" s="323"/>
      <c r="X238" s="323"/>
      <c r="Y238" s="324" t="str">
        <f t="shared" si="434"/>
        <v/>
      </c>
      <c r="Z238" s="323"/>
      <c r="AA238" s="323"/>
      <c r="AB238" s="323"/>
      <c r="AC238" s="325" t="str">
        <f t="shared" si="440"/>
        <v/>
      </c>
      <c r="AD238" s="326" t="str">
        <f t="shared" si="436"/>
        <v/>
      </c>
      <c r="AE238" s="324" t="str">
        <f t="shared" si="437"/>
        <v/>
      </c>
      <c r="AF238" s="326" t="str">
        <f t="shared" si="438"/>
        <v/>
      </c>
      <c r="AG238" s="324" t="str">
        <f t="shared" si="441"/>
        <v/>
      </c>
      <c r="AH238" s="328" t="str">
        <f t="shared" si="443"/>
        <v/>
      </c>
      <c r="AI238" s="323"/>
      <c r="AJ238" s="249"/>
      <c r="AK238" s="249"/>
      <c r="AL238" s="249"/>
      <c r="AM238" s="249"/>
      <c r="AN238" s="278"/>
      <c r="AO238" s="276"/>
      <c r="AP238" s="276"/>
      <c r="AQ238" s="278"/>
      <c r="AR238" s="211"/>
      <c r="AS238" s="211"/>
      <c r="AT238" s="293"/>
      <c r="AU238" s="293"/>
      <c r="AV238" s="293"/>
      <c r="AW238" s="293"/>
      <c r="AX238" s="293"/>
      <c r="AY238" s="293"/>
      <c r="AZ238" s="293"/>
      <c r="BA238" s="293"/>
      <c r="BB238" s="293"/>
      <c r="BC238" s="293"/>
      <c r="BD238" s="293"/>
      <c r="BE238" s="293"/>
      <c r="BF238" s="293"/>
      <c r="BG238" s="293"/>
      <c r="BH238" s="293"/>
      <c r="BI238" s="293"/>
      <c r="BJ238" s="293"/>
      <c r="BK238" s="293"/>
      <c r="BL238" s="293"/>
      <c r="BM238" s="293"/>
      <c r="BN238" s="293"/>
      <c r="BO238" s="293"/>
      <c r="BP238" s="293"/>
      <c r="BQ238" s="293"/>
      <c r="BR238" s="293"/>
      <c r="BS238" s="293"/>
      <c r="BT238" s="293"/>
      <c r="BU238" s="293"/>
      <c r="BV238" s="293"/>
      <c r="BW238" s="293"/>
      <c r="BX238" s="293"/>
      <c r="BY238" s="293"/>
      <c r="BZ238" s="293"/>
    </row>
    <row r="239" spans="1:78" s="294" customFormat="1" ht="128.25" x14ac:dyDescent="0.2">
      <c r="A239" s="458" t="s">
        <v>683</v>
      </c>
      <c r="B239" s="451" t="s">
        <v>830</v>
      </c>
      <c r="C239" s="452" t="s">
        <v>611</v>
      </c>
      <c r="D239" s="453" t="s">
        <v>624</v>
      </c>
      <c r="E239" s="454" t="s">
        <v>107</v>
      </c>
      <c r="F239" s="454" t="s">
        <v>914</v>
      </c>
      <c r="G239" s="446" t="s">
        <v>675</v>
      </c>
      <c r="H239" s="446" t="s">
        <v>1058</v>
      </c>
      <c r="I239" s="446" t="s">
        <v>654</v>
      </c>
      <c r="J239" s="446" t="s">
        <v>915</v>
      </c>
      <c r="K239" s="457">
        <v>500</v>
      </c>
      <c r="L239" s="447" t="str">
        <f t="shared" ref="L239" si="444">IF(K239&lt;=0,"",IF(K239&lt;=2,"Muy Baja",IF(K239&lt;=24,"Baja",IF(K239&lt;=500,"Media",IF(K239&lt;=5000,"Alta","Muy Alta")))))</f>
        <v>Media</v>
      </c>
      <c r="M239" s="445">
        <f>IF(L239="","",IF(L239="Muy Baja",0.2,IF(L239="Baja",0.4,IF(L239="Media",0.6,IF(L239="Alta",0.8,IF(L239="Muy Alta",1,))))))</f>
        <v>0.6</v>
      </c>
      <c r="N239" s="455" t="s">
        <v>1022</v>
      </c>
      <c r="O239" s="445" t="str">
        <f ca="1">IF(NOT(ISERROR(MATCH(N239,'Tabla Impacto'!$B$221:$B$223,0))),'Tabla Impacto'!$F$223&amp;"Por favor no seleccionar los criterios de impacto(Afectación Económica o presupuestal y Pérdida Reputacional)",N239)</f>
        <v xml:space="preserve">     El riesgo afecta la imagen de la entidad internamente, de conocimiento general, nivel interno, de junta directiva y accionistas y/o de proveedores</v>
      </c>
      <c r="P239" s="447" t="s">
        <v>1100</v>
      </c>
      <c r="Q239" s="445">
        <f>IF(P239="","",IF(P239="Leve",0.2,IF(P239="Menor",0.4,IF(P239="Moderado",0.6,IF(P239="Mayor",0.8,IF(P239="Catastrófico",1,))))))</f>
        <v>0.4</v>
      </c>
      <c r="R239" s="459" t="str">
        <f>IF(OR(AND(L239="Muy Baja",P239="Leve"),AND(L239="Muy Baja",P239="Menor"),AND(L239="Baja",P239="Leve")),"Bajo",IF(OR(AND(L239="Muy baja",P239="Moderado"),AND(L239="Baja",P239="Menor"),AND(L239="Baja",P239="Moderado"),AND(L239="Media",P239="Leve"),AND(L239="Media",P239="Menor"),AND(L239="Media",P239="Moderado"),AND(L239="Alta",P239="Leve"),AND(L239="Alta",P239="Menor")),"Moderado",IF(OR(AND(L239="Muy Baja",P239="Mayor"),AND(L239="Baja",P239="Mayor"),AND(L239="Media",P239="Mayor"),AND(L239="Alta",P239="Moderado"),AND(L239="Alta",P239="Mayor"),AND(L239="Muy Alta",P239="Leve"),AND(L239="Muy Alta",P239="Menor"),AND(L239="Muy Alta",P239="Moderado"),AND(L239="Muy Alta",P239="Mayor")),"Alto",IF(OR(AND(L239="Muy Baja",P239="Catastrófico"),AND(L239="Baja",P239="Catastrófico"),AND(L239="Media",P239="Catastrófico"),AND(L239="Alta",P239="Catastrófico"),AND(L239="Muy Alta",P239="Catastrófico")),"Extremo",""))))</f>
        <v>Moderado</v>
      </c>
      <c r="S239" s="248">
        <v>1</v>
      </c>
      <c r="T239" s="321" t="s">
        <v>684</v>
      </c>
      <c r="U239" s="245" t="s">
        <v>293</v>
      </c>
      <c r="V239" s="322" t="str">
        <f>IF(OR(W239="Preventivo",W239="Detectivo"),"Probabilidad",IF(W239="Correctivo","Impacto",""))</f>
        <v>Probabilidad</v>
      </c>
      <c r="W239" s="323" t="s">
        <v>13</v>
      </c>
      <c r="X239" s="323" t="s">
        <v>8</v>
      </c>
      <c r="Y239" s="324" t="str">
        <f t="shared" ref="Y239:Y286" si="445">IF(AND(W239="Preventivo",X239="Automático"),"50%",IF(AND(W239="Preventivo",X239="Manual"),"40%",IF(AND(W239="Detectivo",X239="Automático"),"40%",IF(AND(W239="Detectivo",X239="Manual"),"30%",IF(AND(W239="Correctivo",X239="Automático"),"35%",IF(AND(W239="Correctivo",X239="Manual"),"25%",""))))))</f>
        <v>40%</v>
      </c>
      <c r="Z239" s="323" t="s">
        <v>18</v>
      </c>
      <c r="AA239" s="323" t="s">
        <v>21</v>
      </c>
      <c r="AB239" s="323" t="s">
        <v>103</v>
      </c>
      <c r="AC239" s="325">
        <f>IFERROR(IF(V239="Probabilidad",(M239-(+M239*Y239)),IF(V239="Impacto",M239,"")),"")</f>
        <v>0.36</v>
      </c>
      <c r="AD239" s="326" t="str">
        <f>IFERROR(IF(AC239="","",IF(AC239&lt;=0.2,"Muy Baja",IF(AC239&lt;=0.4,"Baja",IF(AC239&lt;=0.6,"Media",IF(AC239&lt;=0.8,"Alta","Muy Alta"))))),"")</f>
        <v>Baja</v>
      </c>
      <c r="AE239" s="324">
        <f>+AC239</f>
        <v>0.36</v>
      </c>
      <c r="AF239" s="326" t="str">
        <f>IFERROR(IF(AG239="","",IF(AG239&lt;=0.2,"Leve",IF(AG239&lt;=0.4,"Menor",IF(AG239&lt;=0.6,"Moderado",IF(AG239&lt;=0.8,"Mayor","Catastrófico"))))),"")</f>
        <v>Menor</v>
      </c>
      <c r="AG239" s="324">
        <f>IFERROR(IF(V239="Impacto",(Q239-(+Q239*Y239)),IF(V239="Probabilidad",Q239,"")),"")</f>
        <v>0.4</v>
      </c>
      <c r="AH239" s="328" t="str">
        <f>IFERROR(IF(OR(AND(AD239="Muy Baja",AF239="Leve"),AND(AD239="Muy Baja",AF239="Menor"),AND(AD239="Baja",AF239="Leve")),"Bajo",IF(OR(AND(AD239="Muy baja",AF239="Moderado"),AND(AD239="Baja",AF239="Menor"),AND(AD239="Baja",AF239="Moderado"),AND(AD239="Media",AF239="Leve"),AND(AD239="Media",AF239="Menor"),AND(AD239="Media",AF239="Moderado"),AND(AD239="Alta",AF239="Leve"),AND(AD239="Alta",AF239="Menor")),"Moderado",IF(OR(AND(AD239="Muy Baja",AF239="Mayor"),AND(AD239="Baja",AF239="Mayor"),AND(AD239="Media",AF239="Mayor"),AND(AD239="Alta",AF239="Moderado"),AND(AD239="Alta",AF239="Mayor"),AND(AD239="Muy Alta",AF239="Leve"),AND(AD239="Muy Alta",AF239="Menor"),AND(AD239="Muy Alta",AF239="Moderado"),AND(AD239="Muy Alta",AF239="Mayor")),"Alto",IF(OR(AND(AD239="Muy Baja",AF239="Catastrófico"),AND(AD239="Baja",AF239="Catastrófico"),AND(AD239="Media",AF239="Catastrófico"),AND(AD239="Alta",AF239="Catastrófico"),AND(AD239="Muy Alta",AF239="Catastrófico")),"Extremo","")))),"")</f>
        <v>Moderado</v>
      </c>
      <c r="AI239" s="323" t="s">
        <v>26</v>
      </c>
      <c r="AJ239" s="248">
        <v>4</v>
      </c>
      <c r="AK239" s="248">
        <v>1</v>
      </c>
      <c r="AL239" s="248">
        <v>1</v>
      </c>
      <c r="AM239" s="248">
        <v>2</v>
      </c>
      <c r="AN239" s="248"/>
      <c r="AO239" s="239"/>
      <c r="AP239" s="239"/>
      <c r="AQ239" s="240"/>
      <c r="AR239" s="241"/>
      <c r="AS239" s="241"/>
      <c r="AT239" s="293"/>
      <c r="AU239" s="293"/>
      <c r="AV239" s="293"/>
      <c r="AW239" s="293"/>
      <c r="AX239" s="293"/>
      <c r="AY239" s="293"/>
      <c r="AZ239" s="293"/>
      <c r="BA239" s="293"/>
      <c r="BB239" s="293"/>
      <c r="BC239" s="293"/>
      <c r="BD239" s="293"/>
      <c r="BE239" s="293"/>
      <c r="BF239" s="293"/>
      <c r="BG239" s="293"/>
      <c r="BH239" s="293"/>
      <c r="BI239" s="293"/>
      <c r="BJ239" s="293"/>
      <c r="BK239" s="293"/>
      <c r="BL239" s="293"/>
      <c r="BM239" s="293"/>
      <c r="BN239" s="293"/>
      <c r="BO239" s="293"/>
      <c r="BP239" s="293"/>
      <c r="BQ239" s="293"/>
      <c r="BR239" s="293"/>
      <c r="BS239" s="293"/>
      <c r="BT239" s="293"/>
      <c r="BU239" s="293"/>
      <c r="BV239" s="293"/>
      <c r="BW239" s="293"/>
      <c r="BX239" s="293"/>
      <c r="BY239" s="293"/>
      <c r="BZ239" s="293"/>
    </row>
    <row r="240" spans="1:78" s="295" customFormat="1" ht="85.5" x14ac:dyDescent="0.2">
      <c r="A240" s="458"/>
      <c r="B240" s="451"/>
      <c r="C240" s="452"/>
      <c r="D240" s="453"/>
      <c r="E240" s="454"/>
      <c r="F240" s="454"/>
      <c r="G240" s="446"/>
      <c r="H240" s="446"/>
      <c r="I240" s="446"/>
      <c r="J240" s="446"/>
      <c r="K240" s="457"/>
      <c r="L240" s="447"/>
      <c r="M240" s="445"/>
      <c r="N240" s="455"/>
      <c r="O240" s="445">
        <f ca="1">IF(NOT(ISERROR(MATCH(N240,_xlfn.ANCHORARRAY(#REF!),0))),#REF!&amp;"Por favor no seleccionar los criterios de impacto",N240)</f>
        <v>0</v>
      </c>
      <c r="P240" s="447"/>
      <c r="Q240" s="445"/>
      <c r="R240" s="459"/>
      <c r="S240" s="248">
        <v>2</v>
      </c>
      <c r="T240" s="330" t="s">
        <v>693</v>
      </c>
      <c r="U240" s="245" t="s">
        <v>293</v>
      </c>
      <c r="V240" s="322" t="str">
        <f>IF(OR(W240="Preventivo",W240="Detectivo"),"Probabilidad",IF(W240="Correctivo","Impacto",""))</f>
        <v>Probabilidad</v>
      </c>
      <c r="W240" s="323" t="s">
        <v>13</v>
      </c>
      <c r="X240" s="323" t="s">
        <v>8</v>
      </c>
      <c r="Y240" s="324" t="str">
        <f t="shared" si="445"/>
        <v>40%</v>
      </c>
      <c r="Z240" s="323" t="s">
        <v>18</v>
      </c>
      <c r="AA240" s="323" t="s">
        <v>21</v>
      </c>
      <c r="AB240" s="323" t="s">
        <v>103</v>
      </c>
      <c r="AC240" s="325">
        <f t="shared" ref="AC240" si="446">IFERROR(IF(AND(V239="Probabilidad",V240="Probabilidad"),(AE239-(+AE239*Y240)),IF(V240="Probabilidad",(M239-(+M239*Y240)),IF(V240="Impacto",AE239,""))),"")</f>
        <v>0.216</v>
      </c>
      <c r="AD240" s="326" t="str">
        <f t="shared" ref="AD240:AD286" si="447">IFERROR(IF(AC240="","",IF(AC240&lt;=0.2,"Muy Baja",IF(AC240&lt;=0.4,"Baja",IF(AC240&lt;=0.6,"Media",IF(AC240&lt;=0.8,"Alta","Muy Alta"))))),"")</f>
        <v>Baja</v>
      </c>
      <c r="AE240" s="324">
        <f t="shared" ref="AE240:AE244" si="448">+AC240</f>
        <v>0.216</v>
      </c>
      <c r="AF240" s="326" t="str">
        <f t="shared" ref="AF240:AF286" si="449">IFERROR(IF(AG240="","",IF(AG240&lt;=0.2,"Leve",IF(AG240&lt;=0.4,"Menor",IF(AG240&lt;=0.6,"Moderado",IF(AG240&lt;=0.8,"Mayor","Catastrófico"))))),"")</f>
        <v>Menor</v>
      </c>
      <c r="AG240" s="324">
        <f>IFERROR(IF(AND(V239="Impacto",V240="Impacto"),(AG239-(+AG239*Y240)),IF(V240="Impacto",($Q$239-(+$Q$239*Y240)),IF(V240="Probabilidad",AG239,""))),"")</f>
        <v>0.4</v>
      </c>
      <c r="AH240" s="328" t="str">
        <f>IFERROR(IF(OR(AND(AD240="Muy Baja",AF240="Leve"),AND(AD240="Muy Baja",AF240="Menor"),AND(AD240="Baja",AF240="Leve")),"Bajo",IF(OR(AND(AD240="Muy baja",AF240="Moderado"),AND(AD240="Baja",AF240="Menor"),AND(AD240="Baja",AF240="Moderado"),AND(AD240="Media",AF240="Leve"),AND(AD240="Media",AF240="Menor"),AND(AD240="Media",AF240="Moderado"),AND(AD240="Alta",AF240="Leve"),AND(AD240="Alta",AF240="Menor")),"Moderado",IF(OR(AND(AD240="Muy Baja",AF240="Mayor"),AND(AD240="Baja",AF240="Mayor"),AND(AD240="Media",AF240="Mayor"),AND(AD240="Alta",AF240="Moderado"),AND(AD240="Alta",AF240="Mayor"),AND(AD240="Muy Alta",AF240="Leve"),AND(AD240="Muy Alta",AF240="Menor"),AND(AD240="Muy Alta",AF240="Moderado"),AND(AD240="Muy Alta",AF240="Mayor")),"Alto",IF(OR(AND(AD240="Muy Baja",AF240="Catastrófico"),AND(AD240="Baja",AF240="Catastrófico"),AND(AD240="Media",AF240="Catastrófico"),AND(AD240="Alta",AF240="Catastrófico"),AND(AD240="Muy Alta",AF240="Catastrófico")),"Extremo","")))),"")</f>
        <v>Moderado</v>
      </c>
      <c r="AI240" s="323" t="s">
        <v>26</v>
      </c>
      <c r="AJ240" s="248">
        <v>2</v>
      </c>
      <c r="AK240" s="248">
        <v>0</v>
      </c>
      <c r="AL240" s="248">
        <v>1</v>
      </c>
      <c r="AM240" s="248">
        <v>1</v>
      </c>
      <c r="AN240" s="248"/>
      <c r="AO240" s="276"/>
      <c r="AP240" s="276"/>
      <c r="AQ240" s="278"/>
      <c r="AR240" s="211"/>
      <c r="AS240" s="211"/>
      <c r="AT240" s="293"/>
      <c r="AU240" s="293"/>
      <c r="AV240" s="293"/>
      <c r="AW240" s="293"/>
      <c r="AX240" s="293"/>
      <c r="AY240" s="293"/>
      <c r="AZ240" s="293"/>
      <c r="BA240" s="293"/>
      <c r="BB240" s="293"/>
      <c r="BC240" s="293"/>
      <c r="BD240" s="293"/>
      <c r="BE240" s="293"/>
      <c r="BF240" s="293"/>
      <c r="BG240" s="293"/>
      <c r="BH240" s="293"/>
      <c r="BI240" s="293"/>
      <c r="BJ240" s="293"/>
      <c r="BK240" s="293"/>
      <c r="BL240" s="293"/>
      <c r="BM240" s="293"/>
      <c r="BN240" s="293"/>
      <c r="BO240" s="293"/>
      <c r="BP240" s="293"/>
      <c r="BQ240" s="293"/>
      <c r="BR240" s="293"/>
      <c r="BS240" s="293"/>
      <c r="BT240" s="293"/>
      <c r="BU240" s="293"/>
      <c r="BV240" s="293"/>
      <c r="BW240" s="293"/>
      <c r="BX240" s="293"/>
      <c r="BY240" s="293"/>
      <c r="BZ240" s="293"/>
    </row>
    <row r="241" spans="1:78" s="295" customFormat="1" ht="4.5" customHeight="1" x14ac:dyDescent="0.2">
      <c r="A241" s="458"/>
      <c r="B241" s="451"/>
      <c r="C241" s="452"/>
      <c r="D241" s="453"/>
      <c r="E241" s="454"/>
      <c r="F241" s="454"/>
      <c r="G241" s="446"/>
      <c r="H241" s="446"/>
      <c r="I241" s="446"/>
      <c r="J241" s="446"/>
      <c r="K241" s="457"/>
      <c r="L241" s="447"/>
      <c r="M241" s="445"/>
      <c r="N241" s="455"/>
      <c r="O241" s="445">
        <f ca="1">IF(NOT(ISERROR(MATCH(N241,_xlfn.ANCHORARRAY(#REF!),0))),#REF!&amp;"Por favor no seleccionar los criterios de impacto",N241)</f>
        <v>0</v>
      </c>
      <c r="P241" s="447"/>
      <c r="Q241" s="445"/>
      <c r="R241" s="459"/>
      <c r="S241" s="248">
        <v>3</v>
      </c>
      <c r="T241" s="330"/>
      <c r="U241" s="245"/>
      <c r="V241" s="322" t="str">
        <f>IF(OR(W241="Preventivo",W241="Detectivo"),"Probabilidad",IF(W241="Correctivo","Impacto",""))</f>
        <v/>
      </c>
      <c r="W241" s="323"/>
      <c r="X241" s="323"/>
      <c r="Y241" s="324" t="str">
        <f t="shared" si="445"/>
        <v/>
      </c>
      <c r="Z241" s="323"/>
      <c r="AA241" s="323"/>
      <c r="AB241" s="323"/>
      <c r="AC241" s="325" t="str">
        <f t="shared" ref="AC241" si="450">IFERROR(IF(AND(V240="Probabilidad",V241="Probabilidad"),(AE240-(+AE240*Y241)),IF(AND(V240="Impacto",V241="Probabilidad"),(AE239-(+AE239*Y241)),IF(V241="Impacto",AE240,""))),"")</f>
        <v/>
      </c>
      <c r="AD241" s="326" t="str">
        <f t="shared" si="447"/>
        <v/>
      </c>
      <c r="AE241" s="324" t="str">
        <f t="shared" si="448"/>
        <v/>
      </c>
      <c r="AF241" s="326" t="str">
        <f t="shared" si="449"/>
        <v/>
      </c>
      <c r="AG241" s="324" t="str">
        <f t="shared" ref="AG241:AG244" si="451">IFERROR(IF(AND(V240="Impacto",V241="Impacto"),(AG240-(+AG240*Y241)),IF(V241="Impacto",($Q$239-(+$Q$239*Y241)),IF(V241="Probabilidad",AG240,""))),"")</f>
        <v/>
      </c>
      <c r="AH241" s="328" t="str">
        <f t="shared" ref="AH241" si="452">IFERROR(IF(OR(AND(AD241="Muy Baja",AF241="Leve"),AND(AD241="Muy Baja",AF241="Menor"),AND(AD241="Baja",AF241="Leve")),"Bajo",IF(OR(AND(AD241="Muy baja",AF241="Moderado"),AND(AD241="Baja",AF241="Menor"),AND(AD241="Baja",AF241="Moderado"),AND(AD241="Media",AF241="Leve"),AND(AD241="Media",AF241="Menor"),AND(AD241="Media",AF241="Moderado"),AND(AD241="Alta",AF241="Leve"),AND(AD241="Alta",AF241="Menor")),"Moderado",IF(OR(AND(AD241="Muy Baja",AF241="Mayor"),AND(AD241="Baja",AF241="Mayor"),AND(AD241="Media",AF241="Mayor"),AND(AD241="Alta",AF241="Moderado"),AND(AD241="Alta",AF241="Mayor"),AND(AD241="Muy Alta",AF241="Leve"),AND(AD241="Muy Alta",AF241="Menor"),AND(AD241="Muy Alta",AF241="Moderado"),AND(AD241="Muy Alta",AF241="Mayor")),"Alto",IF(OR(AND(AD241="Muy Baja",AF241="Catastrófico"),AND(AD241="Baja",AF241="Catastrófico"),AND(AD241="Media",AF241="Catastrófico"),AND(AD241="Alta",AF241="Catastrófico"),AND(AD241="Muy Alta",AF241="Catastrófico")),"Extremo","")))),"")</f>
        <v/>
      </c>
      <c r="AI241" s="323"/>
      <c r="AJ241" s="249"/>
      <c r="AK241" s="249"/>
      <c r="AL241" s="249"/>
      <c r="AM241" s="249"/>
      <c r="AN241" s="278"/>
      <c r="AO241" s="276"/>
      <c r="AP241" s="276"/>
      <c r="AQ241" s="278"/>
      <c r="AR241" s="211"/>
      <c r="AS241" s="211"/>
      <c r="AT241" s="293"/>
      <c r="AU241" s="293"/>
      <c r="AV241" s="293"/>
      <c r="AW241" s="293"/>
      <c r="AX241" s="293"/>
      <c r="AY241" s="293"/>
      <c r="AZ241" s="293"/>
      <c r="BA241" s="293"/>
      <c r="BB241" s="293"/>
      <c r="BC241" s="293"/>
      <c r="BD241" s="293"/>
      <c r="BE241" s="293"/>
      <c r="BF241" s="293"/>
      <c r="BG241" s="293"/>
      <c r="BH241" s="293"/>
      <c r="BI241" s="293"/>
      <c r="BJ241" s="293"/>
      <c r="BK241" s="293"/>
      <c r="BL241" s="293"/>
      <c r="BM241" s="293"/>
      <c r="BN241" s="293"/>
      <c r="BO241" s="293"/>
      <c r="BP241" s="293"/>
      <c r="BQ241" s="293"/>
      <c r="BR241" s="293"/>
      <c r="BS241" s="293"/>
      <c r="BT241" s="293"/>
      <c r="BU241" s="293"/>
      <c r="BV241" s="293"/>
      <c r="BW241" s="293"/>
      <c r="BX241" s="293"/>
      <c r="BY241" s="293"/>
      <c r="BZ241" s="293"/>
    </row>
    <row r="242" spans="1:78" s="295" customFormat="1" ht="4.5" customHeight="1" x14ac:dyDescent="0.2">
      <c r="A242" s="458"/>
      <c r="B242" s="451"/>
      <c r="C242" s="452"/>
      <c r="D242" s="453"/>
      <c r="E242" s="454"/>
      <c r="F242" s="454"/>
      <c r="G242" s="446"/>
      <c r="H242" s="446"/>
      <c r="I242" s="446"/>
      <c r="J242" s="446"/>
      <c r="K242" s="457"/>
      <c r="L242" s="447"/>
      <c r="M242" s="445"/>
      <c r="N242" s="455"/>
      <c r="O242" s="445">
        <f ca="1">IF(NOT(ISERROR(MATCH(N242,_xlfn.ANCHORARRAY(#REF!),0))),#REF!&amp;"Por favor no seleccionar los criterios de impacto",N242)</f>
        <v>0</v>
      </c>
      <c r="P242" s="447"/>
      <c r="Q242" s="445"/>
      <c r="R242" s="459"/>
      <c r="S242" s="248">
        <v>4</v>
      </c>
      <c r="T242" s="330"/>
      <c r="U242" s="245"/>
      <c r="V242" s="322" t="str">
        <f t="shared" ref="V242:V244" si="453">IF(OR(W242="Preventivo",W242="Detectivo"),"Probabilidad",IF(W242="Correctivo","Impacto",""))</f>
        <v/>
      </c>
      <c r="W242" s="323"/>
      <c r="X242" s="323"/>
      <c r="Y242" s="324" t="str">
        <f t="shared" si="445"/>
        <v/>
      </c>
      <c r="Z242" s="323"/>
      <c r="AA242" s="323"/>
      <c r="AB242" s="323"/>
      <c r="AC242" s="325" t="str">
        <f t="shared" ref="AC242:AC286" si="454">IFERROR(IF(AND(V241="Probabilidad",V242="Probabilidad"),(AE241-(+AE241*Y242)),IF(AND(V241="Impacto",V242="Probabilidad"),(AE240-(+AE240*Y242)),IF(V242="Impacto",AE241,""))),"")</f>
        <v/>
      </c>
      <c r="AD242" s="326" t="str">
        <f t="shared" si="447"/>
        <v/>
      </c>
      <c r="AE242" s="324" t="str">
        <f t="shared" si="448"/>
        <v/>
      </c>
      <c r="AF242" s="326" t="str">
        <f t="shared" si="449"/>
        <v/>
      </c>
      <c r="AG242" s="324" t="str">
        <f t="shared" si="451"/>
        <v/>
      </c>
      <c r="AH242" s="328" t="str">
        <f>IFERROR(IF(OR(AND(AD242="Muy Baja",AF242="Leve"),AND(AD242="Muy Baja",AF242="Menor"),AND(AD242="Baja",AF242="Leve")),"Bajo",IF(OR(AND(AD242="Muy baja",AF242="Moderado"),AND(AD242="Baja",AF242="Menor"),AND(AD242="Baja",AF242="Moderado"),AND(AD242="Media",AF242="Leve"),AND(AD242="Media",AF242="Menor"),AND(AD242="Media",AF242="Moderado"),AND(AD242="Alta",AF242="Leve"),AND(AD242="Alta",AF242="Menor")),"Moderado",IF(OR(AND(AD242="Muy Baja",AF242="Mayor"),AND(AD242="Baja",AF242="Mayor"),AND(AD242="Media",AF242="Mayor"),AND(AD242="Alta",AF242="Moderado"),AND(AD242="Alta",AF242="Mayor"),AND(AD242="Muy Alta",AF242="Leve"),AND(AD242="Muy Alta",AF242="Menor"),AND(AD242="Muy Alta",AF242="Moderado"),AND(AD242="Muy Alta",AF242="Mayor")),"Alto",IF(OR(AND(AD242="Muy Baja",AF242="Catastrófico"),AND(AD242="Baja",AF242="Catastrófico"),AND(AD242="Media",AF242="Catastrófico"),AND(AD242="Alta",AF242="Catastrófico"),AND(AD242="Muy Alta",AF242="Catastrófico")),"Extremo","")))),"")</f>
        <v/>
      </c>
      <c r="AI242" s="323"/>
      <c r="AJ242" s="249"/>
      <c r="AK242" s="249"/>
      <c r="AL242" s="249"/>
      <c r="AM242" s="249"/>
      <c r="AN242" s="278"/>
      <c r="AO242" s="276"/>
      <c r="AP242" s="276"/>
      <c r="AQ242" s="278"/>
      <c r="AR242" s="211"/>
      <c r="AS242" s="211"/>
      <c r="AT242" s="293"/>
      <c r="AU242" s="293"/>
      <c r="AV242" s="293"/>
      <c r="AW242" s="293"/>
      <c r="AX242" s="293"/>
      <c r="AY242" s="293"/>
      <c r="AZ242" s="293"/>
      <c r="BA242" s="293"/>
      <c r="BB242" s="293"/>
      <c r="BC242" s="293"/>
      <c r="BD242" s="293"/>
      <c r="BE242" s="293"/>
      <c r="BF242" s="293"/>
      <c r="BG242" s="293"/>
      <c r="BH242" s="293"/>
      <c r="BI242" s="293"/>
      <c r="BJ242" s="293"/>
      <c r="BK242" s="293"/>
      <c r="BL242" s="293"/>
      <c r="BM242" s="293"/>
      <c r="BN242" s="293"/>
      <c r="BO242" s="293"/>
      <c r="BP242" s="293"/>
      <c r="BQ242" s="293"/>
      <c r="BR242" s="293"/>
      <c r="BS242" s="293"/>
      <c r="BT242" s="293"/>
      <c r="BU242" s="293"/>
      <c r="BV242" s="293"/>
      <c r="BW242" s="293"/>
      <c r="BX242" s="293"/>
      <c r="BY242" s="293"/>
      <c r="BZ242" s="293"/>
    </row>
    <row r="243" spans="1:78" s="295" customFormat="1" ht="4.5" customHeight="1" x14ac:dyDescent="0.2">
      <c r="A243" s="458"/>
      <c r="B243" s="451"/>
      <c r="C243" s="452"/>
      <c r="D243" s="453"/>
      <c r="E243" s="454"/>
      <c r="F243" s="454"/>
      <c r="G243" s="446"/>
      <c r="H243" s="446"/>
      <c r="I243" s="446"/>
      <c r="J243" s="446"/>
      <c r="K243" s="457"/>
      <c r="L243" s="447"/>
      <c r="M243" s="445"/>
      <c r="N243" s="455"/>
      <c r="O243" s="445">
        <f ca="1">IF(NOT(ISERROR(MATCH(N243,_xlfn.ANCHORARRAY(#REF!),0))),#REF!&amp;"Por favor no seleccionar los criterios de impacto",N243)</f>
        <v>0</v>
      </c>
      <c r="P243" s="447"/>
      <c r="Q243" s="445"/>
      <c r="R243" s="459"/>
      <c r="S243" s="248">
        <v>5</v>
      </c>
      <c r="T243" s="330"/>
      <c r="U243" s="245"/>
      <c r="V243" s="322" t="str">
        <f t="shared" si="453"/>
        <v/>
      </c>
      <c r="W243" s="323"/>
      <c r="X243" s="323"/>
      <c r="Y243" s="324" t="str">
        <f t="shared" si="445"/>
        <v/>
      </c>
      <c r="Z243" s="323"/>
      <c r="AA243" s="323"/>
      <c r="AB243" s="323"/>
      <c r="AC243" s="325" t="str">
        <f t="shared" si="454"/>
        <v/>
      </c>
      <c r="AD243" s="326" t="str">
        <f>IFERROR(IF(AC243="","",IF(AC243&lt;=0.2,"Muy Baja",IF(AC243&lt;=0.4,"Baja",IF(AC243&lt;=0.6,"Media",IF(AC243&lt;=0.8,"Alta","Muy Alta"))))),"")</f>
        <v/>
      </c>
      <c r="AE243" s="324" t="str">
        <f t="shared" si="448"/>
        <v/>
      </c>
      <c r="AF243" s="326" t="str">
        <f t="shared" si="449"/>
        <v/>
      </c>
      <c r="AG243" s="324" t="str">
        <f t="shared" si="451"/>
        <v/>
      </c>
      <c r="AH243" s="328" t="str">
        <f t="shared" ref="AH243:AH244" si="455">IFERROR(IF(OR(AND(AD243="Muy Baja",AF243="Leve"),AND(AD243="Muy Baja",AF243="Menor"),AND(AD243="Baja",AF243="Leve")),"Bajo",IF(OR(AND(AD243="Muy baja",AF243="Moderado"),AND(AD243="Baja",AF243="Menor"),AND(AD243="Baja",AF243="Moderado"),AND(AD243="Media",AF243="Leve"),AND(AD243="Media",AF243="Menor"),AND(AD243="Media",AF243="Moderado"),AND(AD243="Alta",AF243="Leve"),AND(AD243="Alta",AF243="Menor")),"Moderado",IF(OR(AND(AD243="Muy Baja",AF243="Mayor"),AND(AD243="Baja",AF243="Mayor"),AND(AD243="Media",AF243="Mayor"),AND(AD243="Alta",AF243="Moderado"),AND(AD243="Alta",AF243="Mayor"),AND(AD243="Muy Alta",AF243="Leve"),AND(AD243="Muy Alta",AF243="Menor"),AND(AD243="Muy Alta",AF243="Moderado"),AND(AD243="Muy Alta",AF243="Mayor")),"Alto",IF(OR(AND(AD243="Muy Baja",AF243="Catastrófico"),AND(AD243="Baja",AF243="Catastrófico"),AND(AD243="Media",AF243="Catastrófico"),AND(AD243="Alta",AF243="Catastrófico"),AND(AD243="Muy Alta",AF243="Catastrófico")),"Extremo","")))),"")</f>
        <v/>
      </c>
      <c r="AI243" s="323"/>
      <c r="AJ243" s="249"/>
      <c r="AK243" s="249"/>
      <c r="AL243" s="249"/>
      <c r="AM243" s="249"/>
      <c r="AN243" s="278"/>
      <c r="AO243" s="276"/>
      <c r="AP243" s="276"/>
      <c r="AQ243" s="278"/>
      <c r="AR243" s="211"/>
      <c r="AS243" s="211"/>
      <c r="AT243" s="293"/>
      <c r="AU243" s="293"/>
      <c r="AV243" s="293"/>
      <c r="AW243" s="293"/>
      <c r="AX243" s="293"/>
      <c r="AY243" s="293"/>
      <c r="AZ243" s="293"/>
      <c r="BA243" s="293"/>
      <c r="BB243" s="293"/>
      <c r="BC243" s="293"/>
      <c r="BD243" s="293"/>
      <c r="BE243" s="293"/>
      <c r="BF243" s="293"/>
      <c r="BG243" s="293"/>
      <c r="BH243" s="293"/>
      <c r="BI243" s="293"/>
      <c r="BJ243" s="293"/>
      <c r="BK243" s="293"/>
      <c r="BL243" s="293"/>
      <c r="BM243" s="293"/>
      <c r="BN243" s="293"/>
      <c r="BO243" s="293"/>
      <c r="BP243" s="293"/>
      <c r="BQ243" s="293"/>
      <c r="BR243" s="293"/>
      <c r="BS243" s="293"/>
      <c r="BT243" s="293"/>
      <c r="BU243" s="293"/>
      <c r="BV243" s="293"/>
      <c r="BW243" s="293"/>
      <c r="BX243" s="293"/>
      <c r="BY243" s="293"/>
      <c r="BZ243" s="293"/>
    </row>
    <row r="244" spans="1:78" s="295" customFormat="1" ht="4.5" customHeight="1" x14ac:dyDescent="0.2">
      <c r="A244" s="458"/>
      <c r="B244" s="451"/>
      <c r="C244" s="452"/>
      <c r="D244" s="453"/>
      <c r="E244" s="454"/>
      <c r="F244" s="454"/>
      <c r="G244" s="446"/>
      <c r="H244" s="446"/>
      <c r="I244" s="446"/>
      <c r="J244" s="446"/>
      <c r="K244" s="457"/>
      <c r="L244" s="447"/>
      <c r="M244" s="445"/>
      <c r="N244" s="455"/>
      <c r="O244" s="445">
        <f ca="1">IF(NOT(ISERROR(MATCH(N244,_xlfn.ANCHORARRAY(#REF!),0))),#REF!&amp;"Por favor no seleccionar los criterios de impacto",N244)</f>
        <v>0</v>
      </c>
      <c r="P244" s="447"/>
      <c r="Q244" s="445"/>
      <c r="R244" s="459"/>
      <c r="S244" s="248">
        <v>6</v>
      </c>
      <c r="T244" s="330"/>
      <c r="U244" s="245"/>
      <c r="V244" s="322" t="str">
        <f t="shared" si="453"/>
        <v/>
      </c>
      <c r="W244" s="323"/>
      <c r="X244" s="323"/>
      <c r="Y244" s="324" t="str">
        <f t="shared" si="445"/>
        <v/>
      </c>
      <c r="Z244" s="323"/>
      <c r="AA244" s="323"/>
      <c r="AB244" s="323"/>
      <c r="AC244" s="325" t="str">
        <f t="shared" si="454"/>
        <v/>
      </c>
      <c r="AD244" s="326" t="str">
        <f t="shared" si="447"/>
        <v/>
      </c>
      <c r="AE244" s="324" t="str">
        <f t="shared" si="448"/>
        <v/>
      </c>
      <c r="AF244" s="326" t="str">
        <f t="shared" si="449"/>
        <v/>
      </c>
      <c r="AG244" s="324" t="str">
        <f t="shared" si="451"/>
        <v/>
      </c>
      <c r="AH244" s="328" t="str">
        <f t="shared" si="455"/>
        <v/>
      </c>
      <c r="AI244" s="323"/>
      <c r="AJ244" s="249"/>
      <c r="AK244" s="249"/>
      <c r="AL244" s="249"/>
      <c r="AM244" s="249"/>
      <c r="AN244" s="278"/>
      <c r="AO244" s="276"/>
      <c r="AP244" s="276"/>
      <c r="AQ244" s="278"/>
      <c r="AR244" s="211"/>
      <c r="AS244" s="211"/>
      <c r="AT244" s="293"/>
      <c r="AU244" s="293"/>
      <c r="AV244" s="293"/>
      <c r="AW244" s="293"/>
      <c r="AX244" s="293"/>
      <c r="AY244" s="293"/>
      <c r="AZ244" s="293"/>
      <c r="BA244" s="293"/>
      <c r="BB244" s="293"/>
      <c r="BC244" s="293"/>
      <c r="BD244" s="293"/>
      <c r="BE244" s="293"/>
      <c r="BF244" s="293"/>
      <c r="BG244" s="293"/>
      <c r="BH244" s="293"/>
      <c r="BI244" s="293"/>
      <c r="BJ244" s="293"/>
      <c r="BK244" s="293"/>
      <c r="BL244" s="293"/>
      <c r="BM244" s="293"/>
      <c r="BN244" s="293"/>
      <c r="BO244" s="293"/>
      <c r="BP244" s="293"/>
      <c r="BQ244" s="293"/>
      <c r="BR244" s="293"/>
      <c r="BS244" s="293"/>
      <c r="BT244" s="293"/>
      <c r="BU244" s="293"/>
      <c r="BV244" s="293"/>
      <c r="BW244" s="293"/>
      <c r="BX244" s="293"/>
      <c r="BY244" s="293"/>
      <c r="BZ244" s="293"/>
    </row>
    <row r="245" spans="1:78" s="294" customFormat="1" ht="86.25" x14ac:dyDescent="0.2">
      <c r="A245" s="458" t="s">
        <v>753</v>
      </c>
      <c r="B245" s="451" t="s">
        <v>830</v>
      </c>
      <c r="C245" s="452" t="s">
        <v>281</v>
      </c>
      <c r="D245" s="453" t="s">
        <v>621</v>
      </c>
      <c r="E245" s="454" t="s">
        <v>109</v>
      </c>
      <c r="F245" s="454" t="s">
        <v>780</v>
      </c>
      <c r="G245" s="446" t="s">
        <v>675</v>
      </c>
      <c r="H245" s="456" t="s">
        <v>897</v>
      </c>
      <c r="I245" s="446" t="s">
        <v>654</v>
      </c>
      <c r="J245" s="446" t="s">
        <v>1059</v>
      </c>
      <c r="K245" s="457">
        <v>284</v>
      </c>
      <c r="L245" s="447" t="str">
        <f t="shared" ref="L245" si="456">IF(K245&lt;=0,"",IF(K245&lt;=2,"Muy Baja",IF(K245&lt;=24,"Baja",IF(K245&lt;=500,"Media",IF(K245&lt;=5000,"Alta","Muy Alta")))))</f>
        <v>Media</v>
      </c>
      <c r="M245" s="445">
        <f>IF(L245="","",IF(L245="Muy Baja",0.2,IF(L245="Baja",0.4,IF(L245="Media",0.6,IF(L245="Alta",0.8,IF(L245="Muy Alta",1,))))))</f>
        <v>0.6</v>
      </c>
      <c r="N245" s="455" t="s">
        <v>116</v>
      </c>
      <c r="O245" s="285" t="str">
        <f ca="1">IF(NOT(ISERROR(MATCH(N245,'Tabla Impacto'!$B$221:$B$223,0))),'Tabla Impacto'!$F$223&amp;"Por favor no seleccionar los criterios de impacto(Afectación Económica o presupuestal y Pérdida Reputacional)",N245)</f>
        <v xml:space="preserve">     Entre 10 y 50 SMLMV </v>
      </c>
      <c r="P245" s="447" t="str">
        <f ca="1">IF(OR(O245='Tabla Impacto'!$C$11,O245='Tabla Impacto'!$D$11),"Leve",IF(OR(O245='Tabla Impacto'!$C$12,O245='Tabla Impacto'!$D$12),"Menor",IF(OR(O245='Tabla Impacto'!$C$13,O245='Tabla Impacto'!$D$13),"Moderado",IF(OR(O245='Tabla Impacto'!$C$14,O245='Tabla Impacto'!$D$14),"Mayor",IF(OR(O245='Tabla Impacto'!$C$15,O245='Tabla Impacto'!$D$15),"Catastrófico","")))))</f>
        <v>Menor</v>
      </c>
      <c r="Q245" s="445">
        <f ca="1">IF(P245="","",IF(P245="Leve",0.2,IF(P245="Menor",0.4,IF(P245="Moderado",0.6,IF(P245="Mayor",0.8,IF(P245="Catastrófico",1,))))))</f>
        <v>0.4</v>
      </c>
      <c r="R245" s="459" t="str">
        <f ca="1">IF(OR(AND(L245="Muy Baja",P245="Leve"),AND(L245="Muy Baja",P245="Menor"),AND(L245="Baja",P245="Leve")),"Bajo",IF(OR(AND(L245="Muy baja",P245="Moderado"),AND(L245="Baja",P245="Menor"),AND(L245="Baja",P245="Moderado"),AND(L245="Media",P245="Leve"),AND(L245="Media",P245="Menor"),AND(L245="Media",P245="Moderado"),AND(L245="Alta",P245="Leve"),AND(L245="Alta",P245="Menor")),"Moderado",IF(OR(AND(L245="Muy Baja",P245="Mayor"),AND(L245="Baja",P245="Mayor"),AND(L245="Media",P245="Mayor"),AND(L245="Alta",P245="Moderado"),AND(L245="Alta",P245="Mayor"),AND(L245="Muy Alta",P245="Leve"),AND(L245="Muy Alta",P245="Menor"),AND(L245="Muy Alta",P245="Moderado"),AND(L245="Muy Alta",P245="Mayor")),"Alto",IF(OR(AND(L245="Muy Baja",P245="Catastrófico"),AND(L245="Baja",P245="Catastrófico"),AND(L245="Media",P245="Catastrófico"),AND(L245="Alta",P245="Catastrófico"),AND(L245="Muy Alta",P245="Catastrófico")),"Extremo",""))))</f>
        <v>Moderado</v>
      </c>
      <c r="S245" s="248">
        <v>1</v>
      </c>
      <c r="T245" s="321" t="s">
        <v>782</v>
      </c>
      <c r="U245" s="245" t="s">
        <v>293</v>
      </c>
      <c r="V245" s="322" t="str">
        <f>IF(OR(W245="Preventivo",W245="Detectivo"),"Probabilidad",IF(W245="Correctivo","Impacto",""))</f>
        <v>Probabilidad</v>
      </c>
      <c r="W245" s="323" t="s">
        <v>13</v>
      </c>
      <c r="X245" s="323" t="s">
        <v>8</v>
      </c>
      <c r="Y245" s="324" t="str">
        <f t="shared" si="445"/>
        <v>40%</v>
      </c>
      <c r="Z245" s="323" t="s">
        <v>19</v>
      </c>
      <c r="AA245" s="323" t="s">
        <v>21</v>
      </c>
      <c r="AB245" s="323" t="s">
        <v>103</v>
      </c>
      <c r="AC245" s="325">
        <f t="shared" ref="AC245" si="457">IFERROR(IF(V245="Probabilidad",(M245-(+M245*Y245)),IF(V245="Impacto",M245,"")),"")</f>
        <v>0.36</v>
      </c>
      <c r="AD245" s="326" t="str">
        <f>IFERROR(IF(AC245="","",IF(AC245&lt;=0.2,"Muy Baja",IF(AC245&lt;=0.4,"Baja",IF(AC245&lt;=0.6,"Media",IF(AC245&lt;=0.8,"Alta","Muy Alta"))))),"")</f>
        <v>Baja</v>
      </c>
      <c r="AE245" s="324">
        <f>+AC245</f>
        <v>0.36</v>
      </c>
      <c r="AF245" s="326" t="str">
        <f ca="1">IFERROR(IF(AG245="","",IF(AG245&lt;=0.2,"Leve",IF(AG245&lt;=0.4,"Menor",IF(AG245&lt;=0.6,"Moderado",IF(AG245&lt;=0.8,"Mayor","Catastrófico"))))),"")</f>
        <v>Menor</v>
      </c>
      <c r="AG245" s="324">
        <f ca="1">IFERROR(IF(V245="Impacto",(Q245-(+Q245*Y245)),IF(V245="Probabilidad",Q245,"")),"")</f>
        <v>0.4</v>
      </c>
      <c r="AH245" s="328" t="str">
        <f ca="1">IFERROR(IF(OR(AND(AD245="Muy Baja",AF245="Leve"),AND(AD245="Muy Baja",AF245="Menor"),AND(AD245="Baja",AF245="Leve")),"Bajo",IF(OR(AND(AD245="Muy baja",AF245="Moderado"),AND(AD245="Baja",AF245="Menor"),AND(AD245="Baja",AF245="Moderado"),AND(AD245="Media",AF245="Leve"),AND(AD245="Media",AF245="Menor"),AND(AD245="Media",AF245="Moderado"),AND(AD245="Alta",AF245="Leve"),AND(AD245="Alta",AF245="Menor")),"Moderado",IF(OR(AND(AD245="Muy Baja",AF245="Mayor"),AND(AD245="Baja",AF245="Mayor"),AND(AD245="Media",AF245="Mayor"),AND(AD245="Alta",AF245="Moderado"),AND(AD245="Alta",AF245="Mayor"),AND(AD245="Muy Alta",AF245="Leve"),AND(AD245="Muy Alta",AF245="Menor"),AND(AD245="Muy Alta",AF245="Moderado"),AND(AD245="Muy Alta",AF245="Mayor")),"Alto",IF(OR(AND(AD245="Muy Baja",AF245="Catastrófico"),AND(AD245="Baja",AF245="Catastrófico"),AND(AD245="Media",AF245="Catastrófico"),AND(AD245="Alta",AF245="Catastrófico"),AND(AD245="Muy Alta",AF245="Catastrófico")),"Extremo","")))),"")</f>
        <v>Moderado</v>
      </c>
      <c r="AI245" s="323" t="s">
        <v>26</v>
      </c>
      <c r="AJ245" s="249">
        <v>0</v>
      </c>
      <c r="AK245" s="249">
        <v>0</v>
      </c>
      <c r="AL245" s="249">
        <v>0</v>
      </c>
      <c r="AM245" s="249">
        <v>0</v>
      </c>
      <c r="AN245" s="240"/>
      <c r="AO245" s="259"/>
      <c r="AP245" s="259"/>
      <c r="AQ245" s="239"/>
      <c r="AR245" s="264"/>
      <c r="AS245" s="265"/>
      <c r="AT245" s="293"/>
      <c r="AU245" s="293"/>
      <c r="AV245" s="293"/>
      <c r="AW245" s="293"/>
      <c r="AX245" s="293"/>
      <c r="AY245" s="293"/>
      <c r="AZ245" s="293"/>
      <c r="BA245" s="293"/>
      <c r="BB245" s="293"/>
      <c r="BC245" s="293"/>
      <c r="BD245" s="293"/>
      <c r="BE245" s="293"/>
      <c r="BF245" s="293"/>
      <c r="BG245" s="293"/>
      <c r="BH245" s="293"/>
      <c r="BI245" s="293"/>
      <c r="BJ245" s="293"/>
      <c r="BK245" s="293"/>
      <c r="BL245" s="293"/>
      <c r="BM245" s="293"/>
      <c r="BN245" s="293"/>
      <c r="BO245" s="293"/>
      <c r="BP245" s="293"/>
      <c r="BQ245" s="293"/>
      <c r="BR245" s="293"/>
      <c r="BS245" s="293"/>
      <c r="BT245" s="293"/>
      <c r="BU245" s="293"/>
      <c r="BV245" s="293"/>
      <c r="BW245" s="293"/>
      <c r="BX245" s="293"/>
      <c r="BY245" s="293"/>
      <c r="BZ245" s="293"/>
    </row>
    <row r="246" spans="1:78" s="295" customFormat="1" ht="101.25" x14ac:dyDescent="0.2">
      <c r="A246" s="458"/>
      <c r="B246" s="451"/>
      <c r="C246" s="452"/>
      <c r="D246" s="453"/>
      <c r="E246" s="454"/>
      <c r="F246" s="454"/>
      <c r="G246" s="446"/>
      <c r="H246" s="456"/>
      <c r="I246" s="446"/>
      <c r="J246" s="446"/>
      <c r="K246" s="457"/>
      <c r="L246" s="447"/>
      <c r="M246" s="445"/>
      <c r="N246" s="455"/>
      <c r="O246" s="285">
        <f ca="1">IF(NOT(ISERROR(MATCH(N246,_xlfn.ANCHORARRAY(#REF!),0))),#REF!&amp;"Por favor no seleccionar los criterios de impacto",N246)</f>
        <v>0</v>
      </c>
      <c r="P246" s="447"/>
      <c r="Q246" s="445"/>
      <c r="R246" s="459"/>
      <c r="S246" s="248">
        <v>2</v>
      </c>
      <c r="T246" s="321" t="s">
        <v>872</v>
      </c>
      <c r="U246" s="245" t="s">
        <v>293</v>
      </c>
      <c r="V246" s="322" t="str">
        <f>IF(OR(W246="Preventivo",W246="Detectivo"),"Probabilidad",IF(W246="Correctivo","Impacto",""))</f>
        <v>Probabilidad</v>
      </c>
      <c r="W246" s="323" t="s">
        <v>13</v>
      </c>
      <c r="X246" s="323" t="s">
        <v>8</v>
      </c>
      <c r="Y246" s="324" t="str">
        <f t="shared" si="445"/>
        <v>40%</v>
      </c>
      <c r="Z246" s="323" t="s">
        <v>18</v>
      </c>
      <c r="AA246" s="323" t="s">
        <v>21</v>
      </c>
      <c r="AB246" s="323" t="s">
        <v>103</v>
      </c>
      <c r="AC246" s="325">
        <f t="shared" ref="AC246" si="458">IFERROR(IF(AND(V245="Probabilidad",V246="Probabilidad"),(AE245-(+AE245*Y246)),IF(V246="Probabilidad",(M245-(+M245*Y246)),IF(V246="Impacto",AE245,""))),"")</f>
        <v>0.216</v>
      </c>
      <c r="AD246" s="326" t="str">
        <f t="shared" ref="AD246:AD250" si="459">IFERROR(IF(AC246="","",IF(AC246&lt;=0.2,"Muy Baja",IF(AC246&lt;=0.4,"Baja",IF(AC246&lt;=0.6,"Media",IF(AC246&lt;=0.8,"Alta","Muy Alta"))))),"")</f>
        <v>Baja</v>
      </c>
      <c r="AE246" s="324">
        <f t="shared" ref="AE246:AE250" si="460">+AC246</f>
        <v>0.216</v>
      </c>
      <c r="AF246" s="326" t="str">
        <f t="shared" ref="AF246:AF250" ca="1" si="461">IFERROR(IF(AG246="","",IF(AG246&lt;=0.2,"Leve",IF(AG246&lt;=0.4,"Menor",IF(AG246&lt;=0.6,"Moderado",IF(AG246&lt;=0.8,"Mayor","Catastrófico"))))),"")</f>
        <v>Menor</v>
      </c>
      <c r="AG246" s="324">
        <f ca="1">IFERROR(IF(AND(V245="Impacto",V246="Impacto"),(AG245-(+AG245*Y246)),IF(V246="Impacto",($Q$245-(+$Q$245*Y246)),IF(V246="Probabilidad",AG245,""))),"")</f>
        <v>0.4</v>
      </c>
      <c r="AH246" s="328" t="str">
        <f t="shared" ref="AH246:AH247" ca="1" si="462">IFERROR(IF(OR(AND(AD246="Muy Baja",AF246="Leve"),AND(AD246="Muy Baja",AF246="Menor"),AND(AD246="Baja",AF246="Leve")),"Bajo",IF(OR(AND(AD246="Muy baja",AF246="Moderado"),AND(AD246="Baja",AF246="Menor"),AND(AD246="Baja",AF246="Moderado"),AND(AD246="Media",AF246="Leve"),AND(AD246="Media",AF246="Menor"),AND(AD246="Media",AF246="Moderado"),AND(AD246="Alta",AF246="Leve"),AND(AD246="Alta",AF246="Menor")),"Moderado",IF(OR(AND(AD246="Muy Baja",AF246="Mayor"),AND(AD246="Baja",AF246="Mayor"),AND(AD246="Media",AF246="Mayor"),AND(AD246="Alta",AF246="Moderado"),AND(AD246="Alta",AF246="Mayor"),AND(AD246="Muy Alta",AF246="Leve"),AND(AD246="Muy Alta",AF246="Menor"),AND(AD246="Muy Alta",AF246="Moderado"),AND(AD246="Muy Alta",AF246="Mayor")),"Alto",IF(OR(AND(AD246="Muy Baja",AF246="Catastrófico"),AND(AD246="Baja",AF246="Catastrófico"),AND(AD246="Media",AF246="Catastrófico"),AND(AD246="Alta",AF246="Catastrófico"),AND(AD246="Muy Alta",AF246="Catastrófico")),"Extremo","")))),"")</f>
        <v>Moderado</v>
      </c>
      <c r="AI246" s="323" t="s">
        <v>26</v>
      </c>
      <c r="AJ246" s="249">
        <v>4</v>
      </c>
      <c r="AK246" s="249">
        <v>1</v>
      </c>
      <c r="AL246" s="249">
        <v>1</v>
      </c>
      <c r="AM246" s="249">
        <v>2</v>
      </c>
      <c r="AN246" s="240"/>
      <c r="AO246" s="277"/>
      <c r="AP246" s="277"/>
      <c r="AQ246" s="276"/>
      <c r="AR246" s="263"/>
      <c r="AS246" s="277"/>
      <c r="AT246" s="293"/>
      <c r="AU246" s="293"/>
      <c r="AV246" s="293"/>
      <c r="AW246" s="293"/>
      <c r="AX246" s="293"/>
      <c r="AY246" s="293"/>
      <c r="AZ246" s="293"/>
      <c r="BA246" s="293"/>
      <c r="BB246" s="293"/>
      <c r="BC246" s="293"/>
      <c r="BD246" s="293"/>
      <c r="BE246" s="293"/>
      <c r="BF246" s="293"/>
      <c r="BG246" s="293"/>
      <c r="BH246" s="293"/>
      <c r="BI246" s="293"/>
      <c r="BJ246" s="293"/>
      <c r="BK246" s="293"/>
      <c r="BL246" s="293"/>
      <c r="BM246" s="293"/>
      <c r="BN246" s="293"/>
      <c r="BO246" s="293"/>
      <c r="BP246" s="293"/>
      <c r="BQ246" s="293"/>
      <c r="BR246" s="293"/>
      <c r="BS246" s="293"/>
      <c r="BT246" s="293"/>
      <c r="BU246" s="293"/>
      <c r="BV246" s="293"/>
      <c r="BW246" s="293"/>
      <c r="BX246" s="293"/>
      <c r="BY246" s="293"/>
      <c r="BZ246" s="293"/>
    </row>
    <row r="247" spans="1:78" s="295" customFormat="1" ht="176.25" customHeight="1" x14ac:dyDescent="0.2">
      <c r="A247" s="458"/>
      <c r="B247" s="451"/>
      <c r="C247" s="452"/>
      <c r="D247" s="453"/>
      <c r="E247" s="454"/>
      <c r="F247" s="454"/>
      <c r="G247" s="446"/>
      <c r="H247" s="456"/>
      <c r="I247" s="446"/>
      <c r="J247" s="446"/>
      <c r="K247" s="457"/>
      <c r="L247" s="447"/>
      <c r="M247" s="445"/>
      <c r="N247" s="455"/>
      <c r="O247" s="285">
        <f ca="1">IF(NOT(ISERROR(MATCH(N247,_xlfn.ANCHORARRAY(#REF!),0))),#REF!&amp;"Por favor no seleccionar los criterios de impacto",N247)</f>
        <v>0</v>
      </c>
      <c r="P247" s="447"/>
      <c r="Q247" s="445"/>
      <c r="R247" s="459"/>
      <c r="S247" s="248">
        <v>3</v>
      </c>
      <c r="T247" s="351" t="s">
        <v>999</v>
      </c>
      <c r="U247" s="350" t="s">
        <v>292</v>
      </c>
      <c r="V247" s="322" t="str">
        <f>IF(OR(W247="Preventivo",W247="Detectivo"),"Probabilidad",IF(W247="Correctivo","Impacto",""))</f>
        <v>Probabilidad</v>
      </c>
      <c r="W247" s="323" t="s">
        <v>13</v>
      </c>
      <c r="X247" s="323" t="s">
        <v>8</v>
      </c>
      <c r="Y247" s="324" t="str">
        <f>IF(AND(W247="Preventivo",X247="Automático"),"50%",IF(AND(W247="Preventivo",X247="Manual"),"40%",IF(AND(W247="Detectivo",X247="Automático"),"40%",IF(AND(W247="Detectivo",X247="Manual"),"30%",IF(AND(W247="Correctivo",X247="Automático"),"35%",IF(AND(W247="Correctivo",X247="Manual"),"25%",""))))))</f>
        <v>40%</v>
      </c>
      <c r="Z247" s="323" t="s">
        <v>18</v>
      </c>
      <c r="AA247" s="323" t="s">
        <v>21</v>
      </c>
      <c r="AB247" s="323" t="s">
        <v>103</v>
      </c>
      <c r="AC247" s="325">
        <f t="shared" ref="AC247:AC250" si="463">IFERROR(IF(AND(V246="Probabilidad",V247="Probabilidad"),(AE246-(+AE246*Y247)),IF(AND(V246="Impacto",V247="Probabilidad"),(AE245-(+AE245*Y247)),IF(V247="Impacto",AE246,""))),"")</f>
        <v>0.12959999999999999</v>
      </c>
      <c r="AD247" s="326" t="str">
        <f t="shared" si="459"/>
        <v>Muy Baja</v>
      </c>
      <c r="AE247" s="324">
        <f t="shared" si="460"/>
        <v>0.12959999999999999</v>
      </c>
      <c r="AF247" s="326" t="str">
        <f t="shared" ca="1" si="461"/>
        <v>Menor</v>
      </c>
      <c r="AG247" s="324">
        <f t="shared" ref="AG247:AG250" ca="1" si="464">IFERROR(IF(AND(V246="Impacto",V247="Impacto"),(AG246-(+AG246*Y247)),IF(V247="Impacto",($Q$245-(+$Q$245*Y247)),IF(V247="Probabilidad",AG246,""))),"")</f>
        <v>0.4</v>
      </c>
      <c r="AH247" s="328" t="str">
        <f t="shared" ca="1" si="462"/>
        <v>Bajo</v>
      </c>
      <c r="AI247" s="323" t="s">
        <v>27</v>
      </c>
      <c r="AJ247" s="249">
        <v>4</v>
      </c>
      <c r="AK247" s="249">
        <v>1</v>
      </c>
      <c r="AL247" s="249">
        <v>1</v>
      </c>
      <c r="AM247" s="249">
        <v>2</v>
      </c>
      <c r="AN247" s="278"/>
      <c r="AO247" s="277"/>
      <c r="AP247" s="277"/>
      <c r="AQ247" s="276"/>
      <c r="AR247" s="263"/>
      <c r="AS247" s="277"/>
      <c r="AT247" s="293"/>
      <c r="AU247" s="293"/>
      <c r="AV247" s="293"/>
      <c r="AW247" s="293"/>
      <c r="AX247" s="293"/>
      <c r="AY247" s="293"/>
      <c r="AZ247" s="293"/>
      <c r="BA247" s="293"/>
      <c r="BB247" s="293"/>
      <c r="BC247" s="293"/>
      <c r="BD247" s="293"/>
      <c r="BE247" s="293"/>
      <c r="BF247" s="293"/>
      <c r="BG247" s="293"/>
      <c r="BH247" s="293"/>
      <c r="BI247" s="293"/>
      <c r="BJ247" s="293"/>
      <c r="BK247" s="293"/>
      <c r="BL247" s="293"/>
      <c r="BM247" s="293"/>
      <c r="BN247" s="293"/>
      <c r="BO247" s="293"/>
      <c r="BP247" s="293"/>
      <c r="BQ247" s="293"/>
      <c r="BR247" s="293"/>
      <c r="BS247" s="293"/>
      <c r="BT247" s="293"/>
      <c r="BU247" s="293"/>
      <c r="BV247" s="293"/>
      <c r="BW247" s="293"/>
      <c r="BX247" s="293"/>
      <c r="BY247" s="293"/>
      <c r="BZ247" s="293"/>
    </row>
    <row r="248" spans="1:78" s="295" customFormat="1" ht="147" customHeight="1" x14ac:dyDescent="0.2">
      <c r="A248" s="458"/>
      <c r="B248" s="451"/>
      <c r="C248" s="452"/>
      <c r="D248" s="453"/>
      <c r="E248" s="454"/>
      <c r="F248" s="454"/>
      <c r="G248" s="446"/>
      <c r="H248" s="456"/>
      <c r="I248" s="446"/>
      <c r="J248" s="446"/>
      <c r="K248" s="457"/>
      <c r="L248" s="447"/>
      <c r="M248" s="445"/>
      <c r="N248" s="455"/>
      <c r="O248" s="285">
        <f ca="1">IF(NOT(ISERROR(MATCH(N248,_xlfn.ANCHORARRAY(#REF!),0))),#REF!&amp;"Por favor no seleccionar los criterios de impacto",N248)</f>
        <v>0</v>
      </c>
      <c r="P248" s="447"/>
      <c r="Q248" s="445"/>
      <c r="R248" s="459"/>
      <c r="S248" s="248">
        <v>4</v>
      </c>
      <c r="T248" s="351" t="s">
        <v>783</v>
      </c>
      <c r="U248" s="350" t="s">
        <v>292</v>
      </c>
      <c r="V248" s="322" t="str">
        <f t="shared" ref="V248:V250" si="465">IF(OR(W248="Preventivo",W248="Detectivo"),"Probabilidad",IF(W248="Correctivo","Impacto",""))</f>
        <v>Probabilidad</v>
      </c>
      <c r="W248" s="323" t="s">
        <v>13</v>
      </c>
      <c r="X248" s="323" t="s">
        <v>8</v>
      </c>
      <c r="Y248" s="324" t="str">
        <f t="shared" ref="Y248:Y250" si="466">IF(AND(W248="Preventivo",X248="Automático"),"50%",IF(AND(W248="Preventivo",X248="Manual"),"40%",IF(AND(W248="Detectivo",X248="Automático"),"40%",IF(AND(W248="Detectivo",X248="Manual"),"30%",IF(AND(W248="Correctivo",X248="Automático"),"35%",IF(AND(W248="Correctivo",X248="Manual"),"25%",""))))))</f>
        <v>40%</v>
      </c>
      <c r="Z248" s="323" t="s">
        <v>18</v>
      </c>
      <c r="AA248" s="323" t="s">
        <v>22</v>
      </c>
      <c r="AB248" s="323" t="s">
        <v>103</v>
      </c>
      <c r="AC248" s="325">
        <f t="shared" si="463"/>
        <v>7.7759999999999996E-2</v>
      </c>
      <c r="AD248" s="326" t="str">
        <f t="shared" si="459"/>
        <v>Muy Baja</v>
      </c>
      <c r="AE248" s="324">
        <f t="shared" si="460"/>
        <v>7.7759999999999996E-2</v>
      </c>
      <c r="AF248" s="326" t="str">
        <f t="shared" ca="1" si="461"/>
        <v>Menor</v>
      </c>
      <c r="AG248" s="324">
        <f t="shared" ca="1" si="464"/>
        <v>0.4</v>
      </c>
      <c r="AH248" s="328" t="str">
        <f ca="1">IFERROR(IF(OR(AND(AD248="Muy Baja",AF248="Leve"),AND(AD248="Muy Baja",AF248="Menor"),AND(AD248="Baja",AF248="Leve")),"Bajo",IF(OR(AND(AD248="Muy baja",AF248="Moderado"),AND(AD248="Baja",AF248="Menor"),AND(AD248="Baja",AF248="Moderado"),AND(AD248="Media",AF248="Leve"),AND(AD248="Media",AF248="Menor"),AND(AD248="Media",AF248="Moderado"),AND(AD248="Alta",AF248="Leve"),AND(AD248="Alta",AF248="Menor")),"Moderado",IF(OR(AND(AD248="Muy Baja",AF248="Mayor"),AND(AD248="Baja",AF248="Mayor"),AND(AD248="Media",AF248="Mayor"),AND(AD248="Alta",AF248="Moderado"),AND(AD248="Alta",AF248="Mayor"),AND(AD248="Muy Alta",AF248="Leve"),AND(AD248="Muy Alta",AF248="Menor"),AND(AD248="Muy Alta",AF248="Moderado"),AND(AD248="Muy Alta",AF248="Mayor")),"Alto",IF(OR(AND(AD248="Muy Baja",AF248="Catastrófico"),AND(AD248="Baja",AF248="Catastrófico"),AND(AD248="Media",AF248="Catastrófico"),AND(AD248="Alta",AF248="Catastrófico"),AND(AD248="Muy Alta",AF248="Catastrófico")),"Extremo","")))),"")</f>
        <v>Bajo</v>
      </c>
      <c r="AI248" s="323" t="s">
        <v>27</v>
      </c>
      <c r="AJ248" s="249">
        <v>2</v>
      </c>
      <c r="AK248" s="249">
        <v>0</v>
      </c>
      <c r="AL248" s="249">
        <v>1</v>
      </c>
      <c r="AM248" s="249">
        <v>1</v>
      </c>
      <c r="AN248" s="282"/>
      <c r="AO248" s="209"/>
      <c r="AP248" s="209"/>
      <c r="AQ248" s="244"/>
      <c r="AR248" s="263"/>
      <c r="AS248" s="209"/>
      <c r="AT248" s="293"/>
      <c r="AU248" s="293"/>
      <c r="AV248" s="293"/>
      <c r="AW248" s="293"/>
      <c r="AX248" s="293"/>
      <c r="AY248" s="293"/>
      <c r="AZ248" s="293"/>
      <c r="BA248" s="293"/>
      <c r="BB248" s="293"/>
      <c r="BC248" s="293"/>
      <c r="BD248" s="293"/>
      <c r="BE248" s="293"/>
      <c r="BF248" s="293"/>
      <c r="BG248" s="293"/>
      <c r="BH248" s="293"/>
      <c r="BI248" s="293"/>
      <c r="BJ248" s="293"/>
      <c r="BK248" s="293"/>
      <c r="BL248" s="293"/>
      <c r="BM248" s="293"/>
      <c r="BN248" s="293"/>
      <c r="BO248" s="293"/>
      <c r="BP248" s="293"/>
      <c r="BQ248" s="293"/>
      <c r="BR248" s="293"/>
      <c r="BS248" s="293"/>
      <c r="BT248" s="293"/>
      <c r="BU248" s="293"/>
      <c r="BV248" s="293"/>
      <c r="BW248" s="293"/>
      <c r="BX248" s="293"/>
      <c r="BY248" s="293"/>
      <c r="BZ248" s="293"/>
    </row>
    <row r="249" spans="1:78" s="295" customFormat="1" ht="4.5" customHeight="1" x14ac:dyDescent="0.2">
      <c r="A249" s="458"/>
      <c r="B249" s="451"/>
      <c r="C249" s="452"/>
      <c r="D249" s="453"/>
      <c r="E249" s="454"/>
      <c r="F249" s="454"/>
      <c r="G249" s="446"/>
      <c r="H249" s="456"/>
      <c r="I249" s="446"/>
      <c r="J249" s="446"/>
      <c r="K249" s="457"/>
      <c r="L249" s="447"/>
      <c r="M249" s="445"/>
      <c r="N249" s="455"/>
      <c r="O249" s="285">
        <f ca="1">IF(NOT(ISERROR(MATCH(N249,_xlfn.ANCHORARRAY(#REF!),0))),#REF!&amp;"Por favor no seleccionar los criterios de impacto",N249)</f>
        <v>0</v>
      </c>
      <c r="P249" s="447"/>
      <c r="Q249" s="445"/>
      <c r="R249" s="459"/>
      <c r="S249" s="248">
        <v>5</v>
      </c>
      <c r="T249" s="321"/>
      <c r="U249" s="245"/>
      <c r="V249" s="322" t="str">
        <f t="shared" si="465"/>
        <v/>
      </c>
      <c r="W249" s="323"/>
      <c r="X249" s="323"/>
      <c r="Y249" s="324" t="str">
        <f t="shared" si="466"/>
        <v/>
      </c>
      <c r="Z249" s="323"/>
      <c r="AA249" s="323"/>
      <c r="AB249" s="323"/>
      <c r="AC249" s="325" t="str">
        <f t="shared" si="463"/>
        <v/>
      </c>
      <c r="AD249" s="326" t="str">
        <f t="shared" si="459"/>
        <v/>
      </c>
      <c r="AE249" s="324" t="str">
        <f t="shared" si="460"/>
        <v/>
      </c>
      <c r="AF249" s="326" t="str">
        <f t="shared" si="461"/>
        <v/>
      </c>
      <c r="AG249" s="324" t="str">
        <f t="shared" si="464"/>
        <v/>
      </c>
      <c r="AH249" s="328" t="str">
        <f t="shared" ref="AH249:AH250" si="467">IFERROR(IF(OR(AND(AD249="Muy Baja",AF249="Leve"),AND(AD249="Muy Baja",AF249="Menor"),AND(AD249="Baja",AF249="Leve")),"Bajo",IF(OR(AND(AD249="Muy baja",AF249="Moderado"),AND(AD249="Baja",AF249="Menor"),AND(AD249="Baja",AF249="Moderado"),AND(AD249="Media",AF249="Leve"),AND(AD249="Media",AF249="Menor"),AND(AD249="Media",AF249="Moderado"),AND(AD249="Alta",AF249="Leve"),AND(AD249="Alta",AF249="Menor")),"Moderado",IF(OR(AND(AD249="Muy Baja",AF249="Mayor"),AND(AD249="Baja",AF249="Mayor"),AND(AD249="Media",AF249="Mayor"),AND(AD249="Alta",AF249="Moderado"),AND(AD249="Alta",AF249="Mayor"),AND(AD249="Muy Alta",AF249="Leve"),AND(AD249="Muy Alta",AF249="Menor"),AND(AD249="Muy Alta",AF249="Moderado"),AND(AD249="Muy Alta",AF249="Mayor")),"Alto",IF(OR(AND(AD249="Muy Baja",AF249="Catastrófico"),AND(AD249="Baja",AF249="Catastrófico"),AND(AD249="Media",AF249="Catastrófico"),AND(AD249="Alta",AF249="Catastrófico"),AND(AD249="Muy Alta",AF249="Catastrófico")),"Extremo","")))),"")</f>
        <v/>
      </c>
      <c r="AI249" s="323"/>
      <c r="AJ249" s="249"/>
      <c r="AK249" s="249"/>
      <c r="AL249" s="249"/>
      <c r="AM249" s="249"/>
      <c r="AN249" s="282"/>
      <c r="AO249" s="276"/>
      <c r="AP249" s="276"/>
      <c r="AQ249" s="278"/>
      <c r="AR249" s="211"/>
      <c r="AS249" s="211"/>
      <c r="AT249" s="293"/>
      <c r="AU249" s="293"/>
      <c r="AV249" s="293"/>
      <c r="AW249" s="293"/>
      <c r="AX249" s="293"/>
      <c r="AY249" s="293"/>
      <c r="AZ249" s="293"/>
      <c r="BA249" s="293"/>
      <c r="BB249" s="293"/>
      <c r="BC249" s="293"/>
      <c r="BD249" s="293"/>
      <c r="BE249" s="293"/>
      <c r="BF249" s="293"/>
      <c r="BG249" s="293"/>
      <c r="BH249" s="293"/>
      <c r="BI249" s="293"/>
      <c r="BJ249" s="293"/>
      <c r="BK249" s="293"/>
      <c r="BL249" s="293"/>
      <c r="BM249" s="293"/>
      <c r="BN249" s="293"/>
      <c r="BO249" s="293"/>
      <c r="BP249" s="293"/>
      <c r="BQ249" s="293"/>
      <c r="BR249" s="293"/>
      <c r="BS249" s="293"/>
      <c r="BT249" s="293"/>
      <c r="BU249" s="293"/>
      <c r="BV249" s="293"/>
      <c r="BW249" s="293"/>
      <c r="BX249" s="293"/>
      <c r="BY249" s="293"/>
      <c r="BZ249" s="293"/>
    </row>
    <row r="250" spans="1:78" s="295" customFormat="1" ht="4.5" customHeight="1" x14ac:dyDescent="0.2">
      <c r="A250" s="458"/>
      <c r="B250" s="451"/>
      <c r="C250" s="452"/>
      <c r="D250" s="453"/>
      <c r="E250" s="454"/>
      <c r="F250" s="454"/>
      <c r="G250" s="446"/>
      <c r="H250" s="456"/>
      <c r="I250" s="446"/>
      <c r="J250" s="446"/>
      <c r="K250" s="457"/>
      <c r="L250" s="447"/>
      <c r="M250" s="445"/>
      <c r="N250" s="455"/>
      <c r="O250" s="285">
        <f ca="1">IF(NOT(ISERROR(MATCH(N250,_xlfn.ANCHORARRAY(#REF!),0))),M281&amp;"Por favor no seleccionar los criterios de impacto",N250)</f>
        <v>0</v>
      </c>
      <c r="P250" s="447"/>
      <c r="Q250" s="445"/>
      <c r="R250" s="459"/>
      <c r="S250" s="248">
        <v>6</v>
      </c>
      <c r="T250" s="332"/>
      <c r="U250" s="245"/>
      <c r="V250" s="322" t="str">
        <f t="shared" si="465"/>
        <v/>
      </c>
      <c r="W250" s="323"/>
      <c r="X250" s="323"/>
      <c r="Y250" s="324" t="str">
        <f t="shared" si="466"/>
        <v/>
      </c>
      <c r="Z250" s="323"/>
      <c r="AA250" s="323"/>
      <c r="AB250" s="323"/>
      <c r="AC250" s="325" t="str">
        <f t="shared" si="463"/>
        <v/>
      </c>
      <c r="AD250" s="326" t="str">
        <f t="shared" si="459"/>
        <v/>
      </c>
      <c r="AE250" s="324" t="str">
        <f t="shared" si="460"/>
        <v/>
      </c>
      <c r="AF250" s="326" t="str">
        <f t="shared" si="461"/>
        <v/>
      </c>
      <c r="AG250" s="324" t="str">
        <f t="shared" si="464"/>
        <v/>
      </c>
      <c r="AH250" s="328" t="str">
        <f t="shared" si="467"/>
        <v/>
      </c>
      <c r="AI250" s="323"/>
      <c r="AJ250" s="249"/>
      <c r="AK250" s="249"/>
      <c r="AL250" s="249"/>
      <c r="AM250" s="249"/>
      <c r="AN250" s="278"/>
      <c r="AO250" s="276"/>
      <c r="AP250" s="276"/>
      <c r="AQ250" s="278"/>
      <c r="AR250" s="211"/>
      <c r="AS250" s="211"/>
      <c r="AT250" s="293"/>
      <c r="AU250" s="293"/>
      <c r="AV250" s="293"/>
      <c r="AW250" s="293"/>
      <c r="AX250" s="293"/>
      <c r="AY250" s="293"/>
      <c r="AZ250" s="293"/>
      <c r="BA250" s="293"/>
      <c r="BB250" s="293"/>
      <c r="BC250" s="293"/>
      <c r="BD250" s="293"/>
      <c r="BE250" s="293"/>
      <c r="BF250" s="293"/>
      <c r="BG250" s="293"/>
      <c r="BH250" s="293"/>
      <c r="BI250" s="293"/>
      <c r="BJ250" s="293"/>
      <c r="BK250" s="293"/>
      <c r="BL250" s="293"/>
      <c r="BM250" s="293"/>
      <c r="BN250" s="293"/>
      <c r="BO250" s="293"/>
      <c r="BP250" s="293"/>
      <c r="BQ250" s="293"/>
      <c r="BR250" s="293"/>
      <c r="BS250" s="293"/>
      <c r="BT250" s="293"/>
      <c r="BU250" s="293"/>
      <c r="BV250" s="293"/>
      <c r="BW250" s="293"/>
      <c r="BX250" s="293"/>
      <c r="BY250" s="293"/>
      <c r="BZ250" s="293"/>
    </row>
    <row r="251" spans="1:78" s="294" customFormat="1" ht="73.5" customHeight="1" x14ac:dyDescent="0.2">
      <c r="A251" s="458" t="s">
        <v>755</v>
      </c>
      <c r="B251" s="451" t="s">
        <v>830</v>
      </c>
      <c r="C251" s="452" t="s">
        <v>281</v>
      </c>
      <c r="D251" s="453" t="s">
        <v>621</v>
      </c>
      <c r="E251" s="454" t="s">
        <v>107</v>
      </c>
      <c r="F251" s="446" t="s">
        <v>781</v>
      </c>
      <c r="G251" s="446" t="s">
        <v>675</v>
      </c>
      <c r="H251" s="446" t="s">
        <v>898</v>
      </c>
      <c r="I251" s="446" t="s">
        <v>654</v>
      </c>
      <c r="J251" s="446" t="s">
        <v>1060</v>
      </c>
      <c r="K251" s="457">
        <v>100</v>
      </c>
      <c r="L251" s="447" t="str">
        <f t="shared" ref="L251" si="468">IF(K251&lt;=0,"",IF(K251&lt;=2,"Muy Baja",IF(K251&lt;=24,"Baja",IF(K251&lt;=500,"Media",IF(K251&lt;=5000,"Alta","Muy Alta")))))</f>
        <v>Media</v>
      </c>
      <c r="M251" s="445">
        <f>IF(L251="","",IF(L251="Muy Baja",0.2,IF(L251="Baja",0.4,IF(L251="Media",0.6,IF(L251="Alta",0.8,IF(L251="Muy Alta",1,))))))</f>
        <v>0.6</v>
      </c>
      <c r="N251" s="455" t="s">
        <v>123</v>
      </c>
      <c r="O251" s="285" t="str">
        <f ca="1">IF(NOT(ISERROR(MATCH(N251,'Tabla Impacto'!$B$221:$B$223,0))),'Tabla Impacto'!$F$223&amp;"Por favor no seleccionar los criterios de impacto(Afectación Económica o presupuestal y Pérdida Reputacional)",N251)</f>
        <v xml:space="preserve">     El riesgo afecta la imagen de la entidad a nivel nacional, con efecto publicitarios sostenible a nivel país</v>
      </c>
      <c r="P251" s="447" t="str">
        <f ca="1">IF(OR(O251='Tabla Impacto'!$C$11,O251='Tabla Impacto'!$D$11),"Leve",IF(OR(O251='Tabla Impacto'!$C$12,O251='Tabla Impacto'!$D$12),"Menor",IF(OR(O251='Tabla Impacto'!$C$13,O251='Tabla Impacto'!$D$13),"Moderado",IF(OR(O251='Tabla Impacto'!$C$14,O251='Tabla Impacto'!$D$14),"Mayor",IF(OR(O251='Tabla Impacto'!$C$15,O251='Tabla Impacto'!$D$15),"Catastrófico","")))))</f>
        <v>Catastrófico</v>
      </c>
      <c r="Q251" s="445">
        <f ca="1">IF(P251="","",IF(P251="Leve",0.2,IF(P251="Menor",0.4,IF(P251="Moderado",0.6,IF(P251="Mayor",0.8,IF(P251="Catastrófico",1,))))))</f>
        <v>1</v>
      </c>
      <c r="R251" s="459" t="str">
        <f ca="1">IF(OR(AND(L251="Muy Baja",P251="Leve"),AND(L251="Muy Baja",P251="Menor"),AND(L251="Baja",P251="Leve")),"Bajo",IF(OR(AND(L251="Muy baja",P251="Moderado"),AND(L251="Baja",P251="Menor"),AND(L251="Baja",P251="Moderado"),AND(L251="Media",P251="Leve"),AND(L251="Media",P251="Menor"),AND(L251="Media",P251="Moderado"),AND(L251="Alta",P251="Leve"),AND(L251="Alta",P251="Menor")),"Moderado",IF(OR(AND(L251="Muy Baja",P251="Mayor"),AND(L251="Baja",P251="Mayor"),AND(L251="Media",P251="Mayor"),AND(L251="Alta",P251="Moderado"),AND(L251="Alta",P251="Mayor"),AND(L251="Muy Alta",P251="Leve"),AND(L251="Muy Alta",P251="Menor"),AND(L251="Muy Alta",P251="Moderado"),AND(L251="Muy Alta",P251="Mayor")),"Alto",IF(OR(AND(L251="Muy Baja",P251="Catastrófico"),AND(L251="Baja",P251="Catastrófico"),AND(L251="Media",P251="Catastrófico"),AND(L251="Alta",P251="Catastrófico"),AND(L251="Muy Alta",P251="Catastrófico")),"Extremo",""))))</f>
        <v>Extremo</v>
      </c>
      <c r="S251" s="248">
        <v>1</v>
      </c>
      <c r="T251" s="321" t="s">
        <v>900</v>
      </c>
      <c r="U251" s="245" t="s">
        <v>293</v>
      </c>
      <c r="V251" s="322" t="str">
        <f>IF(OR(W251="Preventivo",W251="Detectivo"),"Probabilidad",IF(W251="Correctivo","Impacto",""))</f>
        <v>Probabilidad</v>
      </c>
      <c r="W251" s="323" t="s">
        <v>13</v>
      </c>
      <c r="X251" s="323" t="s">
        <v>8</v>
      </c>
      <c r="Y251" s="324" t="str">
        <f t="shared" ref="Y251:Y252" si="469">IF(AND(W251="Preventivo",X251="Automático"),"50%",IF(AND(W251="Preventivo",X251="Manual"),"40%",IF(AND(W251="Detectivo",X251="Automático"),"40%",IF(AND(W251="Detectivo",X251="Manual"),"30%",IF(AND(W251="Correctivo",X251="Automático"),"35%",IF(AND(W251="Correctivo",X251="Manual"),"25%",""))))))</f>
        <v>40%</v>
      </c>
      <c r="Z251" s="323" t="s">
        <v>19</v>
      </c>
      <c r="AA251" s="323" t="s">
        <v>22</v>
      </c>
      <c r="AB251" s="323" t="s">
        <v>103</v>
      </c>
      <c r="AC251" s="325">
        <f t="shared" ref="AC251" si="470">IFERROR(IF(V251="Probabilidad",(M251-(+M251*Y251)),IF(V251="Impacto",M251,"")),"")</f>
        <v>0.36</v>
      </c>
      <c r="AD251" s="326" t="str">
        <f>IFERROR(IF(AC251="","",IF(AC251&lt;=0.2,"Muy Baja",IF(AC251&lt;=0.4,"Baja",IF(AC251&lt;=0.6,"Media",IF(AC251&lt;=0.8,"Alta","Muy Alta"))))),"")</f>
        <v>Baja</v>
      </c>
      <c r="AE251" s="324">
        <f>+AC251</f>
        <v>0.36</v>
      </c>
      <c r="AF251" s="326" t="str">
        <f ca="1">IFERROR(IF(AG251="","",IF(AG251&lt;=0.2,"Leve",IF(AG251&lt;=0.4,"Menor",IF(AG251&lt;=0.6,"Moderado",IF(AG251&lt;=0.8,"Mayor","Catastrófico"))))),"")</f>
        <v>Catastrófico</v>
      </c>
      <c r="AG251" s="324">
        <f ca="1">IFERROR(IF(V251="Impacto",(Q251-(+Q251*Y251)),IF(V251="Probabilidad",Q251,"")),"")</f>
        <v>1</v>
      </c>
      <c r="AH251" s="328" t="str">
        <f ca="1">IFERROR(IF(OR(AND(AD251="Muy Baja",AF251="Leve"),AND(AD251="Muy Baja",AF251="Menor"),AND(AD251="Baja",AF251="Leve")),"Bajo",IF(OR(AND(AD251="Muy baja",AF251="Moderado"),AND(AD251="Baja",AF251="Menor"),AND(AD251="Baja",AF251="Moderado"),AND(AD251="Media",AF251="Leve"),AND(AD251="Media",AF251="Menor"),AND(AD251="Media",AF251="Moderado"),AND(AD251="Alta",AF251="Leve"),AND(AD251="Alta",AF251="Menor")),"Moderado",IF(OR(AND(AD251="Muy Baja",AF251="Mayor"),AND(AD251="Baja",AF251="Mayor"),AND(AD251="Media",AF251="Mayor"),AND(AD251="Alta",AF251="Moderado"),AND(AD251="Alta",AF251="Mayor"),AND(AD251="Muy Alta",AF251="Leve"),AND(AD251="Muy Alta",AF251="Menor"),AND(AD251="Muy Alta",AF251="Moderado"),AND(AD251="Muy Alta",AF251="Mayor")),"Alto",IF(OR(AND(AD251="Muy Baja",AF251="Catastrófico"),AND(AD251="Baja",AF251="Catastrófico"),AND(AD251="Media",AF251="Catastrófico"),AND(AD251="Alta",AF251="Catastrófico"),AND(AD251="Muy Alta",AF251="Catastrófico")),"Extremo","")))),"")</f>
        <v>Extremo</v>
      </c>
      <c r="AI251" s="323" t="s">
        <v>26</v>
      </c>
      <c r="AJ251" s="334">
        <v>2</v>
      </c>
      <c r="AK251" s="249">
        <v>1</v>
      </c>
      <c r="AL251" s="249">
        <v>1</v>
      </c>
      <c r="AM251" s="249">
        <v>0</v>
      </c>
      <c r="AN251" s="240"/>
      <c r="AO251" s="259"/>
      <c r="AP251" s="259"/>
      <c r="AQ251" s="239"/>
      <c r="AR251" s="264"/>
      <c r="AS251" s="265"/>
      <c r="AT251" s="293"/>
      <c r="AU251" s="293"/>
      <c r="AV251" s="293"/>
      <c r="AW251" s="293"/>
      <c r="AX251" s="293"/>
      <c r="AY251" s="293"/>
      <c r="AZ251" s="293"/>
      <c r="BA251" s="293"/>
      <c r="BB251" s="293"/>
      <c r="BC251" s="293"/>
      <c r="BD251" s="293"/>
      <c r="BE251" s="293"/>
      <c r="BF251" s="293"/>
      <c r="BG251" s="293"/>
      <c r="BH251" s="293"/>
      <c r="BI251" s="293"/>
      <c r="BJ251" s="293"/>
      <c r="BK251" s="293"/>
      <c r="BL251" s="293"/>
      <c r="BM251" s="293"/>
      <c r="BN251" s="293"/>
      <c r="BO251" s="293"/>
      <c r="BP251" s="293"/>
      <c r="BQ251" s="293"/>
      <c r="BR251" s="293"/>
      <c r="BS251" s="293"/>
      <c r="BT251" s="293"/>
      <c r="BU251" s="293"/>
      <c r="BV251" s="293"/>
      <c r="BW251" s="293"/>
      <c r="BX251" s="293"/>
      <c r="BY251" s="293"/>
      <c r="BZ251" s="293"/>
    </row>
    <row r="252" spans="1:78" s="295" customFormat="1" ht="96" customHeight="1" x14ac:dyDescent="0.2">
      <c r="A252" s="458"/>
      <c r="B252" s="451"/>
      <c r="C252" s="452"/>
      <c r="D252" s="453"/>
      <c r="E252" s="454"/>
      <c r="F252" s="446"/>
      <c r="G252" s="446"/>
      <c r="H252" s="446"/>
      <c r="I252" s="446"/>
      <c r="J252" s="446"/>
      <c r="K252" s="457"/>
      <c r="L252" s="447"/>
      <c r="M252" s="445"/>
      <c r="N252" s="455"/>
      <c r="O252" s="285">
        <f ca="1">IF(NOT(ISERROR(MATCH(N252,_xlfn.ANCHORARRAY(H281),0))),M283&amp;"Por favor no seleccionar los criterios de impacto",N252)</f>
        <v>0</v>
      </c>
      <c r="P252" s="447"/>
      <c r="Q252" s="445"/>
      <c r="R252" s="459"/>
      <c r="S252" s="248">
        <v>2</v>
      </c>
      <c r="T252" s="321" t="s">
        <v>899</v>
      </c>
      <c r="U252" s="245" t="s">
        <v>293</v>
      </c>
      <c r="V252" s="322" t="str">
        <f>IF(OR(W252="Preventivo",W252="Detectivo"),"Probabilidad",IF(W252="Correctivo","Impacto",""))</f>
        <v>Probabilidad</v>
      </c>
      <c r="W252" s="323" t="s">
        <v>13</v>
      </c>
      <c r="X252" s="323" t="s">
        <v>8</v>
      </c>
      <c r="Y252" s="324" t="str">
        <f t="shared" si="469"/>
        <v>40%</v>
      </c>
      <c r="Z252" s="323" t="s">
        <v>19</v>
      </c>
      <c r="AA252" s="323" t="s">
        <v>21</v>
      </c>
      <c r="AB252" s="323" t="s">
        <v>103</v>
      </c>
      <c r="AC252" s="325">
        <f t="shared" ref="AC252" si="471">IFERROR(IF(AND(V251="Probabilidad",V252="Probabilidad"),(AE251-(+AE251*Y252)),IF(V252="Probabilidad",(M251-(+M251*Y252)),IF(V252="Impacto",AE251,""))),"")</f>
        <v>0.216</v>
      </c>
      <c r="AD252" s="326" t="str">
        <f t="shared" ref="AD252:AD256" si="472">IFERROR(IF(AC252="","",IF(AC252&lt;=0.2,"Muy Baja",IF(AC252&lt;=0.4,"Baja",IF(AC252&lt;=0.6,"Media",IF(AC252&lt;=0.8,"Alta","Muy Alta"))))),"")</f>
        <v>Baja</v>
      </c>
      <c r="AE252" s="324">
        <f t="shared" ref="AE252:AE256" si="473">+AC252</f>
        <v>0.216</v>
      </c>
      <c r="AF252" s="326" t="str">
        <f t="shared" ref="AF252:AF256" ca="1" si="474">IFERROR(IF(AG252="","",IF(AG252&lt;=0.2,"Leve",IF(AG252&lt;=0.4,"Menor",IF(AG252&lt;=0.6,"Moderado",IF(AG252&lt;=0.8,"Mayor","Catastrófico"))))),"")</f>
        <v>Catastrófico</v>
      </c>
      <c r="AG252" s="324">
        <f ca="1">IFERROR(IF(AND(V251="Impacto",V252="Impacto"),(AG251-(+AG251*Y252)),IF(V252="Impacto",($Q$251-(+$Q$251*Y252)),IF(V252="Probabilidad",AG251,""))),"")</f>
        <v>1</v>
      </c>
      <c r="AH252" s="328" t="str">
        <f t="shared" ref="AH252:AH253" ca="1" si="475">IFERROR(IF(OR(AND(AD252="Muy Baja",AF252="Leve"),AND(AD252="Muy Baja",AF252="Menor"),AND(AD252="Baja",AF252="Leve")),"Bajo",IF(OR(AND(AD252="Muy baja",AF252="Moderado"),AND(AD252="Baja",AF252="Menor"),AND(AD252="Baja",AF252="Moderado"),AND(AD252="Media",AF252="Leve"),AND(AD252="Media",AF252="Menor"),AND(AD252="Media",AF252="Moderado"),AND(AD252="Alta",AF252="Leve"),AND(AD252="Alta",AF252="Menor")),"Moderado",IF(OR(AND(AD252="Muy Baja",AF252="Mayor"),AND(AD252="Baja",AF252="Mayor"),AND(AD252="Media",AF252="Mayor"),AND(AD252="Alta",AF252="Moderado"),AND(AD252="Alta",AF252="Mayor"),AND(AD252="Muy Alta",AF252="Leve"),AND(AD252="Muy Alta",AF252="Menor"),AND(AD252="Muy Alta",AF252="Moderado"),AND(AD252="Muy Alta",AF252="Mayor")),"Alto",IF(OR(AND(AD252="Muy Baja",AF252="Catastrófico"),AND(AD252="Baja",AF252="Catastrófico"),AND(AD252="Media",AF252="Catastrófico"),AND(AD252="Alta",AF252="Catastrófico"),AND(AD252="Muy Alta",AF252="Catastrófico")),"Extremo","")))),"")</f>
        <v>Extremo</v>
      </c>
      <c r="AI252" s="323" t="s">
        <v>26</v>
      </c>
      <c r="AJ252" s="249">
        <v>4</v>
      </c>
      <c r="AK252" s="249">
        <v>0</v>
      </c>
      <c r="AL252" s="249">
        <v>2</v>
      </c>
      <c r="AM252" s="249">
        <v>2</v>
      </c>
      <c r="AN252" s="278"/>
      <c r="AO252" s="277"/>
      <c r="AP252" s="277"/>
      <c r="AQ252" s="276"/>
      <c r="AR252" s="263"/>
      <c r="AS252" s="277"/>
      <c r="AT252" s="293"/>
      <c r="AU252" s="293"/>
      <c r="AV252" s="293"/>
      <c r="AW252" s="293"/>
      <c r="AX252" s="293"/>
      <c r="AY252" s="293"/>
      <c r="AZ252" s="293"/>
      <c r="BA252" s="293"/>
      <c r="BB252" s="293"/>
      <c r="BC252" s="293"/>
      <c r="BD252" s="293"/>
      <c r="BE252" s="293"/>
      <c r="BF252" s="293"/>
      <c r="BG252" s="293"/>
      <c r="BH252" s="293"/>
      <c r="BI252" s="293"/>
      <c r="BJ252" s="293"/>
      <c r="BK252" s="293"/>
      <c r="BL252" s="293"/>
      <c r="BM252" s="293"/>
      <c r="BN252" s="293"/>
      <c r="BO252" s="293"/>
      <c r="BP252" s="293"/>
      <c r="BQ252" s="293"/>
      <c r="BR252" s="293"/>
      <c r="BS252" s="293"/>
      <c r="BT252" s="293"/>
      <c r="BU252" s="293"/>
      <c r="BV252" s="293"/>
      <c r="BW252" s="293"/>
      <c r="BX252" s="293"/>
      <c r="BY252" s="293"/>
      <c r="BZ252" s="293"/>
    </row>
    <row r="253" spans="1:78" s="295" customFormat="1" ht="14.25" customHeight="1" x14ac:dyDescent="0.2">
      <c r="A253" s="458"/>
      <c r="B253" s="451"/>
      <c r="C253" s="452"/>
      <c r="D253" s="453"/>
      <c r="E253" s="454"/>
      <c r="F253" s="446"/>
      <c r="G253" s="446"/>
      <c r="H253" s="446"/>
      <c r="I253" s="446"/>
      <c r="J253" s="446"/>
      <c r="K253" s="457"/>
      <c r="L253" s="447"/>
      <c r="M253" s="445"/>
      <c r="N253" s="455"/>
      <c r="O253" s="285">
        <f ca="1">IF(NOT(ISERROR(MATCH(N253,_xlfn.ANCHORARRAY(H282),0))),M284&amp;"Por favor no seleccionar los criterios de impacto",N253)</f>
        <v>0</v>
      </c>
      <c r="P253" s="447"/>
      <c r="Q253" s="445"/>
      <c r="R253" s="459"/>
      <c r="S253" s="248">
        <v>3</v>
      </c>
      <c r="T253" s="330"/>
      <c r="U253" s="245"/>
      <c r="V253" s="322" t="str">
        <f>IF(OR(W253="Preventivo",W253="Detectivo"),"Probabilidad",IF(W253="Correctivo","Impacto",""))</f>
        <v/>
      </c>
      <c r="W253" s="323"/>
      <c r="X253" s="323"/>
      <c r="Y253" s="324" t="str">
        <f>IF(AND(W253="Preventivo",X253="Automático"),"50%",IF(AND(W253="Preventivo",X253="Manual"),"40%",IF(AND(W253="Detectivo",X253="Automático"),"40%",IF(AND(W253="Detectivo",X253="Manual"),"30%",IF(AND(W253="Correctivo",X253="Automático"),"35%",IF(AND(W253="Correctivo",X253="Manual"),"25%",""))))))</f>
        <v/>
      </c>
      <c r="Z253" s="323"/>
      <c r="AA253" s="323"/>
      <c r="AB253" s="323"/>
      <c r="AC253" s="325" t="str">
        <f t="shared" ref="AC253:AC256" si="476">IFERROR(IF(AND(V252="Probabilidad",V253="Probabilidad"),(AE252-(+AE252*Y253)),IF(AND(V252="Impacto",V253="Probabilidad"),(AE251-(+AE251*Y253)),IF(V253="Impacto",AE252,""))),"")</f>
        <v/>
      </c>
      <c r="AD253" s="326" t="str">
        <f t="shared" si="472"/>
        <v/>
      </c>
      <c r="AE253" s="324" t="str">
        <f t="shared" si="473"/>
        <v/>
      </c>
      <c r="AF253" s="326" t="str">
        <f t="shared" si="474"/>
        <v/>
      </c>
      <c r="AG253" s="324" t="str">
        <f t="shared" ref="AG253:AG256" si="477">IFERROR(IF(AND(V252="Impacto",V253="Impacto"),(AG252-(+AG252*Y253)),IF(V253="Impacto",($Q$251-(+$Q$251*Y253)),IF(V253="Probabilidad",AG252,""))),"")</f>
        <v/>
      </c>
      <c r="AH253" s="328" t="str">
        <f t="shared" si="475"/>
        <v/>
      </c>
      <c r="AI253" s="323"/>
      <c r="AJ253" s="249"/>
      <c r="AK253" s="249"/>
      <c r="AL253" s="249"/>
      <c r="AM253" s="249"/>
      <c r="AN253" s="278"/>
      <c r="AO253" s="277"/>
      <c r="AP253" s="277"/>
      <c r="AQ253" s="276"/>
      <c r="AR253" s="263"/>
      <c r="AS253" s="277"/>
      <c r="AT253" s="293"/>
      <c r="AU253" s="293"/>
      <c r="AV253" s="293"/>
      <c r="AW253" s="293"/>
      <c r="AX253" s="293"/>
      <c r="AY253" s="293"/>
      <c r="AZ253" s="293"/>
      <c r="BA253" s="293"/>
      <c r="BB253" s="293"/>
      <c r="BC253" s="293"/>
      <c r="BD253" s="293"/>
      <c r="BE253" s="293"/>
      <c r="BF253" s="293"/>
      <c r="BG253" s="293"/>
      <c r="BH253" s="293"/>
      <c r="BI253" s="293"/>
      <c r="BJ253" s="293"/>
      <c r="BK253" s="293"/>
      <c r="BL253" s="293"/>
      <c r="BM253" s="293"/>
      <c r="BN253" s="293"/>
      <c r="BO253" s="293"/>
      <c r="BP253" s="293"/>
      <c r="BQ253" s="293"/>
      <c r="BR253" s="293"/>
      <c r="BS253" s="293"/>
      <c r="BT253" s="293"/>
      <c r="BU253" s="293"/>
      <c r="BV253" s="293"/>
      <c r="BW253" s="293"/>
      <c r="BX253" s="293"/>
      <c r="BY253" s="293"/>
      <c r="BZ253" s="293"/>
    </row>
    <row r="254" spans="1:78" s="295" customFormat="1" ht="14.25" customHeight="1" x14ac:dyDescent="0.2">
      <c r="A254" s="458"/>
      <c r="B254" s="451"/>
      <c r="C254" s="452"/>
      <c r="D254" s="453"/>
      <c r="E254" s="454"/>
      <c r="F254" s="446"/>
      <c r="G254" s="446"/>
      <c r="H254" s="446"/>
      <c r="I254" s="446"/>
      <c r="J254" s="446"/>
      <c r="K254" s="457"/>
      <c r="L254" s="447"/>
      <c r="M254" s="445"/>
      <c r="N254" s="455"/>
      <c r="O254" s="285">
        <f ca="1">IF(NOT(ISERROR(MATCH(N254,_xlfn.ANCHORARRAY(H283),0))),M285&amp;"Por favor no seleccionar los criterios de impacto",N254)</f>
        <v>0</v>
      </c>
      <c r="P254" s="447"/>
      <c r="Q254" s="445"/>
      <c r="R254" s="459"/>
      <c r="S254" s="248">
        <v>4</v>
      </c>
      <c r="T254" s="330"/>
      <c r="U254" s="245"/>
      <c r="V254" s="322" t="str">
        <f t="shared" ref="V254:V256" si="478">IF(OR(W254="Preventivo",W254="Detectivo"),"Probabilidad",IF(W254="Correctivo","Impacto",""))</f>
        <v/>
      </c>
      <c r="W254" s="323"/>
      <c r="X254" s="323"/>
      <c r="Y254" s="324" t="str">
        <f t="shared" ref="Y254:Y256" si="479">IF(AND(W254="Preventivo",X254="Automático"),"50%",IF(AND(W254="Preventivo",X254="Manual"),"40%",IF(AND(W254="Detectivo",X254="Automático"),"40%",IF(AND(W254="Detectivo",X254="Manual"),"30%",IF(AND(W254="Correctivo",X254="Automático"),"35%",IF(AND(W254="Correctivo",X254="Manual"),"25%",""))))))</f>
        <v/>
      </c>
      <c r="Z254" s="323"/>
      <c r="AA254" s="323"/>
      <c r="AB254" s="323"/>
      <c r="AC254" s="325" t="str">
        <f t="shared" si="476"/>
        <v/>
      </c>
      <c r="AD254" s="326" t="str">
        <f t="shared" si="472"/>
        <v/>
      </c>
      <c r="AE254" s="324" t="str">
        <f t="shared" si="473"/>
        <v/>
      </c>
      <c r="AF254" s="326" t="str">
        <f t="shared" si="474"/>
        <v/>
      </c>
      <c r="AG254" s="324" t="str">
        <f t="shared" si="477"/>
        <v/>
      </c>
      <c r="AH254" s="328" t="str">
        <f>IFERROR(IF(OR(AND(AD254="Muy Baja",AF254="Leve"),AND(AD254="Muy Baja",AF254="Menor"),AND(AD254="Baja",AF254="Leve")),"Bajo",IF(OR(AND(AD254="Muy baja",AF254="Moderado"),AND(AD254="Baja",AF254="Menor"),AND(AD254="Baja",AF254="Moderado"),AND(AD254="Media",AF254="Leve"),AND(AD254="Media",AF254="Menor"),AND(AD254="Media",AF254="Moderado"),AND(AD254="Alta",AF254="Leve"),AND(AD254="Alta",AF254="Menor")),"Moderado",IF(OR(AND(AD254="Muy Baja",AF254="Mayor"),AND(AD254="Baja",AF254="Mayor"),AND(AD254="Media",AF254="Mayor"),AND(AD254="Alta",AF254="Moderado"),AND(AD254="Alta",AF254="Mayor"),AND(AD254="Muy Alta",AF254="Leve"),AND(AD254="Muy Alta",AF254="Menor"),AND(AD254="Muy Alta",AF254="Moderado"),AND(AD254="Muy Alta",AF254="Mayor")),"Alto",IF(OR(AND(AD254="Muy Baja",AF254="Catastrófico"),AND(AD254="Baja",AF254="Catastrófico"),AND(AD254="Media",AF254="Catastrófico"),AND(AD254="Alta",AF254="Catastrófico"),AND(AD254="Muy Alta",AF254="Catastrófico")),"Extremo","")))),"")</f>
        <v/>
      </c>
      <c r="AI254" s="323"/>
      <c r="AJ254" s="249"/>
      <c r="AK254" s="249"/>
      <c r="AL254" s="249"/>
      <c r="AM254" s="249"/>
      <c r="AN254" s="278"/>
      <c r="AO254" s="209"/>
      <c r="AP254" s="209"/>
      <c r="AQ254" s="244"/>
      <c r="AR254" s="263"/>
      <c r="AS254" s="209"/>
      <c r="AT254" s="293"/>
      <c r="AU254" s="293"/>
      <c r="AV254" s="293"/>
      <c r="AW254" s="293"/>
      <c r="AX254" s="293"/>
      <c r="AY254" s="293"/>
      <c r="AZ254" s="293"/>
      <c r="BA254" s="293"/>
      <c r="BB254" s="293"/>
      <c r="BC254" s="293"/>
      <c r="BD254" s="293"/>
      <c r="BE254" s="293"/>
      <c r="BF254" s="293"/>
      <c r="BG254" s="293"/>
      <c r="BH254" s="293"/>
      <c r="BI254" s="293"/>
      <c r="BJ254" s="293"/>
      <c r="BK254" s="293"/>
      <c r="BL254" s="293"/>
      <c r="BM254" s="293"/>
      <c r="BN254" s="293"/>
      <c r="BO254" s="293"/>
      <c r="BP254" s="293"/>
      <c r="BQ254" s="293"/>
      <c r="BR254" s="293"/>
      <c r="BS254" s="293"/>
      <c r="BT254" s="293"/>
      <c r="BU254" s="293"/>
      <c r="BV254" s="293"/>
      <c r="BW254" s="293"/>
      <c r="BX254" s="293"/>
      <c r="BY254" s="293"/>
      <c r="BZ254" s="293"/>
    </row>
    <row r="255" spans="1:78" s="295" customFormat="1" ht="14.25" customHeight="1" x14ac:dyDescent="0.2">
      <c r="A255" s="458"/>
      <c r="B255" s="451"/>
      <c r="C255" s="452"/>
      <c r="D255" s="453"/>
      <c r="E255" s="454"/>
      <c r="F255" s="446"/>
      <c r="G255" s="446"/>
      <c r="H255" s="446"/>
      <c r="I255" s="446"/>
      <c r="J255" s="446"/>
      <c r="K255" s="457"/>
      <c r="L255" s="447"/>
      <c r="M255" s="445"/>
      <c r="N255" s="455"/>
      <c r="O255" s="285">
        <f ca="1">IF(NOT(ISERROR(MATCH(N255,_xlfn.ANCHORARRAY(H284),0))),M286&amp;"Por favor no seleccionar los criterios de impacto",N255)</f>
        <v>0</v>
      </c>
      <c r="P255" s="447"/>
      <c r="Q255" s="445"/>
      <c r="R255" s="459"/>
      <c r="S255" s="248">
        <v>5</v>
      </c>
      <c r="T255" s="330"/>
      <c r="U255" s="245"/>
      <c r="V255" s="322" t="str">
        <f t="shared" si="478"/>
        <v/>
      </c>
      <c r="W255" s="323"/>
      <c r="X255" s="323"/>
      <c r="Y255" s="324" t="str">
        <f t="shared" si="479"/>
        <v/>
      </c>
      <c r="Z255" s="323"/>
      <c r="AA255" s="323"/>
      <c r="AB255" s="323"/>
      <c r="AC255" s="325" t="str">
        <f t="shared" si="476"/>
        <v/>
      </c>
      <c r="AD255" s="326" t="str">
        <f t="shared" si="472"/>
        <v/>
      </c>
      <c r="AE255" s="324" t="str">
        <f t="shared" si="473"/>
        <v/>
      </c>
      <c r="AF255" s="326" t="str">
        <f t="shared" si="474"/>
        <v/>
      </c>
      <c r="AG255" s="324" t="str">
        <f t="shared" si="477"/>
        <v/>
      </c>
      <c r="AH255" s="328" t="str">
        <f t="shared" ref="AH255:AH256" si="480">IFERROR(IF(OR(AND(AD255="Muy Baja",AF255="Leve"),AND(AD255="Muy Baja",AF255="Menor"),AND(AD255="Baja",AF255="Leve")),"Bajo",IF(OR(AND(AD255="Muy baja",AF255="Moderado"),AND(AD255="Baja",AF255="Menor"),AND(AD255="Baja",AF255="Moderado"),AND(AD255="Media",AF255="Leve"),AND(AD255="Media",AF255="Menor"),AND(AD255="Media",AF255="Moderado"),AND(AD255="Alta",AF255="Leve"),AND(AD255="Alta",AF255="Menor")),"Moderado",IF(OR(AND(AD255="Muy Baja",AF255="Mayor"),AND(AD255="Baja",AF255="Mayor"),AND(AD255="Media",AF255="Mayor"),AND(AD255="Alta",AF255="Moderado"),AND(AD255="Alta",AF255="Mayor"),AND(AD255="Muy Alta",AF255="Leve"),AND(AD255="Muy Alta",AF255="Menor"),AND(AD255="Muy Alta",AF255="Moderado"),AND(AD255="Muy Alta",AF255="Mayor")),"Alto",IF(OR(AND(AD255="Muy Baja",AF255="Catastrófico"),AND(AD255="Baja",AF255="Catastrófico"),AND(AD255="Media",AF255="Catastrófico"),AND(AD255="Alta",AF255="Catastrófico"),AND(AD255="Muy Alta",AF255="Catastrófico")),"Extremo","")))),"")</f>
        <v/>
      </c>
      <c r="AI255" s="323"/>
      <c r="AJ255" s="249"/>
      <c r="AK255" s="249"/>
      <c r="AL255" s="249"/>
      <c r="AM255" s="249"/>
      <c r="AN255" s="278"/>
      <c r="AO255" s="276"/>
      <c r="AP255" s="276"/>
      <c r="AQ255" s="278"/>
      <c r="AR255" s="211"/>
      <c r="AS255" s="211"/>
      <c r="AT255" s="293"/>
      <c r="AU255" s="293"/>
      <c r="AV255" s="293"/>
      <c r="AW255" s="293"/>
      <c r="AX255" s="293"/>
      <c r="AY255" s="293"/>
      <c r="AZ255" s="293"/>
      <c r="BA255" s="293"/>
      <c r="BB255" s="293"/>
      <c r="BC255" s="293"/>
      <c r="BD255" s="293"/>
      <c r="BE255" s="293"/>
      <c r="BF255" s="293"/>
      <c r="BG255" s="293"/>
      <c r="BH255" s="293"/>
      <c r="BI255" s="293"/>
      <c r="BJ255" s="293"/>
      <c r="BK255" s="293"/>
      <c r="BL255" s="293"/>
      <c r="BM255" s="293"/>
      <c r="BN255" s="293"/>
      <c r="BO255" s="293"/>
      <c r="BP255" s="293"/>
      <c r="BQ255" s="293"/>
      <c r="BR255" s="293"/>
      <c r="BS255" s="293"/>
      <c r="BT255" s="293"/>
      <c r="BU255" s="293"/>
      <c r="BV255" s="293"/>
      <c r="BW255" s="293"/>
      <c r="BX255" s="293"/>
      <c r="BY255" s="293"/>
      <c r="BZ255" s="293"/>
    </row>
    <row r="256" spans="1:78" s="295" customFormat="1" ht="0.75" customHeight="1" x14ac:dyDescent="0.2">
      <c r="A256" s="458"/>
      <c r="B256" s="451"/>
      <c r="C256" s="452"/>
      <c r="D256" s="453"/>
      <c r="E256" s="454"/>
      <c r="F256" s="446"/>
      <c r="G256" s="446"/>
      <c r="H256" s="446"/>
      <c r="I256" s="446"/>
      <c r="J256" s="446"/>
      <c r="K256" s="457"/>
      <c r="L256" s="447"/>
      <c r="M256" s="445"/>
      <c r="N256" s="455"/>
      <c r="O256" s="285">
        <f ca="1">IF(NOT(ISERROR(MATCH(N256,_xlfn.ANCHORARRAY(H285),0))),#REF!&amp;"Por favor no seleccionar los criterios de impacto",N256)</f>
        <v>0</v>
      </c>
      <c r="P256" s="447"/>
      <c r="Q256" s="445"/>
      <c r="R256" s="459"/>
      <c r="S256" s="248">
        <v>6</v>
      </c>
      <c r="T256" s="330"/>
      <c r="U256" s="245"/>
      <c r="V256" s="322" t="str">
        <f t="shared" si="478"/>
        <v/>
      </c>
      <c r="W256" s="323"/>
      <c r="X256" s="323"/>
      <c r="Y256" s="324" t="str">
        <f t="shared" si="479"/>
        <v/>
      </c>
      <c r="Z256" s="323"/>
      <c r="AA256" s="323"/>
      <c r="AB256" s="323"/>
      <c r="AC256" s="325" t="str">
        <f t="shared" si="476"/>
        <v/>
      </c>
      <c r="AD256" s="326" t="str">
        <f t="shared" si="472"/>
        <v/>
      </c>
      <c r="AE256" s="324" t="str">
        <f t="shared" si="473"/>
        <v/>
      </c>
      <c r="AF256" s="326" t="str">
        <f t="shared" si="474"/>
        <v/>
      </c>
      <c r="AG256" s="324" t="str">
        <f t="shared" si="477"/>
        <v/>
      </c>
      <c r="AH256" s="328" t="str">
        <f t="shared" si="480"/>
        <v/>
      </c>
      <c r="AI256" s="323"/>
      <c r="AJ256" s="249"/>
      <c r="AK256" s="249"/>
      <c r="AL256" s="249"/>
      <c r="AM256" s="249"/>
      <c r="AN256" s="278"/>
      <c r="AO256" s="276"/>
      <c r="AP256" s="276"/>
      <c r="AQ256" s="278"/>
      <c r="AR256" s="211"/>
      <c r="AS256" s="211"/>
      <c r="AT256" s="293"/>
      <c r="AU256" s="293"/>
      <c r="AV256" s="293"/>
      <c r="AW256" s="293"/>
      <c r="AX256" s="293"/>
      <c r="AY256" s="293"/>
      <c r="AZ256" s="293"/>
      <c r="BA256" s="293"/>
      <c r="BB256" s="293"/>
      <c r="BC256" s="293"/>
      <c r="BD256" s="293"/>
      <c r="BE256" s="293"/>
      <c r="BF256" s="293"/>
      <c r="BG256" s="293"/>
      <c r="BH256" s="293"/>
      <c r="BI256" s="293"/>
      <c r="BJ256" s="293"/>
      <c r="BK256" s="293"/>
      <c r="BL256" s="293"/>
      <c r="BM256" s="293"/>
      <c r="BN256" s="293"/>
      <c r="BO256" s="293"/>
      <c r="BP256" s="293"/>
      <c r="BQ256" s="293"/>
      <c r="BR256" s="293"/>
      <c r="BS256" s="293"/>
      <c r="BT256" s="293"/>
      <c r="BU256" s="293"/>
      <c r="BV256" s="293"/>
      <c r="BW256" s="293"/>
      <c r="BX256" s="293"/>
      <c r="BY256" s="293"/>
      <c r="BZ256" s="293"/>
    </row>
    <row r="257" spans="1:78" s="294" customFormat="1" ht="138" customHeight="1" x14ac:dyDescent="0.2">
      <c r="A257" s="458" t="s">
        <v>756</v>
      </c>
      <c r="B257" s="535" t="s">
        <v>830</v>
      </c>
      <c r="C257" s="452" t="s">
        <v>280</v>
      </c>
      <c r="D257" s="453" t="s">
        <v>619</v>
      </c>
      <c r="E257" s="454" t="s">
        <v>107</v>
      </c>
      <c r="F257" s="454" t="s">
        <v>1061</v>
      </c>
      <c r="G257" s="446" t="s">
        <v>675</v>
      </c>
      <c r="H257" s="456" t="s">
        <v>1062</v>
      </c>
      <c r="I257" s="446" t="s">
        <v>654</v>
      </c>
      <c r="J257" s="446" t="s">
        <v>802</v>
      </c>
      <c r="K257" s="457">
        <v>365</v>
      </c>
      <c r="L257" s="447" t="str">
        <f t="shared" ref="L257:L281" si="481">IF(K257&lt;=0,"",IF(K257&lt;=2,"Muy Baja",IF(K257&lt;=24,"Baja",IF(K257&lt;=500,"Media",IF(K257&lt;=5000,"Alta","Muy Alta")))))</f>
        <v>Media</v>
      </c>
      <c r="M257" s="445">
        <f>IF(L257="","",IF(L257="Muy Baja",0.2,IF(L257="Baja",0.4,IF(L257="Media",0.6,IF(L257="Alta",0.8,IF(L257="Muy Alta",1,))))))</f>
        <v>0.6</v>
      </c>
      <c r="N257" s="455" t="s">
        <v>1022</v>
      </c>
      <c r="O257" s="445" t="str">
        <f ca="1">IF(NOT(ISERROR(MATCH(N257,'Tabla Impacto'!$B$221:$B$223,0))),'Tabla Impacto'!$F$223&amp;"Por favor no seleccionar los criterios de impacto(Afectación Económica o presupuestal y Pérdida Reputacional)",N257)</f>
        <v xml:space="preserve">     El riesgo afecta la imagen de la entidad internamente, de conocimiento general, nivel interno, de junta directiva y accionistas y/o de proveedores</v>
      </c>
      <c r="P257" s="447" t="s">
        <v>1100</v>
      </c>
      <c r="Q257" s="445">
        <f>IF(P257="","",IF(P257="Leve",0.2,IF(P257="Menor",0.4,IF(P257="Moderado",0.6,IF(P257="Mayor",0.8,IF(P257="Catastrófico",1,))))))</f>
        <v>0.4</v>
      </c>
      <c r="R257" s="459" t="str">
        <f>IF(OR(AND(L257="Muy Baja",P257="Leve"),AND(L257="Muy Baja",P257="Menor"),AND(L257="Baja",P257="Leve")),"Bajo",IF(OR(AND(L257="Muy baja",P257="Moderado"),AND(L257="Baja",P257="Menor"),AND(L257="Baja",P257="Moderado"),AND(L257="Media",P257="Leve"),AND(L257="Media",P257="Menor"),AND(L257="Media",P257="Moderado"),AND(L257="Alta",P257="Leve"),AND(L257="Alta",P257="Menor")),"Moderado",IF(OR(AND(L257="Muy Baja",P257="Mayor"),AND(L257="Baja",P257="Mayor"),AND(L257="Media",P257="Mayor"),AND(L257="Alta",P257="Moderado"),AND(L257="Alta",P257="Mayor"),AND(L257="Muy Alta",P257="Leve"),AND(L257="Muy Alta",P257="Menor"),AND(L257="Muy Alta",P257="Moderado"),AND(L257="Muy Alta",P257="Mayor")),"Alto",IF(OR(AND(L257="Muy Baja",P257="Catastrófico"),AND(L257="Baja",P257="Catastrófico"),AND(L257="Media",P257="Catastrófico"),AND(L257="Alta",P257="Catastrófico"),AND(L257="Muy Alta",P257="Catastrófico")),"Extremo",""))))</f>
        <v>Moderado</v>
      </c>
      <c r="S257" s="248">
        <v>1</v>
      </c>
      <c r="T257" s="321" t="s">
        <v>1063</v>
      </c>
      <c r="U257" s="245" t="s">
        <v>293</v>
      </c>
      <c r="V257" s="322" t="str">
        <f>IF(OR(W257="Preventivo",W257="Detectivo"),"Probabilidad",IF(W257="Correctivo","Impacto",""))</f>
        <v>Probabilidad</v>
      </c>
      <c r="W257" s="323" t="s">
        <v>13</v>
      </c>
      <c r="X257" s="323" t="s">
        <v>8</v>
      </c>
      <c r="Y257" s="324" t="str">
        <f t="shared" si="445"/>
        <v>40%</v>
      </c>
      <c r="Z257" s="323" t="s">
        <v>19</v>
      </c>
      <c r="AA257" s="323" t="s">
        <v>21</v>
      </c>
      <c r="AB257" s="323" t="s">
        <v>103</v>
      </c>
      <c r="AC257" s="325">
        <f t="shared" ref="AC257" si="482">IFERROR(IF(V257="Probabilidad",(M257-(+M257*Y257)),IF(V257="Impacto",M257,"")),"")</f>
        <v>0.36</v>
      </c>
      <c r="AD257" s="326" t="str">
        <f>IFERROR(IF(AC257="","",IF(AC257&lt;=0.2,"Muy Baja",IF(AC257&lt;=0.4,"Baja",IF(AC257&lt;=0.6,"Media",IF(AC257&lt;=0.8,"Alta","Muy Alta"))))),"")</f>
        <v>Baja</v>
      </c>
      <c r="AE257" s="324">
        <f>+AC257</f>
        <v>0.36</v>
      </c>
      <c r="AF257" s="326" t="str">
        <f>IFERROR(IF(AG257="","",IF(AG257&lt;=0.2,"Leve",IF(AG257&lt;=0.4,"Menor",IF(AG257&lt;=0.6,"Moderado",IF(AG257&lt;=0.8,"Mayor","Catastrófico"))))),"")</f>
        <v>Menor</v>
      </c>
      <c r="AG257" s="333">
        <f>IFERROR(IF(V257="Impacto",(Q257-(+Q257*Y257)),IF(V257="Probabilidad",Q257,"")),"")</f>
        <v>0.4</v>
      </c>
      <c r="AH257" s="328" t="str">
        <f>IFERROR(IF(OR(AND(AD257="Muy Baja",AF257="Leve"),AND(AD257="Muy Baja",AF257="Menor"),AND(AD257="Baja",AF257="Leve")),"Bajo",IF(OR(AND(AD257="Muy baja",AF257="Moderado"),AND(AD257="Baja",AF257="Menor"),AND(AD257="Baja",AF257="Moderado"),AND(AD257="Media",AF257="Leve"),AND(AD257="Media",AF257="Menor"),AND(AD257="Media",AF257="Moderado"),AND(AD257="Alta",AF257="Leve"),AND(AD257="Alta",AF257="Menor")),"Moderado",IF(OR(AND(AD257="Muy Baja",AF257="Mayor"),AND(AD257="Baja",AF257="Mayor"),AND(AD257="Media",AF257="Mayor"),AND(AD257="Alta",AF257="Moderado"),AND(AD257="Alta",AF257="Mayor"),AND(AD257="Muy Alta",AF257="Leve"),AND(AD257="Muy Alta",AF257="Menor"),AND(AD257="Muy Alta",AF257="Moderado"),AND(AD257="Muy Alta",AF257="Mayor")),"Alto",IF(OR(AND(AD257="Muy Baja",AF257="Catastrófico"),AND(AD257="Baja",AF257="Catastrófico"),AND(AD257="Media",AF257="Catastrófico"),AND(AD257="Alta",AF257="Catastrófico"),AND(AD257="Muy Alta",AF257="Catastrófico")),"Extremo","")))),"")</f>
        <v>Moderado</v>
      </c>
      <c r="AI257" s="323" t="s">
        <v>26</v>
      </c>
      <c r="AJ257" s="249">
        <v>2</v>
      </c>
      <c r="AK257" s="249">
        <v>0</v>
      </c>
      <c r="AL257" s="249">
        <v>1</v>
      </c>
      <c r="AM257" s="249">
        <v>1</v>
      </c>
      <c r="AN257" s="240"/>
      <c r="AO257" s="239"/>
      <c r="AP257" s="239"/>
      <c r="AQ257" s="240"/>
      <c r="AR257" s="241"/>
      <c r="AS257" s="241"/>
      <c r="AT257" s="293"/>
      <c r="AU257" s="293"/>
      <c r="AV257" s="293"/>
      <c r="AW257" s="293"/>
      <c r="AX257" s="293"/>
      <c r="AY257" s="293"/>
      <c r="AZ257" s="293"/>
      <c r="BA257" s="293"/>
      <c r="BB257" s="293"/>
      <c r="BC257" s="293"/>
      <c r="BD257" s="293"/>
      <c r="BE257" s="293"/>
      <c r="BF257" s="293"/>
      <c r="BG257" s="293"/>
      <c r="BH257" s="293"/>
      <c r="BI257" s="293"/>
      <c r="BJ257" s="293"/>
      <c r="BK257" s="293"/>
      <c r="BL257" s="293"/>
      <c r="BM257" s="293"/>
      <c r="BN257" s="293"/>
      <c r="BO257" s="293"/>
      <c r="BP257" s="293"/>
      <c r="BQ257" s="293"/>
      <c r="BR257" s="293"/>
      <c r="BS257" s="293"/>
      <c r="BT257" s="293"/>
      <c r="BU257" s="293"/>
      <c r="BV257" s="293"/>
      <c r="BW257" s="293"/>
      <c r="BX257" s="293"/>
      <c r="BY257" s="293"/>
      <c r="BZ257" s="293"/>
    </row>
    <row r="258" spans="1:78" s="295" customFormat="1" ht="24.75" customHeight="1" x14ac:dyDescent="0.2">
      <c r="A258" s="458"/>
      <c r="B258" s="535"/>
      <c r="C258" s="452"/>
      <c r="D258" s="453"/>
      <c r="E258" s="454"/>
      <c r="F258" s="454"/>
      <c r="G258" s="446"/>
      <c r="H258" s="456"/>
      <c r="I258" s="446"/>
      <c r="J258" s="446"/>
      <c r="K258" s="457"/>
      <c r="L258" s="447"/>
      <c r="M258" s="445"/>
      <c r="N258" s="455"/>
      <c r="O258" s="445">
        <f ca="1">IF(NOT(ISERROR(MATCH(N258,_xlfn.ANCHORARRAY(#REF!),0))),#REF!&amp;"Por favor no seleccionar los criterios de impacto",N258)</f>
        <v>0</v>
      </c>
      <c r="P258" s="447"/>
      <c r="Q258" s="445"/>
      <c r="R258" s="459"/>
      <c r="S258" s="248">
        <v>2</v>
      </c>
      <c r="T258" s="321"/>
      <c r="U258" s="245"/>
      <c r="V258" s="322" t="str">
        <f>IF(OR(W258="Preventivo",W258="Detectivo"),"Probabilidad",IF(W258="Correctivo","Impacto",""))</f>
        <v/>
      </c>
      <c r="W258" s="323"/>
      <c r="X258" s="323"/>
      <c r="Y258" s="324" t="str">
        <f t="shared" si="445"/>
        <v/>
      </c>
      <c r="Z258" s="323"/>
      <c r="AA258" s="323"/>
      <c r="AB258" s="323"/>
      <c r="AC258" s="325" t="str">
        <f t="shared" ref="AC258" si="483">IFERROR(IF(AND(V257="Probabilidad",V258="Probabilidad"),(AE257-(+AE257*Y258)),IF(V258="Probabilidad",(M257-(+M257*Y258)),IF(V258="Impacto",AE257,""))),"")</f>
        <v/>
      </c>
      <c r="AD258" s="326" t="str">
        <f t="shared" si="447"/>
        <v/>
      </c>
      <c r="AE258" s="324" t="str">
        <f t="shared" ref="AE258:AE262" si="484">+AC258</f>
        <v/>
      </c>
      <c r="AF258" s="326" t="str">
        <f t="shared" si="449"/>
        <v/>
      </c>
      <c r="AG258" s="324" t="str">
        <f>IFERROR(IF(AND(V257="Impacto",V258="Impacto"),(AG257-(+AG257*Y258)),IF(V258="Impacto",($Q$257-(+$Q$257*Y258)),IF(V258="Probabilidad",AG257,""))),"")</f>
        <v/>
      </c>
      <c r="AH258" s="328" t="str">
        <f t="shared" ref="AH258:AH259" si="485">IFERROR(IF(OR(AND(AD258="Muy Baja",AF258="Leve"),AND(AD258="Muy Baja",AF258="Menor"),AND(AD258="Baja",AF258="Leve")),"Bajo",IF(OR(AND(AD258="Muy baja",AF258="Moderado"),AND(AD258="Baja",AF258="Menor"),AND(AD258="Baja",AF258="Moderado"),AND(AD258="Media",AF258="Leve"),AND(AD258="Media",AF258="Menor"),AND(AD258="Media",AF258="Moderado"),AND(AD258="Alta",AF258="Leve"),AND(AD258="Alta",AF258="Menor")),"Moderado",IF(OR(AND(AD258="Muy Baja",AF258="Mayor"),AND(AD258="Baja",AF258="Mayor"),AND(AD258="Media",AF258="Mayor"),AND(AD258="Alta",AF258="Moderado"),AND(AD258="Alta",AF258="Mayor"),AND(AD258="Muy Alta",AF258="Leve"),AND(AD258="Muy Alta",AF258="Menor"),AND(AD258="Muy Alta",AF258="Moderado"),AND(AD258="Muy Alta",AF258="Mayor")),"Alto",IF(OR(AND(AD258="Muy Baja",AF258="Catastrófico"),AND(AD258="Baja",AF258="Catastrófico"),AND(AD258="Media",AF258="Catastrófico"),AND(AD258="Alta",AF258="Catastrófico"),AND(AD258="Muy Alta",AF258="Catastrófico")),"Extremo","")))),"")</f>
        <v/>
      </c>
      <c r="AI258" s="323"/>
      <c r="AJ258" s="249"/>
      <c r="AK258" s="249"/>
      <c r="AL258" s="249"/>
      <c r="AM258" s="249"/>
      <c r="AN258" s="278"/>
      <c r="AO258" s="276"/>
      <c r="AP258" s="276"/>
      <c r="AQ258" s="278"/>
      <c r="AR258" s="211"/>
      <c r="AS258" s="211"/>
      <c r="AT258" s="293"/>
      <c r="AU258" s="293"/>
      <c r="AV258" s="293"/>
      <c r="AW258" s="293"/>
      <c r="AX258" s="293"/>
      <c r="AY258" s="293"/>
      <c r="AZ258" s="293"/>
      <c r="BA258" s="293"/>
      <c r="BB258" s="293"/>
      <c r="BC258" s="293"/>
      <c r="BD258" s="293"/>
      <c r="BE258" s="293"/>
      <c r="BF258" s="293"/>
      <c r="BG258" s="293"/>
      <c r="BH258" s="293"/>
      <c r="BI258" s="293"/>
      <c r="BJ258" s="293"/>
      <c r="BK258" s="293"/>
      <c r="BL258" s="293"/>
      <c r="BM258" s="293"/>
      <c r="BN258" s="293"/>
      <c r="BO258" s="293"/>
      <c r="BP258" s="293"/>
      <c r="BQ258" s="293"/>
      <c r="BR258" s="293"/>
      <c r="BS258" s="293"/>
      <c r="BT258" s="293"/>
      <c r="BU258" s="293"/>
      <c r="BV258" s="293"/>
      <c r="BW258" s="293"/>
      <c r="BX258" s="293"/>
      <c r="BY258" s="293"/>
      <c r="BZ258" s="293"/>
    </row>
    <row r="259" spans="1:78" s="295" customFormat="1" ht="9.75" customHeight="1" x14ac:dyDescent="0.2">
      <c r="A259" s="458"/>
      <c r="B259" s="535"/>
      <c r="C259" s="452"/>
      <c r="D259" s="453"/>
      <c r="E259" s="454"/>
      <c r="F259" s="454"/>
      <c r="G259" s="446"/>
      <c r="H259" s="456"/>
      <c r="I259" s="446"/>
      <c r="J259" s="446"/>
      <c r="K259" s="457"/>
      <c r="L259" s="447"/>
      <c r="M259" s="445"/>
      <c r="N259" s="455"/>
      <c r="O259" s="445">
        <f ca="1">IF(NOT(ISERROR(MATCH(N259,_xlfn.ANCHORARRAY(#REF!),0))),#REF!&amp;"Por favor no seleccionar los criterios de impacto",N259)</f>
        <v>0</v>
      </c>
      <c r="P259" s="447"/>
      <c r="Q259" s="445"/>
      <c r="R259" s="459"/>
      <c r="S259" s="248">
        <v>3</v>
      </c>
      <c r="T259" s="330"/>
      <c r="U259" s="245"/>
      <c r="V259" s="322" t="str">
        <f>IF(OR(W259="Preventivo",W259="Detectivo"),"Probabilidad",IF(W259="Correctivo","Impacto",""))</f>
        <v/>
      </c>
      <c r="W259" s="323"/>
      <c r="X259" s="323"/>
      <c r="Y259" s="324" t="str">
        <f t="shared" si="445"/>
        <v/>
      </c>
      <c r="Z259" s="323"/>
      <c r="AA259" s="323"/>
      <c r="AB259" s="323"/>
      <c r="AC259" s="325" t="str">
        <f t="shared" ref="AC259" si="486">IFERROR(IF(AND(V258="Probabilidad",V259="Probabilidad"),(AE258-(+AE258*Y259)),IF(AND(V258="Impacto",V259="Probabilidad"),(AE257-(+AE257*Y259)),IF(V259="Impacto",AE258,""))),"")</f>
        <v/>
      </c>
      <c r="AD259" s="326" t="str">
        <f t="shared" si="447"/>
        <v/>
      </c>
      <c r="AE259" s="324" t="str">
        <f t="shared" si="484"/>
        <v/>
      </c>
      <c r="AF259" s="326" t="str">
        <f t="shared" si="449"/>
        <v/>
      </c>
      <c r="AG259" s="324" t="str">
        <f t="shared" ref="AG259:AG262" si="487">IFERROR(IF(AND(V258="Impacto",V259="Impacto"),(AG258-(+AG258*Y259)),IF(V259="Impacto",($Q$257-(+$Q$257*Y259)),IF(V259="Probabilidad",AG258,""))),"")</f>
        <v/>
      </c>
      <c r="AH259" s="328" t="str">
        <f t="shared" si="485"/>
        <v/>
      </c>
      <c r="AI259" s="323"/>
      <c r="AJ259" s="249"/>
      <c r="AK259" s="249"/>
      <c r="AL259" s="249"/>
      <c r="AM259" s="249"/>
      <c r="AN259" s="278"/>
      <c r="AO259" s="276"/>
      <c r="AP259" s="276"/>
      <c r="AQ259" s="278"/>
      <c r="AR259" s="211"/>
      <c r="AS259" s="211"/>
      <c r="AT259" s="293"/>
      <c r="AU259" s="293"/>
      <c r="AV259" s="293"/>
      <c r="AW259" s="293"/>
      <c r="AX259" s="293"/>
      <c r="AY259" s="293"/>
      <c r="AZ259" s="293"/>
      <c r="BA259" s="293"/>
      <c r="BB259" s="293"/>
      <c r="BC259" s="293"/>
      <c r="BD259" s="293"/>
      <c r="BE259" s="293"/>
      <c r="BF259" s="293"/>
      <c r="BG259" s="293"/>
      <c r="BH259" s="293"/>
      <c r="BI259" s="293"/>
      <c r="BJ259" s="293"/>
      <c r="BK259" s="293"/>
      <c r="BL259" s="293"/>
      <c r="BM259" s="293"/>
      <c r="BN259" s="293"/>
      <c r="BO259" s="293"/>
      <c r="BP259" s="293"/>
      <c r="BQ259" s="293"/>
      <c r="BR259" s="293"/>
      <c r="BS259" s="293"/>
      <c r="BT259" s="293"/>
      <c r="BU259" s="293"/>
      <c r="BV259" s="293"/>
      <c r="BW259" s="293"/>
      <c r="BX259" s="293"/>
      <c r="BY259" s="293"/>
      <c r="BZ259" s="293"/>
    </row>
    <row r="260" spans="1:78" s="295" customFormat="1" ht="9.75" customHeight="1" x14ac:dyDescent="0.2">
      <c r="A260" s="458"/>
      <c r="B260" s="535"/>
      <c r="C260" s="452"/>
      <c r="D260" s="453"/>
      <c r="E260" s="454"/>
      <c r="F260" s="454"/>
      <c r="G260" s="446"/>
      <c r="H260" s="456"/>
      <c r="I260" s="446"/>
      <c r="J260" s="446"/>
      <c r="K260" s="457"/>
      <c r="L260" s="447"/>
      <c r="M260" s="445"/>
      <c r="N260" s="455"/>
      <c r="O260" s="445">
        <f ca="1">IF(NOT(ISERROR(MATCH(N260,_xlfn.ANCHORARRAY(#REF!),0))),#REF!&amp;"Por favor no seleccionar los criterios de impacto",N260)</f>
        <v>0</v>
      </c>
      <c r="P260" s="447"/>
      <c r="Q260" s="445"/>
      <c r="R260" s="459"/>
      <c r="S260" s="248">
        <v>4</v>
      </c>
      <c r="T260" s="330"/>
      <c r="U260" s="245"/>
      <c r="V260" s="322" t="str">
        <f t="shared" ref="V260:V262" si="488">IF(OR(W260="Preventivo",W260="Detectivo"),"Probabilidad",IF(W260="Correctivo","Impacto",""))</f>
        <v/>
      </c>
      <c r="W260" s="323"/>
      <c r="X260" s="323"/>
      <c r="Y260" s="324" t="str">
        <f t="shared" si="445"/>
        <v/>
      </c>
      <c r="Z260" s="323"/>
      <c r="AA260" s="323"/>
      <c r="AB260" s="323"/>
      <c r="AC260" s="325" t="str">
        <f t="shared" si="454"/>
        <v/>
      </c>
      <c r="AD260" s="326" t="str">
        <f t="shared" si="447"/>
        <v/>
      </c>
      <c r="AE260" s="324" t="str">
        <f t="shared" si="484"/>
        <v/>
      </c>
      <c r="AF260" s="326" t="str">
        <f t="shared" si="449"/>
        <v/>
      </c>
      <c r="AG260" s="324" t="str">
        <f t="shared" si="487"/>
        <v/>
      </c>
      <c r="AH260" s="328" t="str">
        <f>IFERROR(IF(OR(AND(AD260="Muy Baja",AF260="Leve"),AND(AD260="Muy Baja",AF260="Menor"),AND(AD260="Baja",AF260="Leve")),"Bajo",IF(OR(AND(AD260="Muy baja",AF260="Moderado"),AND(AD260="Baja",AF260="Menor"),AND(AD260="Baja",AF260="Moderado"),AND(AD260="Media",AF260="Leve"),AND(AD260="Media",AF260="Menor"),AND(AD260="Media",AF260="Moderado"),AND(AD260="Alta",AF260="Leve"),AND(AD260="Alta",AF260="Menor")),"Moderado",IF(OR(AND(AD260="Muy Baja",AF260="Mayor"),AND(AD260="Baja",AF260="Mayor"),AND(AD260="Media",AF260="Mayor"),AND(AD260="Alta",AF260="Moderado"),AND(AD260="Alta",AF260="Mayor"),AND(AD260="Muy Alta",AF260="Leve"),AND(AD260="Muy Alta",AF260="Menor"),AND(AD260="Muy Alta",AF260="Moderado"),AND(AD260="Muy Alta",AF260="Mayor")),"Alto",IF(OR(AND(AD260="Muy Baja",AF260="Catastrófico"),AND(AD260="Baja",AF260="Catastrófico"),AND(AD260="Media",AF260="Catastrófico"),AND(AD260="Alta",AF260="Catastrófico"),AND(AD260="Muy Alta",AF260="Catastrófico")),"Extremo","")))),"")</f>
        <v/>
      </c>
      <c r="AI260" s="323"/>
      <c r="AJ260" s="249"/>
      <c r="AK260" s="249"/>
      <c r="AL260" s="249"/>
      <c r="AM260" s="249"/>
      <c r="AN260" s="278"/>
      <c r="AO260" s="276"/>
      <c r="AP260" s="276"/>
      <c r="AQ260" s="278"/>
      <c r="AR260" s="211"/>
      <c r="AS260" s="211"/>
      <c r="AT260" s="293"/>
      <c r="AU260" s="293"/>
      <c r="AV260" s="293"/>
      <c r="AW260" s="293"/>
      <c r="AX260" s="293"/>
      <c r="AY260" s="293"/>
      <c r="AZ260" s="293"/>
      <c r="BA260" s="293"/>
      <c r="BB260" s="293"/>
      <c r="BC260" s="293"/>
      <c r="BD260" s="293"/>
      <c r="BE260" s="293"/>
      <c r="BF260" s="293"/>
      <c r="BG260" s="293"/>
      <c r="BH260" s="293"/>
      <c r="BI260" s="293"/>
      <c r="BJ260" s="293"/>
      <c r="BK260" s="293"/>
      <c r="BL260" s="293"/>
      <c r="BM260" s="293"/>
      <c r="BN260" s="293"/>
      <c r="BO260" s="293"/>
      <c r="BP260" s="293"/>
      <c r="BQ260" s="293"/>
      <c r="BR260" s="293"/>
      <c r="BS260" s="293"/>
      <c r="BT260" s="293"/>
      <c r="BU260" s="293"/>
      <c r="BV260" s="293"/>
      <c r="BW260" s="293"/>
      <c r="BX260" s="293"/>
      <c r="BY260" s="293"/>
      <c r="BZ260" s="293"/>
    </row>
    <row r="261" spans="1:78" s="295" customFormat="1" ht="9.75" customHeight="1" x14ac:dyDescent="0.2">
      <c r="A261" s="458"/>
      <c r="B261" s="535"/>
      <c r="C261" s="452"/>
      <c r="D261" s="453"/>
      <c r="E261" s="454"/>
      <c r="F261" s="454"/>
      <c r="G261" s="446"/>
      <c r="H261" s="456"/>
      <c r="I261" s="446"/>
      <c r="J261" s="446"/>
      <c r="K261" s="457"/>
      <c r="L261" s="447"/>
      <c r="M261" s="445"/>
      <c r="N261" s="455"/>
      <c r="O261" s="445">
        <f ca="1">IF(NOT(ISERROR(MATCH(N261,_xlfn.ANCHORARRAY(#REF!),0))),#REF!&amp;"Por favor no seleccionar los criterios de impacto",N261)</f>
        <v>0</v>
      </c>
      <c r="P261" s="447"/>
      <c r="Q261" s="445"/>
      <c r="R261" s="459"/>
      <c r="S261" s="248">
        <v>5</v>
      </c>
      <c r="T261" s="330"/>
      <c r="U261" s="245"/>
      <c r="V261" s="322" t="str">
        <f t="shared" si="488"/>
        <v/>
      </c>
      <c r="W261" s="323"/>
      <c r="X261" s="323"/>
      <c r="Y261" s="324" t="str">
        <f t="shared" si="445"/>
        <v/>
      </c>
      <c r="Z261" s="323"/>
      <c r="AA261" s="323"/>
      <c r="AB261" s="323"/>
      <c r="AC261" s="325" t="str">
        <f t="shared" si="454"/>
        <v/>
      </c>
      <c r="AD261" s="326" t="str">
        <f t="shared" si="447"/>
        <v/>
      </c>
      <c r="AE261" s="324" t="str">
        <f t="shared" si="484"/>
        <v/>
      </c>
      <c r="AF261" s="326" t="str">
        <f t="shared" si="449"/>
        <v/>
      </c>
      <c r="AG261" s="324" t="str">
        <f t="shared" si="487"/>
        <v/>
      </c>
      <c r="AH261" s="328" t="str">
        <f t="shared" ref="AH261:AH262" si="489">IFERROR(IF(OR(AND(AD261="Muy Baja",AF261="Leve"),AND(AD261="Muy Baja",AF261="Menor"),AND(AD261="Baja",AF261="Leve")),"Bajo",IF(OR(AND(AD261="Muy baja",AF261="Moderado"),AND(AD261="Baja",AF261="Menor"),AND(AD261="Baja",AF261="Moderado"),AND(AD261="Media",AF261="Leve"),AND(AD261="Media",AF261="Menor"),AND(AD261="Media",AF261="Moderado"),AND(AD261="Alta",AF261="Leve"),AND(AD261="Alta",AF261="Menor")),"Moderado",IF(OR(AND(AD261="Muy Baja",AF261="Mayor"),AND(AD261="Baja",AF261="Mayor"),AND(AD261="Media",AF261="Mayor"),AND(AD261="Alta",AF261="Moderado"),AND(AD261="Alta",AF261="Mayor"),AND(AD261="Muy Alta",AF261="Leve"),AND(AD261="Muy Alta",AF261="Menor"),AND(AD261="Muy Alta",AF261="Moderado"),AND(AD261="Muy Alta",AF261="Mayor")),"Alto",IF(OR(AND(AD261="Muy Baja",AF261="Catastrófico"),AND(AD261="Baja",AF261="Catastrófico"),AND(AD261="Media",AF261="Catastrófico"),AND(AD261="Alta",AF261="Catastrófico"),AND(AD261="Muy Alta",AF261="Catastrófico")),"Extremo","")))),"")</f>
        <v/>
      </c>
      <c r="AI261" s="323"/>
      <c r="AJ261" s="249"/>
      <c r="AK261" s="249"/>
      <c r="AL261" s="249"/>
      <c r="AM261" s="249"/>
      <c r="AN261" s="278"/>
      <c r="AO261" s="276"/>
      <c r="AP261" s="276"/>
      <c r="AQ261" s="278"/>
      <c r="AR261" s="211"/>
      <c r="AS261" s="211"/>
      <c r="AT261" s="293"/>
      <c r="AU261" s="293"/>
      <c r="AV261" s="293"/>
      <c r="AW261" s="293"/>
      <c r="AX261" s="293"/>
      <c r="AY261" s="293"/>
      <c r="AZ261" s="293"/>
      <c r="BA261" s="293"/>
      <c r="BB261" s="293"/>
      <c r="BC261" s="293"/>
      <c r="BD261" s="293"/>
      <c r="BE261" s="293"/>
      <c r="BF261" s="293"/>
      <c r="BG261" s="293"/>
      <c r="BH261" s="293"/>
      <c r="BI261" s="293"/>
      <c r="BJ261" s="293"/>
      <c r="BK261" s="293"/>
      <c r="BL261" s="293"/>
      <c r="BM261" s="293"/>
      <c r="BN261" s="293"/>
      <c r="BO261" s="293"/>
      <c r="BP261" s="293"/>
      <c r="BQ261" s="293"/>
      <c r="BR261" s="293"/>
      <c r="BS261" s="293"/>
      <c r="BT261" s="293"/>
      <c r="BU261" s="293"/>
      <c r="BV261" s="293"/>
      <c r="BW261" s="293"/>
      <c r="BX261" s="293"/>
      <c r="BY261" s="293"/>
      <c r="BZ261" s="293"/>
    </row>
    <row r="262" spans="1:78" s="295" customFormat="1" ht="9.75" customHeight="1" x14ac:dyDescent="0.2">
      <c r="A262" s="458"/>
      <c r="B262" s="535"/>
      <c r="C262" s="452"/>
      <c r="D262" s="453"/>
      <c r="E262" s="454"/>
      <c r="F262" s="454"/>
      <c r="G262" s="446"/>
      <c r="H262" s="456"/>
      <c r="I262" s="446"/>
      <c r="J262" s="446"/>
      <c r="K262" s="457"/>
      <c r="L262" s="447"/>
      <c r="M262" s="445"/>
      <c r="N262" s="455"/>
      <c r="O262" s="445">
        <f ca="1">IF(NOT(ISERROR(MATCH(N262,_xlfn.ANCHORARRAY(#REF!),0))),M281&amp;"Por favor no seleccionar los criterios de impacto",N262)</f>
        <v>0</v>
      </c>
      <c r="P262" s="447"/>
      <c r="Q262" s="445"/>
      <c r="R262" s="459"/>
      <c r="S262" s="248">
        <v>6</v>
      </c>
      <c r="T262" s="330"/>
      <c r="U262" s="245"/>
      <c r="V262" s="322" t="str">
        <f t="shared" si="488"/>
        <v/>
      </c>
      <c r="W262" s="323"/>
      <c r="X262" s="323"/>
      <c r="Y262" s="324" t="str">
        <f t="shared" si="445"/>
        <v/>
      </c>
      <c r="Z262" s="323"/>
      <c r="AA262" s="323"/>
      <c r="AB262" s="323"/>
      <c r="AC262" s="325" t="str">
        <f t="shared" si="454"/>
        <v/>
      </c>
      <c r="AD262" s="326" t="str">
        <f t="shared" si="447"/>
        <v/>
      </c>
      <c r="AE262" s="324" t="str">
        <f t="shared" si="484"/>
        <v/>
      </c>
      <c r="AF262" s="326" t="str">
        <f t="shared" si="449"/>
        <v/>
      </c>
      <c r="AG262" s="324" t="str">
        <f t="shared" si="487"/>
        <v/>
      </c>
      <c r="AH262" s="328" t="str">
        <f t="shared" si="489"/>
        <v/>
      </c>
      <c r="AI262" s="323"/>
      <c r="AJ262" s="249"/>
      <c r="AK262" s="249"/>
      <c r="AL262" s="249"/>
      <c r="AM262" s="249"/>
      <c r="AN262" s="278"/>
      <c r="AO262" s="276"/>
      <c r="AP262" s="276"/>
      <c r="AQ262" s="278"/>
      <c r="AR262" s="211"/>
      <c r="AS262" s="211"/>
      <c r="AT262" s="293"/>
      <c r="AU262" s="293"/>
      <c r="AV262" s="293"/>
      <c r="AW262" s="293"/>
      <c r="AX262" s="293"/>
      <c r="AY262" s="293"/>
      <c r="AZ262" s="293"/>
      <c r="BA262" s="293"/>
      <c r="BB262" s="293"/>
      <c r="BC262" s="293"/>
      <c r="BD262" s="293"/>
      <c r="BE262" s="293"/>
      <c r="BF262" s="293"/>
      <c r="BG262" s="293"/>
      <c r="BH262" s="293"/>
      <c r="BI262" s="293"/>
      <c r="BJ262" s="293"/>
      <c r="BK262" s="293"/>
      <c r="BL262" s="293"/>
      <c r="BM262" s="293"/>
      <c r="BN262" s="293"/>
      <c r="BO262" s="293"/>
      <c r="BP262" s="293"/>
      <c r="BQ262" s="293"/>
      <c r="BR262" s="293"/>
      <c r="BS262" s="293"/>
      <c r="BT262" s="293"/>
      <c r="BU262" s="293"/>
      <c r="BV262" s="293"/>
      <c r="BW262" s="293"/>
      <c r="BX262" s="293"/>
      <c r="BY262" s="293"/>
      <c r="BZ262" s="293"/>
    </row>
    <row r="263" spans="1:78" s="294" customFormat="1" ht="145.5" customHeight="1" x14ac:dyDescent="0.2">
      <c r="A263" s="458" t="s">
        <v>760</v>
      </c>
      <c r="B263" s="451" t="s">
        <v>830</v>
      </c>
      <c r="C263" s="452" t="s">
        <v>612</v>
      </c>
      <c r="D263" s="453" t="s">
        <v>623</v>
      </c>
      <c r="E263" s="454" t="s">
        <v>109</v>
      </c>
      <c r="F263" s="454" t="s">
        <v>1064</v>
      </c>
      <c r="G263" s="446" t="s">
        <v>1065</v>
      </c>
      <c r="H263" s="456" t="s">
        <v>1066</v>
      </c>
      <c r="I263" s="446" t="s">
        <v>654</v>
      </c>
      <c r="J263" s="446" t="s">
        <v>1067</v>
      </c>
      <c r="K263" s="457">
        <v>8760</v>
      </c>
      <c r="L263" s="447" t="str">
        <f t="shared" ref="L263" si="490">IF(K263&lt;=0,"",IF(K263&lt;=2,"Muy Baja",IF(K263&lt;=24,"Baja",IF(K263&lt;=500,"Media",IF(K263&lt;=5000,"Alta","Muy Alta")))))</f>
        <v>Muy Alta</v>
      </c>
      <c r="M263" s="445">
        <f>IF(L263="","",IF(L263="Muy Baja",0.2,IF(L263="Baja",0.4,IF(L263="Media",0.6,IF(L263="Alta",0.8,IF(L263="Muy Alta",1,))))))</f>
        <v>1</v>
      </c>
      <c r="N263" s="455" t="s">
        <v>123</v>
      </c>
      <c r="O263" s="445" t="str">
        <f ca="1">IF(NOT(ISERROR(MATCH(N263,'Tabla Impacto'!$B$221:$B$223,0))),'Tabla Impacto'!$F$223&amp;"Por favor no seleccionar los criterios de impacto(Afectación Económica o presupuestal y Pérdida Reputacional)",N263)</f>
        <v xml:space="preserve">     El riesgo afecta la imagen de la entidad a nivel nacional, con efecto publicitarios sostenible a nivel país</v>
      </c>
      <c r="P263" s="447" t="str">
        <f ca="1">IF(OR(O263='Tabla Impacto'!$C$11,O263='Tabla Impacto'!$D$11),"Leve",IF(OR(O263='Tabla Impacto'!$C$12,O263='Tabla Impacto'!$D$12),"Menor",IF(OR(O263='Tabla Impacto'!$C$13,O263='Tabla Impacto'!$D$13),"Moderado",IF(OR(O263='Tabla Impacto'!$C$14,O263='Tabla Impacto'!$D$14),"Mayor",IF(OR(O263='Tabla Impacto'!$C$15,O263='Tabla Impacto'!$D$15),"Catastrófico","")))))</f>
        <v>Catastrófico</v>
      </c>
      <c r="Q263" s="445">
        <f ca="1">IF(P263="","",IF(P263="Leve",0.2,IF(P263="Menor",0.4,IF(P263="Moderado",0.6,IF(P263="Mayor",0.8,IF(P263="Catastrófico",1,))))))</f>
        <v>1</v>
      </c>
      <c r="R263" s="459" t="str">
        <f ca="1">IF(OR(AND(L263="Muy Baja",P263="Leve"),AND(L263="Muy Baja",P263="Menor"),AND(L263="Baja",P263="Leve")),"Bajo",IF(OR(AND(L263="Muy baja",P263="Moderado"),AND(L263="Baja",P263="Menor"),AND(L263="Baja",P263="Moderado"),AND(L263="Media",P263="Leve"),AND(L263="Media",P263="Menor"),AND(L263="Media",P263="Moderado"),AND(L263="Alta",P263="Leve"),AND(L263="Alta",P263="Menor")),"Moderado",IF(OR(AND(L263="Muy Baja",P263="Mayor"),AND(L263="Baja",P263="Mayor"),AND(L263="Media",P263="Mayor"),AND(L263="Alta",P263="Moderado"),AND(L263="Alta",P263="Mayor"),AND(L263="Muy Alta",P263="Leve"),AND(L263="Muy Alta",P263="Menor"),AND(L263="Muy Alta",P263="Moderado"),AND(L263="Muy Alta",P263="Mayor")),"Alto",IF(OR(AND(L263="Muy Baja",P263="Catastrófico"),AND(L263="Baja",P263="Catastrófico"),AND(L263="Media",P263="Catastrófico"),AND(L263="Alta",P263="Catastrófico"),AND(L263="Muy Alta",P263="Catastrófico")),"Extremo",""))))</f>
        <v>Extremo</v>
      </c>
      <c r="S263" s="248">
        <v>1</v>
      </c>
      <c r="T263" s="321" t="s">
        <v>968</v>
      </c>
      <c r="U263" s="245" t="s">
        <v>293</v>
      </c>
      <c r="V263" s="322" t="str">
        <f>IF(OR(W263="Preventivo",W263="Detectivo"),"Probabilidad",IF(W263="Correctivo","Impacto",""))</f>
        <v>Probabilidad</v>
      </c>
      <c r="W263" s="323" t="s">
        <v>13</v>
      </c>
      <c r="X263" s="323" t="s">
        <v>8</v>
      </c>
      <c r="Y263" s="324" t="str">
        <f t="shared" si="445"/>
        <v>40%</v>
      </c>
      <c r="Z263" s="323" t="s">
        <v>18</v>
      </c>
      <c r="AA263" s="323" t="s">
        <v>21</v>
      </c>
      <c r="AB263" s="323" t="s">
        <v>103</v>
      </c>
      <c r="AC263" s="325">
        <f t="shared" ref="AC263" si="491">IFERROR(IF(V263="Probabilidad",(M263-(+M263*Y263)),IF(V263="Impacto",M263,"")),"")</f>
        <v>0.6</v>
      </c>
      <c r="AD263" s="326" t="str">
        <f>IFERROR(IF(AC263="","",IF(AC263&lt;=0.2,"Muy Baja",IF(AC263&lt;=0.4,"Baja",IF(AC263&lt;=0.6,"Media",IF(AC263&lt;=0.8,"Alta","Muy Alta"))))),"")</f>
        <v>Media</v>
      </c>
      <c r="AE263" s="324">
        <f>+AC263</f>
        <v>0.6</v>
      </c>
      <c r="AF263" s="326" t="str">
        <f ca="1">IFERROR(IF(AG263="","",IF(AG263&lt;=0.2,"Leve",IF(AG263&lt;=0.4,"Menor",IF(AG263&lt;=0.6,"Moderado",IF(AG263&lt;=0.8,"Mayor","Catastrófico"))))),"")</f>
        <v>Catastrófico</v>
      </c>
      <c r="AG263" s="324">
        <f ca="1">IFERROR(IF(V263="Impacto",(Q263-(+Q263*Y263)),IF(V263="Probabilidad",Q263,"")),"")</f>
        <v>1</v>
      </c>
      <c r="AH263" s="328" t="str">
        <f ca="1">IFERROR(IF(OR(AND(AD263="Muy Baja",AF263="Leve"),AND(AD263="Muy Baja",AF263="Menor"),AND(AD263="Baja",AF263="Leve")),"Bajo",IF(OR(AND(AD263="Muy baja",AF263="Moderado"),AND(AD263="Baja",AF263="Menor"),AND(AD263="Baja",AF263="Moderado"),AND(AD263="Media",AF263="Leve"),AND(AD263="Media",AF263="Menor"),AND(AD263="Media",AF263="Moderado"),AND(AD263="Alta",AF263="Leve"),AND(AD263="Alta",AF263="Menor")),"Moderado",IF(OR(AND(AD263="Muy Baja",AF263="Mayor"),AND(AD263="Baja",AF263="Mayor"),AND(AD263="Media",AF263="Mayor"),AND(AD263="Alta",AF263="Moderado"),AND(AD263="Alta",AF263="Mayor"),AND(AD263="Muy Alta",AF263="Leve"),AND(AD263="Muy Alta",AF263="Menor"),AND(AD263="Muy Alta",AF263="Moderado"),AND(AD263="Muy Alta",AF263="Mayor")),"Alto",IF(OR(AND(AD263="Muy Baja",AF263="Catastrófico"),AND(AD263="Baja",AF263="Catastrófico"),AND(AD263="Media",AF263="Catastrófico"),AND(AD263="Alta",AF263="Catastrófico"),AND(AD263="Muy Alta",AF263="Catastrófico")),"Extremo","")))),"")</f>
        <v>Extremo</v>
      </c>
      <c r="AI263" s="323" t="s">
        <v>26</v>
      </c>
      <c r="AJ263" s="249">
        <v>12</v>
      </c>
      <c r="AK263" s="249">
        <v>4</v>
      </c>
      <c r="AL263" s="249">
        <v>4</v>
      </c>
      <c r="AM263" s="249">
        <v>4</v>
      </c>
      <c r="AN263" s="240"/>
      <c r="AO263" s="239"/>
      <c r="AP263" s="239"/>
      <c r="AQ263" s="240"/>
      <c r="AR263" s="241"/>
      <c r="AS263" s="241"/>
      <c r="AT263" s="293"/>
      <c r="AU263" s="293"/>
      <c r="AV263" s="293"/>
      <c r="AW263" s="293"/>
      <c r="AX263" s="293"/>
      <c r="AY263" s="293"/>
      <c r="AZ263" s="293"/>
      <c r="BA263" s="293"/>
      <c r="BB263" s="293"/>
      <c r="BC263" s="293"/>
      <c r="BD263" s="293"/>
      <c r="BE263" s="293"/>
      <c r="BF263" s="293"/>
      <c r="BG263" s="293"/>
      <c r="BH263" s="293"/>
      <c r="BI263" s="293"/>
      <c r="BJ263" s="293"/>
      <c r="BK263" s="293"/>
      <c r="BL263" s="293"/>
      <c r="BM263" s="293"/>
      <c r="BN263" s="293"/>
      <c r="BO263" s="293"/>
      <c r="BP263" s="293"/>
      <c r="BQ263" s="293"/>
      <c r="BR263" s="293"/>
      <c r="BS263" s="293"/>
      <c r="BT263" s="293"/>
      <c r="BU263" s="293"/>
      <c r="BV263" s="293"/>
      <c r="BW263" s="293"/>
      <c r="BX263" s="293"/>
      <c r="BY263" s="293"/>
      <c r="BZ263" s="293"/>
    </row>
    <row r="264" spans="1:78" s="295" customFormat="1" ht="97.5" customHeight="1" x14ac:dyDescent="0.2">
      <c r="A264" s="458"/>
      <c r="B264" s="451"/>
      <c r="C264" s="452"/>
      <c r="D264" s="453"/>
      <c r="E264" s="454"/>
      <c r="F264" s="454"/>
      <c r="G264" s="446"/>
      <c r="H264" s="456"/>
      <c r="I264" s="446"/>
      <c r="J264" s="446"/>
      <c r="K264" s="457"/>
      <c r="L264" s="447"/>
      <c r="M264" s="445"/>
      <c r="N264" s="455"/>
      <c r="O264" s="445">
        <f ca="1">IF(NOT(ISERROR(MATCH(N264,_xlfn.ANCHORARRAY(H269),0))),M271&amp;"Por favor no seleccionar los criterios de impacto",N264)</f>
        <v>0</v>
      </c>
      <c r="P264" s="447"/>
      <c r="Q264" s="445"/>
      <c r="R264" s="459"/>
      <c r="S264" s="248">
        <v>2</v>
      </c>
      <c r="T264" s="321" t="s">
        <v>1068</v>
      </c>
      <c r="U264" s="245" t="s">
        <v>293</v>
      </c>
      <c r="V264" s="322" t="str">
        <f>IF(OR(W264="Preventivo",W264="Detectivo"),"Probabilidad",IF(W264="Correctivo","Impacto",""))</f>
        <v>Probabilidad</v>
      </c>
      <c r="W264" s="323" t="s">
        <v>14</v>
      </c>
      <c r="X264" s="323" t="s">
        <v>8</v>
      </c>
      <c r="Y264" s="324" t="str">
        <f t="shared" si="445"/>
        <v>30%</v>
      </c>
      <c r="Z264" s="323" t="s">
        <v>18</v>
      </c>
      <c r="AA264" s="323" t="s">
        <v>21</v>
      </c>
      <c r="AB264" s="323" t="s">
        <v>103</v>
      </c>
      <c r="AC264" s="325">
        <f t="shared" ref="AC264" si="492">IFERROR(IF(AND(V263="Probabilidad",V264="Probabilidad"),(AE263-(+AE263*Y264)),IF(V264="Probabilidad",(M263-(+M263*Y264)),IF(V264="Impacto",AE263,""))),"")</f>
        <v>0.42</v>
      </c>
      <c r="AD264" s="326" t="str">
        <f t="shared" ref="AD264:AD268" si="493">IFERROR(IF(AC264="","",IF(AC264&lt;=0.2,"Muy Baja",IF(AC264&lt;=0.4,"Baja",IF(AC264&lt;=0.6,"Media",IF(AC264&lt;=0.8,"Alta","Muy Alta"))))),"")</f>
        <v>Media</v>
      </c>
      <c r="AE264" s="324">
        <f t="shared" ref="AE264:AE268" si="494">+AC264</f>
        <v>0.42</v>
      </c>
      <c r="AF264" s="326" t="str">
        <f t="shared" ref="AF264:AF268" ca="1" si="495">IFERROR(IF(AG264="","",IF(AG264&lt;=0.2,"Leve",IF(AG264&lt;=0.4,"Menor",IF(AG264&lt;=0.6,"Moderado",IF(AG264&lt;=0.8,"Mayor","Catastrófico"))))),"")</f>
        <v>Catastrófico</v>
      </c>
      <c r="AG264" s="324">
        <f ca="1">IFERROR(IF(AND(V263="Impacto",V264="Impacto"),(AG263-(+AG263*Y264)),IF(V264="Impacto",($Q$263-(+$Q$263*Y264)),IF(V264="Probabilidad",AG263,""))),"")</f>
        <v>1</v>
      </c>
      <c r="AH264" s="328" t="str">
        <f t="shared" ref="AH264:AH265" ca="1" si="496">IFERROR(IF(OR(AND(AD264="Muy Baja",AF264="Leve"),AND(AD264="Muy Baja",AF264="Menor"),AND(AD264="Baja",AF264="Leve")),"Bajo",IF(OR(AND(AD264="Muy baja",AF264="Moderado"),AND(AD264="Baja",AF264="Menor"),AND(AD264="Baja",AF264="Moderado"),AND(AD264="Media",AF264="Leve"),AND(AD264="Media",AF264="Menor"),AND(AD264="Media",AF264="Moderado"),AND(AD264="Alta",AF264="Leve"),AND(AD264="Alta",AF264="Menor")),"Moderado",IF(OR(AND(AD264="Muy Baja",AF264="Mayor"),AND(AD264="Baja",AF264="Mayor"),AND(AD264="Media",AF264="Mayor"),AND(AD264="Alta",AF264="Moderado"),AND(AD264="Alta",AF264="Mayor"),AND(AD264="Muy Alta",AF264="Leve"),AND(AD264="Muy Alta",AF264="Menor"),AND(AD264="Muy Alta",AF264="Moderado"),AND(AD264="Muy Alta",AF264="Mayor")),"Alto",IF(OR(AND(AD264="Muy Baja",AF264="Catastrófico"),AND(AD264="Baja",AF264="Catastrófico"),AND(AD264="Media",AF264="Catastrófico"),AND(AD264="Alta",AF264="Catastrófico"),AND(AD264="Muy Alta",AF264="Catastrófico")),"Extremo","")))),"")</f>
        <v>Extremo</v>
      </c>
      <c r="AI264" s="323" t="s">
        <v>26</v>
      </c>
      <c r="AJ264" s="249">
        <v>2</v>
      </c>
      <c r="AK264" s="249">
        <v>0</v>
      </c>
      <c r="AL264" s="249">
        <v>1</v>
      </c>
      <c r="AM264" s="249">
        <v>1</v>
      </c>
      <c r="AN264" s="278"/>
      <c r="AO264" s="276"/>
      <c r="AP264" s="276"/>
      <c r="AQ264" s="278"/>
      <c r="AR264" s="211"/>
      <c r="AS264" s="211"/>
      <c r="AT264" s="293"/>
      <c r="AU264" s="293"/>
      <c r="AV264" s="293"/>
      <c r="AW264" s="293"/>
      <c r="AX264" s="293"/>
      <c r="AY264" s="293"/>
      <c r="AZ264" s="293"/>
      <c r="BA264" s="293"/>
      <c r="BB264" s="293"/>
      <c r="BC264" s="293"/>
      <c r="BD264" s="293"/>
      <c r="BE264" s="293"/>
      <c r="BF264" s="293"/>
      <c r="BG264" s="293"/>
      <c r="BH264" s="293"/>
      <c r="BI264" s="293"/>
      <c r="BJ264" s="293"/>
      <c r="BK264" s="293"/>
      <c r="BL264" s="293"/>
      <c r="BM264" s="293"/>
      <c r="BN264" s="293"/>
      <c r="BO264" s="293"/>
      <c r="BP264" s="293"/>
      <c r="BQ264" s="293"/>
      <c r="BR264" s="293"/>
      <c r="BS264" s="293"/>
      <c r="BT264" s="293"/>
      <c r="BU264" s="293"/>
      <c r="BV264" s="293"/>
      <c r="BW264" s="293"/>
      <c r="BX264" s="293"/>
      <c r="BY264" s="293"/>
      <c r="BZ264" s="293"/>
    </row>
    <row r="265" spans="1:78" s="295" customFormat="1" ht="97.5" customHeight="1" x14ac:dyDescent="0.2">
      <c r="A265" s="458"/>
      <c r="B265" s="451"/>
      <c r="C265" s="452"/>
      <c r="D265" s="453"/>
      <c r="E265" s="454"/>
      <c r="F265" s="454"/>
      <c r="G265" s="446"/>
      <c r="H265" s="456"/>
      <c r="I265" s="446"/>
      <c r="J265" s="446"/>
      <c r="K265" s="457"/>
      <c r="L265" s="447"/>
      <c r="M265" s="445"/>
      <c r="N265" s="455"/>
      <c r="O265" s="445">
        <f ca="1">IF(NOT(ISERROR(MATCH(N265,_xlfn.ANCHORARRAY(H270),0))),M272&amp;"Por favor no seleccionar los criterios de impacto",N265)</f>
        <v>0</v>
      </c>
      <c r="P265" s="447"/>
      <c r="Q265" s="445"/>
      <c r="R265" s="459"/>
      <c r="S265" s="248">
        <v>3</v>
      </c>
      <c r="T265" s="321" t="s">
        <v>1069</v>
      </c>
      <c r="U265" s="245" t="s">
        <v>293</v>
      </c>
      <c r="V265" s="322" t="str">
        <f>IF(OR(W265="Preventivo",W265="Detectivo"),"Probabilidad",IF(W265="Correctivo","Impacto",""))</f>
        <v>Probabilidad</v>
      </c>
      <c r="W265" s="323" t="s">
        <v>14</v>
      </c>
      <c r="X265" s="323" t="s">
        <v>8</v>
      </c>
      <c r="Y265" s="324" t="str">
        <f t="shared" si="445"/>
        <v>30%</v>
      </c>
      <c r="Z265" s="323" t="s">
        <v>18</v>
      </c>
      <c r="AA265" s="323" t="s">
        <v>21</v>
      </c>
      <c r="AB265" s="323" t="s">
        <v>103</v>
      </c>
      <c r="AC265" s="325">
        <f t="shared" ref="AC265:AC268" si="497">IFERROR(IF(AND(V264="Probabilidad",V265="Probabilidad"),(AE264-(+AE264*Y265)),IF(AND(V264="Impacto",V265="Probabilidad"),(AE263-(+AE263*Y265)),IF(V265="Impacto",AE264,""))),"")</f>
        <v>0.29399999999999998</v>
      </c>
      <c r="AD265" s="326" t="str">
        <f t="shared" si="493"/>
        <v>Baja</v>
      </c>
      <c r="AE265" s="324">
        <f t="shared" si="494"/>
        <v>0.29399999999999998</v>
      </c>
      <c r="AF265" s="326" t="str">
        <f t="shared" ca="1" si="495"/>
        <v>Catastrófico</v>
      </c>
      <c r="AG265" s="324">
        <f t="shared" ref="AG265:AG268" ca="1" si="498">IFERROR(IF(AND(V264="Impacto",V265="Impacto"),(AG264-(+AG264*Y265)),IF(V265="Impacto",($Q$263-(+$Q$263*Y265)),IF(V265="Probabilidad",AG264,""))),"")</f>
        <v>1</v>
      </c>
      <c r="AH265" s="328" t="str">
        <f t="shared" ca="1" si="496"/>
        <v>Extremo</v>
      </c>
      <c r="AI265" s="323" t="s">
        <v>26</v>
      </c>
      <c r="AJ265" s="249">
        <v>2</v>
      </c>
      <c r="AK265" s="249">
        <v>0</v>
      </c>
      <c r="AL265" s="249">
        <v>1</v>
      </c>
      <c r="AM265" s="249">
        <v>1</v>
      </c>
      <c r="AN265" s="278"/>
      <c r="AO265" s="276"/>
      <c r="AP265" s="276"/>
      <c r="AQ265" s="278"/>
      <c r="AR265" s="211"/>
      <c r="AS265" s="211"/>
      <c r="AT265" s="293"/>
      <c r="AU265" s="293"/>
      <c r="AV265" s="293"/>
      <c r="AW265" s="293"/>
      <c r="AX265" s="293"/>
      <c r="AY265" s="293"/>
      <c r="AZ265" s="293"/>
      <c r="BA265" s="293"/>
      <c r="BB265" s="293"/>
      <c r="BC265" s="293"/>
      <c r="BD265" s="293"/>
      <c r="BE265" s="293"/>
      <c r="BF265" s="293"/>
      <c r="BG265" s="293"/>
      <c r="BH265" s="293"/>
      <c r="BI265" s="293"/>
      <c r="BJ265" s="293"/>
      <c r="BK265" s="293"/>
      <c r="BL265" s="293"/>
      <c r="BM265" s="293"/>
      <c r="BN265" s="293"/>
      <c r="BO265" s="293"/>
      <c r="BP265" s="293"/>
      <c r="BQ265" s="293"/>
      <c r="BR265" s="293"/>
      <c r="BS265" s="293"/>
      <c r="BT265" s="293"/>
      <c r="BU265" s="293"/>
      <c r="BV265" s="293"/>
      <c r="BW265" s="293"/>
      <c r="BX265" s="293"/>
      <c r="BY265" s="293"/>
      <c r="BZ265" s="293"/>
    </row>
    <row r="266" spans="1:78" s="295" customFormat="1" ht="97.5" customHeight="1" x14ac:dyDescent="0.2">
      <c r="A266" s="458"/>
      <c r="B266" s="451"/>
      <c r="C266" s="452"/>
      <c r="D266" s="453"/>
      <c r="E266" s="454"/>
      <c r="F266" s="454"/>
      <c r="G266" s="446"/>
      <c r="H266" s="456"/>
      <c r="I266" s="446"/>
      <c r="J266" s="446"/>
      <c r="K266" s="457"/>
      <c r="L266" s="447"/>
      <c r="M266" s="445"/>
      <c r="N266" s="455"/>
      <c r="O266" s="445">
        <f ca="1">IF(NOT(ISERROR(MATCH(N266,_xlfn.ANCHORARRAY(H271),0))),M273&amp;"Por favor no seleccionar los criterios de impacto",N266)</f>
        <v>0</v>
      </c>
      <c r="P266" s="447"/>
      <c r="Q266" s="445"/>
      <c r="R266" s="459"/>
      <c r="S266" s="248">
        <v>4</v>
      </c>
      <c r="T266" s="321" t="s">
        <v>967</v>
      </c>
      <c r="U266" s="245" t="s">
        <v>293</v>
      </c>
      <c r="V266" s="322" t="str">
        <f t="shared" ref="V266:V268" si="499">IF(OR(W266="Preventivo",W266="Detectivo"),"Probabilidad",IF(W266="Correctivo","Impacto",""))</f>
        <v>Probabilidad</v>
      </c>
      <c r="W266" s="323" t="s">
        <v>13</v>
      </c>
      <c r="X266" s="323" t="s">
        <v>8</v>
      </c>
      <c r="Y266" s="324" t="str">
        <f t="shared" si="445"/>
        <v>40%</v>
      </c>
      <c r="Z266" s="323" t="s">
        <v>19</v>
      </c>
      <c r="AA266" s="323" t="s">
        <v>21</v>
      </c>
      <c r="AB266" s="323" t="s">
        <v>103</v>
      </c>
      <c r="AC266" s="325">
        <f t="shared" si="497"/>
        <v>0.1764</v>
      </c>
      <c r="AD266" s="326" t="str">
        <f t="shared" si="493"/>
        <v>Muy Baja</v>
      </c>
      <c r="AE266" s="324">
        <f t="shared" si="494"/>
        <v>0.1764</v>
      </c>
      <c r="AF266" s="326" t="str">
        <f t="shared" ca="1" si="495"/>
        <v>Catastrófico</v>
      </c>
      <c r="AG266" s="324">
        <f t="shared" ca="1" si="498"/>
        <v>1</v>
      </c>
      <c r="AH266" s="328" t="str">
        <f ca="1">IFERROR(IF(OR(AND(AD266="Muy Baja",AF266="Leve"),AND(AD266="Muy Baja",AF266="Menor"),AND(AD266="Baja",AF266="Leve")),"Bajo",IF(OR(AND(AD266="Muy baja",AF266="Moderado"),AND(AD266="Baja",AF266="Menor"),AND(AD266="Baja",AF266="Moderado"),AND(AD266="Media",AF266="Leve"),AND(AD266="Media",AF266="Menor"),AND(AD266="Media",AF266="Moderado"),AND(AD266="Alta",AF266="Leve"),AND(AD266="Alta",AF266="Menor")),"Moderado",IF(OR(AND(AD266="Muy Baja",AF266="Mayor"),AND(AD266="Baja",AF266="Mayor"),AND(AD266="Media",AF266="Mayor"),AND(AD266="Alta",AF266="Moderado"),AND(AD266="Alta",AF266="Mayor"),AND(AD266="Muy Alta",AF266="Leve"),AND(AD266="Muy Alta",AF266="Menor"),AND(AD266="Muy Alta",AF266="Moderado"),AND(AD266="Muy Alta",AF266="Mayor")),"Alto",IF(OR(AND(AD266="Muy Baja",AF266="Catastrófico"),AND(AD266="Baja",AF266="Catastrófico"),AND(AD266="Media",AF266="Catastrófico"),AND(AD266="Alta",AF266="Catastrófico"),AND(AD266="Muy Alta",AF266="Catastrófico")),"Extremo","")))),"")</f>
        <v>Extremo</v>
      </c>
      <c r="AI266" s="323" t="s">
        <v>26</v>
      </c>
      <c r="AJ266" s="249">
        <v>12</v>
      </c>
      <c r="AK266" s="249">
        <v>4</v>
      </c>
      <c r="AL266" s="249">
        <v>4</v>
      </c>
      <c r="AM266" s="249">
        <v>4</v>
      </c>
      <c r="AN266" s="278"/>
      <c r="AO266" s="276"/>
      <c r="AP266" s="276"/>
      <c r="AQ266" s="278"/>
      <c r="AR266" s="211"/>
      <c r="AS266" s="211"/>
      <c r="AT266" s="293"/>
      <c r="AU266" s="293"/>
      <c r="AV266" s="293"/>
      <c r="AW266" s="293"/>
      <c r="AX266" s="293"/>
      <c r="AY266" s="293"/>
      <c r="AZ266" s="293"/>
      <c r="BA266" s="293"/>
      <c r="BB266" s="293"/>
      <c r="BC266" s="293"/>
      <c r="BD266" s="293"/>
      <c r="BE266" s="293"/>
      <c r="BF266" s="293"/>
      <c r="BG266" s="293"/>
      <c r="BH266" s="293"/>
      <c r="BI266" s="293"/>
      <c r="BJ266" s="293"/>
      <c r="BK266" s="293"/>
      <c r="BL266" s="293"/>
      <c r="BM266" s="293"/>
      <c r="BN266" s="293"/>
      <c r="BO266" s="293"/>
      <c r="BP266" s="293"/>
      <c r="BQ266" s="293"/>
      <c r="BR266" s="293"/>
      <c r="BS266" s="293"/>
      <c r="BT266" s="293"/>
      <c r="BU266" s="293"/>
      <c r="BV266" s="293"/>
      <c r="BW266" s="293"/>
      <c r="BX266" s="293"/>
      <c r="BY266" s="293"/>
      <c r="BZ266" s="293"/>
    </row>
    <row r="267" spans="1:78" s="295" customFormat="1" ht="97.5" customHeight="1" x14ac:dyDescent="0.2">
      <c r="A267" s="458"/>
      <c r="B267" s="451"/>
      <c r="C267" s="452"/>
      <c r="D267" s="453"/>
      <c r="E267" s="454"/>
      <c r="F267" s="454"/>
      <c r="G267" s="446"/>
      <c r="H267" s="456"/>
      <c r="I267" s="446"/>
      <c r="J267" s="446"/>
      <c r="K267" s="457"/>
      <c r="L267" s="447"/>
      <c r="M267" s="445"/>
      <c r="N267" s="455"/>
      <c r="O267" s="445">
        <f ca="1">IF(NOT(ISERROR(MATCH(N267,_xlfn.ANCHORARRAY(H272),0))),M274&amp;"Por favor no seleccionar los criterios de impacto",N267)</f>
        <v>0</v>
      </c>
      <c r="P267" s="447"/>
      <c r="Q267" s="445"/>
      <c r="R267" s="459"/>
      <c r="S267" s="248">
        <v>5</v>
      </c>
      <c r="T267" s="321" t="s">
        <v>1070</v>
      </c>
      <c r="U267" s="245" t="s">
        <v>293</v>
      </c>
      <c r="V267" s="322" t="str">
        <f t="shared" si="499"/>
        <v>Probabilidad</v>
      </c>
      <c r="W267" s="323" t="s">
        <v>14</v>
      </c>
      <c r="X267" s="323" t="s">
        <v>8</v>
      </c>
      <c r="Y267" s="324" t="str">
        <f t="shared" si="445"/>
        <v>30%</v>
      </c>
      <c r="Z267" s="323" t="s">
        <v>19</v>
      </c>
      <c r="AA267" s="323" t="s">
        <v>21</v>
      </c>
      <c r="AB267" s="323" t="s">
        <v>103</v>
      </c>
      <c r="AC267" s="325">
        <f t="shared" si="497"/>
        <v>0.12348000000000001</v>
      </c>
      <c r="AD267" s="326" t="str">
        <f t="shared" si="493"/>
        <v>Muy Baja</v>
      </c>
      <c r="AE267" s="324">
        <f t="shared" si="494"/>
        <v>0.12348000000000001</v>
      </c>
      <c r="AF267" s="326" t="str">
        <f t="shared" ca="1" si="495"/>
        <v>Catastrófico</v>
      </c>
      <c r="AG267" s="324">
        <f t="shared" ca="1" si="498"/>
        <v>1</v>
      </c>
      <c r="AH267" s="328" t="str">
        <f t="shared" ref="AH267:AH268" ca="1" si="500">IFERROR(IF(OR(AND(AD267="Muy Baja",AF267="Leve"),AND(AD267="Muy Baja",AF267="Menor"),AND(AD267="Baja",AF267="Leve")),"Bajo",IF(OR(AND(AD267="Muy baja",AF267="Moderado"),AND(AD267="Baja",AF267="Menor"),AND(AD267="Baja",AF267="Moderado"),AND(AD267="Media",AF267="Leve"),AND(AD267="Media",AF267="Menor"),AND(AD267="Media",AF267="Moderado"),AND(AD267="Alta",AF267="Leve"),AND(AD267="Alta",AF267="Menor")),"Moderado",IF(OR(AND(AD267="Muy Baja",AF267="Mayor"),AND(AD267="Baja",AF267="Mayor"),AND(AD267="Media",AF267="Mayor"),AND(AD267="Alta",AF267="Moderado"),AND(AD267="Alta",AF267="Mayor"),AND(AD267="Muy Alta",AF267="Leve"),AND(AD267="Muy Alta",AF267="Menor"),AND(AD267="Muy Alta",AF267="Moderado"),AND(AD267="Muy Alta",AF267="Mayor")),"Alto",IF(OR(AND(AD267="Muy Baja",AF267="Catastrófico"),AND(AD267="Baja",AF267="Catastrófico"),AND(AD267="Media",AF267="Catastrófico"),AND(AD267="Alta",AF267="Catastrófico"),AND(AD267="Muy Alta",AF267="Catastrófico")),"Extremo","")))),"")</f>
        <v>Extremo</v>
      </c>
      <c r="AI267" s="323" t="s">
        <v>26</v>
      </c>
      <c r="AJ267" s="249">
        <v>12</v>
      </c>
      <c r="AK267" s="249">
        <v>4</v>
      </c>
      <c r="AL267" s="249">
        <v>4</v>
      </c>
      <c r="AM267" s="249">
        <v>4</v>
      </c>
      <c r="AN267" s="278"/>
      <c r="AO267" s="276"/>
      <c r="AP267" s="276"/>
      <c r="AQ267" s="278"/>
      <c r="AR267" s="211"/>
      <c r="AS267" s="211"/>
      <c r="AT267" s="293"/>
      <c r="AU267" s="293"/>
      <c r="AV267" s="293"/>
      <c r="AW267" s="293"/>
      <c r="AX267" s="293"/>
      <c r="AY267" s="293"/>
      <c r="AZ267" s="293"/>
      <c r="BA267" s="293"/>
      <c r="BB267" s="293"/>
      <c r="BC267" s="293"/>
      <c r="BD267" s="293"/>
      <c r="BE267" s="293"/>
      <c r="BF267" s="293"/>
      <c r="BG267" s="293"/>
      <c r="BH267" s="293"/>
      <c r="BI267" s="293"/>
      <c r="BJ267" s="293"/>
      <c r="BK267" s="293"/>
      <c r="BL267" s="293"/>
      <c r="BM267" s="293"/>
      <c r="BN267" s="293"/>
      <c r="BO267" s="293"/>
      <c r="BP267" s="293"/>
      <c r="BQ267" s="293"/>
      <c r="BR267" s="293"/>
      <c r="BS267" s="293"/>
      <c r="BT267" s="293"/>
      <c r="BU267" s="293"/>
      <c r="BV267" s="293"/>
      <c r="BW267" s="293"/>
      <c r="BX267" s="293"/>
      <c r="BY267" s="293"/>
      <c r="BZ267" s="293"/>
    </row>
    <row r="268" spans="1:78" s="295" customFormat="1" ht="6.75" customHeight="1" x14ac:dyDescent="0.2">
      <c r="A268" s="458"/>
      <c r="B268" s="451"/>
      <c r="C268" s="452"/>
      <c r="D268" s="453"/>
      <c r="E268" s="454"/>
      <c r="F268" s="454"/>
      <c r="G268" s="446"/>
      <c r="H268" s="456"/>
      <c r="I268" s="446"/>
      <c r="J268" s="446"/>
      <c r="K268" s="457"/>
      <c r="L268" s="447"/>
      <c r="M268" s="445"/>
      <c r="N268" s="455"/>
      <c r="O268" s="445">
        <f ca="1">IF(NOT(ISERROR(MATCH(N268,_xlfn.ANCHORARRAY(H273),0))),M281&amp;"Por favor no seleccionar los criterios de impacto",N268)</f>
        <v>0</v>
      </c>
      <c r="P268" s="447"/>
      <c r="Q268" s="445"/>
      <c r="R268" s="459"/>
      <c r="S268" s="248">
        <v>6</v>
      </c>
      <c r="T268" s="330"/>
      <c r="U268" s="245"/>
      <c r="V268" s="322" t="str">
        <f t="shared" si="499"/>
        <v/>
      </c>
      <c r="W268" s="323"/>
      <c r="X268" s="323"/>
      <c r="Y268" s="324" t="str">
        <f t="shared" si="445"/>
        <v/>
      </c>
      <c r="Z268" s="323"/>
      <c r="AA268" s="323"/>
      <c r="AB268" s="323"/>
      <c r="AC268" s="325" t="str">
        <f t="shared" si="497"/>
        <v/>
      </c>
      <c r="AD268" s="326" t="str">
        <f t="shared" si="493"/>
        <v/>
      </c>
      <c r="AE268" s="324" t="str">
        <f t="shared" si="494"/>
        <v/>
      </c>
      <c r="AF268" s="326" t="str">
        <f t="shared" si="495"/>
        <v/>
      </c>
      <c r="AG268" s="324" t="str">
        <f t="shared" si="498"/>
        <v/>
      </c>
      <c r="AH268" s="328" t="str">
        <f t="shared" si="500"/>
        <v/>
      </c>
      <c r="AI268" s="323"/>
      <c r="AJ268" s="249"/>
      <c r="AK268" s="249"/>
      <c r="AL268" s="249"/>
      <c r="AM268" s="249"/>
      <c r="AN268" s="278"/>
      <c r="AO268" s="276"/>
      <c r="AP268" s="276"/>
      <c r="AQ268" s="278"/>
      <c r="AR268" s="211"/>
      <c r="AS268" s="211"/>
      <c r="AT268" s="293"/>
      <c r="AU268" s="293"/>
      <c r="AV268" s="293"/>
      <c r="AW268" s="293"/>
      <c r="AX268" s="293"/>
      <c r="AY268" s="293"/>
      <c r="AZ268" s="293"/>
      <c r="BA268" s="293"/>
      <c r="BB268" s="293"/>
      <c r="BC268" s="293"/>
      <c r="BD268" s="293"/>
      <c r="BE268" s="293"/>
      <c r="BF268" s="293"/>
      <c r="BG268" s="293"/>
      <c r="BH268" s="293"/>
      <c r="BI268" s="293"/>
      <c r="BJ268" s="293"/>
      <c r="BK268" s="293"/>
      <c r="BL268" s="293"/>
      <c r="BM268" s="293"/>
      <c r="BN268" s="293"/>
      <c r="BO268" s="293"/>
      <c r="BP268" s="293"/>
      <c r="BQ268" s="293"/>
      <c r="BR268" s="293"/>
      <c r="BS268" s="293"/>
      <c r="BT268" s="293"/>
      <c r="BU268" s="293"/>
      <c r="BV268" s="293"/>
      <c r="BW268" s="293"/>
      <c r="BX268" s="293"/>
      <c r="BY268" s="293"/>
      <c r="BZ268" s="293"/>
    </row>
    <row r="269" spans="1:78" s="294" customFormat="1" ht="130.5" customHeight="1" x14ac:dyDescent="0.2">
      <c r="A269" s="458" t="s">
        <v>761</v>
      </c>
      <c r="B269" s="451" t="s">
        <v>830</v>
      </c>
      <c r="C269" s="452" t="s">
        <v>286</v>
      </c>
      <c r="D269" s="453" t="s">
        <v>618</v>
      </c>
      <c r="E269" s="454" t="s">
        <v>107</v>
      </c>
      <c r="F269" s="454" t="s">
        <v>902</v>
      </c>
      <c r="G269" s="446" t="s">
        <v>675</v>
      </c>
      <c r="H269" s="446" t="s">
        <v>905</v>
      </c>
      <c r="I269" s="446" t="s">
        <v>654</v>
      </c>
      <c r="J269" s="446" t="s">
        <v>903</v>
      </c>
      <c r="K269" s="457">
        <v>474</v>
      </c>
      <c r="L269" s="447" t="str">
        <f t="shared" ref="L269" si="501">IF(K269&lt;=0,"",IF(K269&lt;=2,"Muy Baja",IF(K269&lt;=24,"Baja",IF(K269&lt;=500,"Media",IF(K269&lt;=5000,"Alta","Muy Alta")))))</f>
        <v>Media</v>
      </c>
      <c r="M269" s="445">
        <f>IF(L269="","",IF(L269="Muy Baja",0.2,IF(L269="Baja",0.4,IF(L269="Media",0.6,IF(L269="Alta",0.8,IF(L269="Muy Alta",1,))))))</f>
        <v>0.6</v>
      </c>
      <c r="N269" s="455" t="s">
        <v>121</v>
      </c>
      <c r="O269" s="445" t="str">
        <f ca="1">IF(NOT(ISERROR(MATCH(N269,'Tabla Impacto'!$B$221:$B$223,0))),'Tabla Impacto'!$F$223&amp;"Por favor no seleccionar los criterios de impacto(Afectación Económica o presupuestal y Pérdida Reputacional)",N269)</f>
        <v xml:space="preserve">     El riesgo afecta la imagen de la entidad con algunos usuarios de relevancia frente al logro de los objetivos</v>
      </c>
      <c r="P269" s="447" t="str">
        <f ca="1">IF(OR(O269='Tabla Impacto'!$C$11,O269='Tabla Impacto'!$D$11),"Leve",IF(OR(O269='Tabla Impacto'!$C$12,O269='Tabla Impacto'!$D$12),"Menor",IF(OR(O269='Tabla Impacto'!$C$13,O269='Tabla Impacto'!$D$13),"Moderado",IF(OR(O269='Tabla Impacto'!$C$14,O269='Tabla Impacto'!$D$14),"Mayor",IF(OR(O269='Tabla Impacto'!$C$15,O269='Tabla Impacto'!$D$15),"Catastrófico","")))))</f>
        <v>Moderado</v>
      </c>
      <c r="Q269" s="445">
        <f ca="1">IF(P269="","",IF(P269="Leve",0.2,IF(P269="Menor",0.4,IF(P269="Moderado",0.6,IF(P269="Mayor",0.8,IF(P269="Catastrófico",1,))))))</f>
        <v>0.6</v>
      </c>
      <c r="R269" s="459" t="str">
        <f ca="1">IF(OR(AND(L269="Muy Baja",P269="Leve"),AND(L269="Muy Baja",P269="Menor"),AND(L269="Baja",P269="Leve")),"Bajo",IF(OR(AND(L269="Muy baja",P269="Moderado"),AND(L269="Baja",P269="Menor"),AND(L269="Baja",P269="Moderado"),AND(L269="Media",P269="Leve"),AND(L269="Media",P269="Menor"),AND(L269="Media",P269="Moderado"),AND(L269="Alta",P269="Leve"),AND(L269="Alta",P269="Menor")),"Moderado",IF(OR(AND(L269="Muy Baja",P269="Mayor"),AND(L269="Baja",P269="Mayor"),AND(L269="Media",P269="Mayor"),AND(L269="Alta",P269="Moderado"),AND(L269="Alta",P269="Mayor"),AND(L269="Muy Alta",P269="Leve"),AND(L269="Muy Alta",P269="Menor"),AND(L269="Muy Alta",P269="Moderado"),AND(L269="Muy Alta",P269="Mayor")),"Alto",IF(OR(AND(L269="Muy Baja",P269="Catastrófico"),AND(L269="Baja",P269="Catastrófico"),AND(L269="Media",P269="Catastrófico"),AND(L269="Alta",P269="Catastrófico"),AND(L269="Muy Alta",P269="Catastrófico")),"Extremo",""))))</f>
        <v>Moderado</v>
      </c>
      <c r="S269" s="248">
        <v>1</v>
      </c>
      <c r="T269" s="321" t="s">
        <v>1101</v>
      </c>
      <c r="U269" s="245" t="s">
        <v>293</v>
      </c>
      <c r="V269" s="322" t="str">
        <f>IF(OR(W269="Preventivo",W269="Detectivo"),"Probabilidad",IF(W269="Correctivo","Impacto",""))</f>
        <v>Probabilidad</v>
      </c>
      <c r="W269" s="323" t="s">
        <v>14</v>
      </c>
      <c r="X269" s="323" t="s">
        <v>8</v>
      </c>
      <c r="Y269" s="324" t="str">
        <f t="shared" ref="Y269:Y274" si="502">IF(AND(W269="Preventivo",X269="Automático"),"50%",IF(AND(W269="Preventivo",X269="Manual"),"40%",IF(AND(W269="Detectivo",X269="Automático"),"40%",IF(AND(W269="Detectivo",X269="Manual"),"30%",IF(AND(W269="Correctivo",X269="Automático"),"35%",IF(AND(W269="Correctivo",X269="Manual"),"25%",""))))))</f>
        <v>30%</v>
      </c>
      <c r="Z269" s="323" t="s">
        <v>18</v>
      </c>
      <c r="AA269" s="323" t="s">
        <v>21</v>
      </c>
      <c r="AB269" s="323" t="s">
        <v>103</v>
      </c>
      <c r="AC269" s="325">
        <f t="shared" ref="AC269" si="503">IFERROR(IF(V269="Probabilidad",(M269-(+M269*Y269)),IF(V269="Impacto",M269,"")),"")</f>
        <v>0.42</v>
      </c>
      <c r="AD269" s="326" t="str">
        <f>IFERROR(IF(AC269="","",IF(AC269&lt;=0.2,"Muy Baja",IF(AC269&lt;=0.4,"Baja",IF(AC269&lt;=0.6,"Media",IF(AC269&lt;=0.8,"Alta","Muy Alta"))))),"")</f>
        <v>Media</v>
      </c>
      <c r="AE269" s="324">
        <f>+AC269</f>
        <v>0.42</v>
      </c>
      <c r="AF269" s="326" t="str">
        <f ca="1">IFERROR(IF(AG269="","",IF(AG269&lt;=0.2,"Leve",IF(AG269&lt;=0.4,"Menor",IF(AG269&lt;=0.6,"Moderado",IF(AG269&lt;=0.8,"Mayor","Catastrófico"))))),"")</f>
        <v>Moderado</v>
      </c>
      <c r="AG269" s="324">
        <f ca="1">IFERROR(IF(V269="Impacto",(Q269-(+Q269*Y269)),IF(V269="Probabilidad",Q269,"")),"")</f>
        <v>0.6</v>
      </c>
      <c r="AH269" s="328" t="str">
        <f ca="1">IFERROR(IF(OR(AND(AD269="Muy Baja",AF269="Leve"),AND(AD269="Muy Baja",AF269="Menor"),AND(AD269="Baja",AF269="Leve")),"Bajo",IF(OR(AND(AD269="Muy baja",AF269="Moderado"),AND(AD269="Baja",AF269="Menor"),AND(AD269="Baja",AF269="Moderado"),AND(AD269="Media",AF269="Leve"),AND(AD269="Media",AF269="Menor"),AND(AD269="Media",AF269="Moderado"),AND(AD269="Alta",AF269="Leve"),AND(AD269="Alta",AF269="Menor")),"Moderado",IF(OR(AND(AD269="Muy Baja",AF269="Mayor"),AND(AD269="Baja",AF269="Mayor"),AND(AD269="Media",AF269="Mayor"),AND(AD269="Alta",AF269="Moderado"),AND(AD269="Alta",AF269="Mayor"),AND(AD269="Muy Alta",AF269="Leve"),AND(AD269="Muy Alta",AF269="Menor"),AND(AD269="Muy Alta",AF269="Moderado"),AND(AD269="Muy Alta",AF269="Mayor")),"Alto",IF(OR(AND(AD269="Muy Baja",AF269="Catastrófico"),AND(AD269="Baja",AF269="Catastrófico"),AND(AD269="Media",AF269="Catastrófico"),AND(AD269="Alta",AF269="Catastrófico"),AND(AD269="Muy Alta",AF269="Catastrófico")),"Extremo","")))),"")</f>
        <v>Moderado</v>
      </c>
      <c r="AI269" s="323" t="s">
        <v>26</v>
      </c>
      <c r="AJ269" s="249">
        <v>4</v>
      </c>
      <c r="AK269" s="249">
        <v>1</v>
      </c>
      <c r="AL269" s="249">
        <v>1</v>
      </c>
      <c r="AM269" s="249">
        <v>2</v>
      </c>
      <c r="AN269" s="240"/>
      <c r="AO269" s="239"/>
      <c r="AP269" s="239"/>
      <c r="AQ269" s="240"/>
      <c r="AR269" s="241"/>
      <c r="AS269" s="241"/>
      <c r="AT269" s="293"/>
      <c r="AU269" s="293"/>
      <c r="AV269" s="293"/>
      <c r="AW269" s="293"/>
      <c r="AX269" s="293"/>
      <c r="AY269" s="293"/>
      <c r="AZ269" s="293"/>
      <c r="BA269" s="293"/>
      <c r="BB269" s="293"/>
      <c r="BC269" s="293"/>
      <c r="BD269" s="293"/>
      <c r="BE269" s="293"/>
      <c r="BF269" s="293"/>
      <c r="BG269" s="293"/>
      <c r="BH269" s="293"/>
      <c r="BI269" s="293"/>
      <c r="BJ269" s="293"/>
      <c r="BK269" s="293"/>
      <c r="BL269" s="293"/>
      <c r="BM269" s="293"/>
      <c r="BN269" s="293"/>
      <c r="BO269" s="293"/>
      <c r="BP269" s="293"/>
      <c r="BQ269" s="293"/>
      <c r="BR269" s="293"/>
      <c r="BS269" s="293"/>
      <c r="BT269" s="293"/>
      <c r="BU269" s="293"/>
      <c r="BV269" s="293"/>
      <c r="BW269" s="293"/>
      <c r="BX269" s="293"/>
      <c r="BY269" s="293"/>
      <c r="BZ269" s="293"/>
    </row>
    <row r="270" spans="1:78" s="295" customFormat="1" ht="12.75" customHeight="1" x14ac:dyDescent="0.2">
      <c r="A270" s="458"/>
      <c r="B270" s="451"/>
      <c r="C270" s="452"/>
      <c r="D270" s="453"/>
      <c r="E270" s="454"/>
      <c r="F270" s="454"/>
      <c r="G270" s="446"/>
      <c r="H270" s="446"/>
      <c r="I270" s="446"/>
      <c r="J270" s="446"/>
      <c r="K270" s="457"/>
      <c r="L270" s="447"/>
      <c r="M270" s="445"/>
      <c r="N270" s="455"/>
      <c r="O270" s="445">
        <f ca="1">IF(NOT(ISERROR(MATCH(N270,_xlfn.ANCHORARRAY(#REF!),0))),#REF!&amp;"Por favor no seleccionar los criterios de impacto",N270)</f>
        <v>0</v>
      </c>
      <c r="P270" s="447"/>
      <c r="Q270" s="445"/>
      <c r="R270" s="459"/>
      <c r="S270" s="248">
        <v>2</v>
      </c>
      <c r="T270" s="321"/>
      <c r="U270" s="245"/>
      <c r="V270" s="322"/>
      <c r="W270" s="323"/>
      <c r="X270" s="323"/>
      <c r="Y270" s="324" t="str">
        <f t="shared" si="502"/>
        <v/>
      </c>
      <c r="Z270" s="323"/>
      <c r="AA270" s="323"/>
      <c r="AB270" s="323"/>
      <c r="AC270" s="325" t="str">
        <f t="shared" ref="AC270" si="504">IFERROR(IF(AND(V269="Probabilidad",V270="Probabilidad"),(AE269-(+AE269*Y270)),IF(V270="Probabilidad",(M269-(+M269*Y270)),IF(V270="Impacto",AE269,""))),"")</f>
        <v/>
      </c>
      <c r="AD270" s="326" t="str">
        <f t="shared" ref="AD270:AD274" si="505">IFERROR(IF(AC270="","",IF(AC270&lt;=0.2,"Muy Baja",IF(AC270&lt;=0.4,"Baja",IF(AC270&lt;=0.6,"Media",IF(AC270&lt;=0.8,"Alta","Muy Alta"))))),"")</f>
        <v/>
      </c>
      <c r="AE270" s="324" t="str">
        <f>+AC270</f>
        <v/>
      </c>
      <c r="AF270" s="326" t="str">
        <f t="shared" ref="AF270:AF274" si="506">IFERROR(IF(AG270="","",IF(AG270&lt;=0.2,"Leve",IF(AG270&lt;=0.4,"Menor",IF(AG270&lt;=0.6,"Moderado",IF(AG270&lt;=0.8,"Mayor","Catastrófico"))))),"")</f>
        <v/>
      </c>
      <c r="AG270" s="324" t="str">
        <f>IFERROR(IF(AND(V269="Impacto",V270="Impacto"),(AG269-(+AG269*Y270)),IF(V270="Impacto",($Q$269-(+$Q$269*Y270)),IF(V270="Probabilidad",AG269,""))),"")</f>
        <v/>
      </c>
      <c r="AH270" s="328" t="str">
        <f t="shared" ref="AH270:AH271" si="507">IFERROR(IF(OR(AND(AD270="Muy Baja",AF270="Leve"),AND(AD270="Muy Baja",AF270="Menor"),AND(AD270="Baja",AF270="Leve")),"Bajo",IF(OR(AND(AD270="Muy baja",AF270="Moderado"),AND(AD270="Baja",AF270="Menor"),AND(AD270="Baja",AF270="Moderado"),AND(AD270="Media",AF270="Leve"),AND(AD270="Media",AF270="Menor"),AND(AD270="Media",AF270="Moderado"),AND(AD270="Alta",AF270="Leve"),AND(AD270="Alta",AF270="Menor")),"Moderado",IF(OR(AND(AD270="Muy Baja",AF270="Mayor"),AND(AD270="Baja",AF270="Mayor"),AND(AD270="Media",AF270="Mayor"),AND(AD270="Alta",AF270="Moderado"),AND(AD270="Alta",AF270="Mayor"),AND(AD270="Muy Alta",AF270="Leve"),AND(AD270="Muy Alta",AF270="Menor"),AND(AD270="Muy Alta",AF270="Moderado"),AND(AD270="Muy Alta",AF270="Mayor")),"Alto",IF(OR(AND(AD270="Muy Baja",AF270="Catastrófico"),AND(AD270="Baja",AF270="Catastrófico"),AND(AD270="Media",AF270="Catastrófico"),AND(AD270="Alta",AF270="Catastrófico"),AND(AD270="Muy Alta",AF270="Catastrófico")),"Extremo","")))),"")</f>
        <v/>
      </c>
      <c r="AI270" s="323"/>
      <c r="AJ270" s="249"/>
      <c r="AK270" s="249"/>
      <c r="AL270" s="249"/>
      <c r="AM270" s="249"/>
      <c r="AN270" s="278"/>
      <c r="AO270" s="276"/>
      <c r="AP270" s="276"/>
      <c r="AQ270" s="278"/>
      <c r="AR270" s="211"/>
      <c r="AS270" s="211"/>
      <c r="AT270" s="293"/>
      <c r="AU270" s="293"/>
      <c r="AV270" s="293"/>
      <c r="AW270" s="293"/>
      <c r="AX270" s="293"/>
      <c r="AY270" s="293"/>
      <c r="AZ270" s="293"/>
      <c r="BA270" s="293"/>
      <c r="BB270" s="293"/>
      <c r="BC270" s="293"/>
      <c r="BD270" s="293"/>
      <c r="BE270" s="293"/>
      <c r="BF270" s="293"/>
      <c r="BG270" s="293"/>
      <c r="BH270" s="293"/>
      <c r="BI270" s="293"/>
      <c r="BJ270" s="293"/>
      <c r="BK270" s="293"/>
      <c r="BL270" s="293"/>
      <c r="BM270" s="293"/>
      <c r="BN270" s="293"/>
      <c r="BO270" s="293"/>
      <c r="BP270" s="293"/>
      <c r="BQ270" s="293"/>
      <c r="BR270" s="293"/>
      <c r="BS270" s="293"/>
      <c r="BT270" s="293"/>
      <c r="BU270" s="293"/>
      <c r="BV270" s="293"/>
      <c r="BW270" s="293"/>
      <c r="BX270" s="293"/>
      <c r="BY270" s="293"/>
      <c r="BZ270" s="293"/>
    </row>
    <row r="271" spans="1:78" s="295" customFormat="1" ht="7.5" customHeight="1" x14ac:dyDescent="0.2">
      <c r="A271" s="458"/>
      <c r="B271" s="451"/>
      <c r="C271" s="452"/>
      <c r="D271" s="453"/>
      <c r="E271" s="454"/>
      <c r="F271" s="454"/>
      <c r="G271" s="446"/>
      <c r="H271" s="446"/>
      <c r="I271" s="446"/>
      <c r="J271" s="446"/>
      <c r="K271" s="457"/>
      <c r="L271" s="447"/>
      <c r="M271" s="445"/>
      <c r="N271" s="455"/>
      <c r="O271" s="445">
        <f ca="1">IF(NOT(ISERROR(MATCH(N271,_xlfn.ANCHORARRAY(#REF!),0))),#REF!&amp;"Por favor no seleccionar los criterios de impacto",N271)</f>
        <v>0</v>
      </c>
      <c r="P271" s="447"/>
      <c r="Q271" s="445"/>
      <c r="R271" s="459"/>
      <c r="S271" s="248">
        <v>3</v>
      </c>
      <c r="T271" s="330"/>
      <c r="U271" s="245"/>
      <c r="V271" s="322" t="str">
        <f>IF(OR(W271="Preventivo",W271="Detectivo"),"Probabilidad",IF(W271="Correctivo","Impacto",""))</f>
        <v/>
      </c>
      <c r="W271" s="323"/>
      <c r="X271" s="323"/>
      <c r="Y271" s="324" t="str">
        <f t="shared" si="502"/>
        <v/>
      </c>
      <c r="Z271" s="323"/>
      <c r="AA271" s="323"/>
      <c r="AB271" s="323"/>
      <c r="AC271" s="325" t="str">
        <f t="shared" ref="AC271:AC274" si="508">IFERROR(IF(AND(V270="Probabilidad",V271="Probabilidad"),(AE270-(+AE270*Y271)),IF(AND(V270="Impacto",V271="Probabilidad"),(AE269-(+AE269*Y271)),IF(V271="Impacto",AE270,""))),"")</f>
        <v/>
      </c>
      <c r="AD271" s="326" t="str">
        <f t="shared" si="505"/>
        <v/>
      </c>
      <c r="AE271" s="324" t="str">
        <f t="shared" ref="AE271:AE274" si="509">+AC271</f>
        <v/>
      </c>
      <c r="AF271" s="326" t="str">
        <f t="shared" si="506"/>
        <v/>
      </c>
      <c r="AG271" s="324" t="str">
        <f t="shared" ref="AG271:AG274" si="510">IFERROR(IF(AND(V270="Impacto",V271="Impacto"),(AG270-(+AG270*Y271)),IF(V271="Impacto",($Q$269-(+$Q$269*Y271)),IF(V271="Probabilidad",AG270,""))),"")</f>
        <v/>
      </c>
      <c r="AH271" s="328" t="str">
        <f t="shared" si="507"/>
        <v/>
      </c>
      <c r="AI271" s="323"/>
      <c r="AJ271" s="249"/>
      <c r="AK271" s="249"/>
      <c r="AL271" s="249"/>
      <c r="AM271" s="249"/>
      <c r="AN271" s="278"/>
      <c r="AO271" s="276"/>
      <c r="AP271" s="276"/>
      <c r="AQ271" s="278"/>
      <c r="AR271" s="211"/>
      <c r="AS271" s="211"/>
      <c r="AT271" s="293"/>
      <c r="AU271" s="293"/>
      <c r="AV271" s="293"/>
      <c r="AW271" s="293"/>
      <c r="AX271" s="293"/>
      <c r="AY271" s="293"/>
      <c r="AZ271" s="293"/>
      <c r="BA271" s="293"/>
      <c r="BB271" s="293"/>
      <c r="BC271" s="293"/>
      <c r="BD271" s="293"/>
      <c r="BE271" s="293"/>
      <c r="BF271" s="293"/>
      <c r="BG271" s="293"/>
      <c r="BH271" s="293"/>
      <c r="BI271" s="293"/>
      <c r="BJ271" s="293"/>
      <c r="BK271" s="293"/>
      <c r="BL271" s="293"/>
      <c r="BM271" s="293"/>
      <c r="BN271" s="293"/>
      <c r="BO271" s="293"/>
      <c r="BP271" s="293"/>
      <c r="BQ271" s="293"/>
      <c r="BR271" s="293"/>
      <c r="BS271" s="293"/>
      <c r="BT271" s="293"/>
      <c r="BU271" s="293"/>
      <c r="BV271" s="293"/>
      <c r="BW271" s="293"/>
      <c r="BX271" s="293"/>
      <c r="BY271" s="293"/>
      <c r="BZ271" s="293"/>
    </row>
    <row r="272" spans="1:78" s="295" customFormat="1" ht="7.5" customHeight="1" x14ac:dyDescent="0.2">
      <c r="A272" s="458"/>
      <c r="B272" s="451"/>
      <c r="C272" s="452"/>
      <c r="D272" s="453"/>
      <c r="E272" s="454"/>
      <c r="F272" s="454"/>
      <c r="G272" s="446"/>
      <c r="H272" s="446"/>
      <c r="I272" s="446"/>
      <c r="J272" s="446"/>
      <c r="K272" s="457"/>
      <c r="L272" s="447"/>
      <c r="M272" s="445"/>
      <c r="N272" s="455"/>
      <c r="O272" s="445">
        <f ca="1">IF(NOT(ISERROR(MATCH(N272,_xlfn.ANCHORARRAY(#REF!),0))),#REF!&amp;"Por favor no seleccionar los criterios de impacto",N272)</f>
        <v>0</v>
      </c>
      <c r="P272" s="447"/>
      <c r="Q272" s="445"/>
      <c r="R272" s="459"/>
      <c r="S272" s="248">
        <v>4</v>
      </c>
      <c r="T272" s="330"/>
      <c r="U272" s="245"/>
      <c r="V272" s="322" t="str">
        <f t="shared" ref="V272:V274" si="511">IF(OR(W272="Preventivo",W272="Detectivo"),"Probabilidad",IF(W272="Correctivo","Impacto",""))</f>
        <v/>
      </c>
      <c r="W272" s="323"/>
      <c r="X272" s="323"/>
      <c r="Y272" s="324" t="str">
        <f t="shared" si="502"/>
        <v/>
      </c>
      <c r="Z272" s="323"/>
      <c r="AA272" s="323"/>
      <c r="AB272" s="323"/>
      <c r="AC272" s="325" t="str">
        <f t="shared" si="508"/>
        <v/>
      </c>
      <c r="AD272" s="326" t="str">
        <f t="shared" si="505"/>
        <v/>
      </c>
      <c r="AE272" s="324" t="str">
        <f t="shared" si="509"/>
        <v/>
      </c>
      <c r="AF272" s="326" t="str">
        <f t="shared" si="506"/>
        <v/>
      </c>
      <c r="AG272" s="324" t="str">
        <f t="shared" si="510"/>
        <v/>
      </c>
      <c r="AH272" s="328" t="str">
        <f>IFERROR(IF(OR(AND(AD272="Muy Baja",AF272="Leve"),AND(AD272="Muy Baja",AF272="Menor"),AND(AD272="Baja",AF272="Leve")),"Bajo",IF(OR(AND(AD272="Muy baja",AF272="Moderado"),AND(AD272="Baja",AF272="Menor"),AND(AD272="Baja",AF272="Moderado"),AND(AD272="Media",AF272="Leve"),AND(AD272="Media",AF272="Menor"),AND(AD272="Media",AF272="Moderado"),AND(AD272="Alta",AF272="Leve"),AND(AD272="Alta",AF272="Menor")),"Moderado",IF(OR(AND(AD272="Muy Baja",AF272="Mayor"),AND(AD272="Baja",AF272="Mayor"),AND(AD272="Media",AF272="Mayor"),AND(AD272="Alta",AF272="Moderado"),AND(AD272="Alta",AF272="Mayor"),AND(AD272="Muy Alta",AF272="Leve"),AND(AD272="Muy Alta",AF272="Menor"),AND(AD272="Muy Alta",AF272="Moderado"),AND(AD272="Muy Alta",AF272="Mayor")),"Alto",IF(OR(AND(AD272="Muy Baja",AF272="Catastrófico"),AND(AD272="Baja",AF272="Catastrófico"),AND(AD272="Media",AF272="Catastrófico"),AND(AD272="Alta",AF272="Catastrófico"),AND(AD272="Muy Alta",AF272="Catastrófico")),"Extremo","")))),"")</f>
        <v/>
      </c>
      <c r="AI272" s="323"/>
      <c r="AJ272" s="249"/>
      <c r="AK272" s="249"/>
      <c r="AL272" s="249"/>
      <c r="AM272" s="249"/>
      <c r="AN272" s="278"/>
      <c r="AO272" s="276"/>
      <c r="AP272" s="276"/>
      <c r="AQ272" s="278"/>
      <c r="AR272" s="211"/>
      <c r="AS272" s="211"/>
      <c r="AT272" s="293"/>
      <c r="AU272" s="293"/>
      <c r="AV272" s="293"/>
      <c r="AW272" s="293"/>
      <c r="AX272" s="293"/>
      <c r="AY272" s="293"/>
      <c r="AZ272" s="293"/>
      <c r="BA272" s="293"/>
      <c r="BB272" s="293"/>
      <c r="BC272" s="293"/>
      <c r="BD272" s="293"/>
      <c r="BE272" s="293"/>
      <c r="BF272" s="293"/>
      <c r="BG272" s="293"/>
      <c r="BH272" s="293"/>
      <c r="BI272" s="293"/>
      <c r="BJ272" s="293"/>
      <c r="BK272" s="293"/>
      <c r="BL272" s="293"/>
      <c r="BM272" s="293"/>
      <c r="BN272" s="293"/>
      <c r="BO272" s="293"/>
      <c r="BP272" s="293"/>
      <c r="BQ272" s="293"/>
      <c r="BR272" s="293"/>
      <c r="BS272" s="293"/>
      <c r="BT272" s="293"/>
      <c r="BU272" s="293"/>
      <c r="BV272" s="293"/>
      <c r="BW272" s="293"/>
      <c r="BX272" s="293"/>
      <c r="BY272" s="293"/>
      <c r="BZ272" s="293"/>
    </row>
    <row r="273" spans="1:78" s="295" customFormat="1" ht="7.5" customHeight="1" x14ac:dyDescent="0.2">
      <c r="A273" s="458"/>
      <c r="B273" s="451"/>
      <c r="C273" s="452"/>
      <c r="D273" s="453"/>
      <c r="E273" s="454"/>
      <c r="F273" s="454"/>
      <c r="G273" s="446"/>
      <c r="H273" s="446"/>
      <c r="I273" s="446"/>
      <c r="J273" s="446"/>
      <c r="K273" s="457"/>
      <c r="L273" s="447"/>
      <c r="M273" s="445"/>
      <c r="N273" s="455"/>
      <c r="O273" s="445">
        <f ca="1">IF(NOT(ISERROR(MATCH(N273,_xlfn.ANCHORARRAY(#REF!),0))),#REF!&amp;"Por favor no seleccionar los criterios de impacto",N273)</f>
        <v>0</v>
      </c>
      <c r="P273" s="447"/>
      <c r="Q273" s="445"/>
      <c r="R273" s="459"/>
      <c r="S273" s="248">
        <v>5</v>
      </c>
      <c r="T273" s="330"/>
      <c r="U273" s="245"/>
      <c r="V273" s="322" t="str">
        <f t="shared" si="511"/>
        <v/>
      </c>
      <c r="W273" s="323"/>
      <c r="X273" s="323"/>
      <c r="Y273" s="324" t="str">
        <f t="shared" si="502"/>
        <v/>
      </c>
      <c r="Z273" s="323"/>
      <c r="AA273" s="323"/>
      <c r="AB273" s="323"/>
      <c r="AC273" s="325" t="str">
        <f t="shared" si="508"/>
        <v/>
      </c>
      <c r="AD273" s="326" t="str">
        <f t="shared" si="505"/>
        <v/>
      </c>
      <c r="AE273" s="324" t="str">
        <f t="shared" si="509"/>
        <v/>
      </c>
      <c r="AF273" s="326" t="str">
        <f t="shared" si="506"/>
        <v/>
      </c>
      <c r="AG273" s="324" t="str">
        <f t="shared" si="510"/>
        <v/>
      </c>
      <c r="AH273" s="328" t="str">
        <f t="shared" ref="AH273:AH274" si="512">IFERROR(IF(OR(AND(AD273="Muy Baja",AF273="Leve"),AND(AD273="Muy Baja",AF273="Menor"),AND(AD273="Baja",AF273="Leve")),"Bajo",IF(OR(AND(AD273="Muy baja",AF273="Moderado"),AND(AD273="Baja",AF273="Menor"),AND(AD273="Baja",AF273="Moderado"),AND(AD273="Media",AF273="Leve"),AND(AD273="Media",AF273="Menor"),AND(AD273="Media",AF273="Moderado"),AND(AD273="Alta",AF273="Leve"),AND(AD273="Alta",AF273="Menor")),"Moderado",IF(OR(AND(AD273="Muy Baja",AF273="Mayor"),AND(AD273="Baja",AF273="Mayor"),AND(AD273="Media",AF273="Mayor"),AND(AD273="Alta",AF273="Moderado"),AND(AD273="Alta",AF273="Mayor"),AND(AD273="Muy Alta",AF273="Leve"),AND(AD273="Muy Alta",AF273="Menor"),AND(AD273="Muy Alta",AF273="Moderado"),AND(AD273="Muy Alta",AF273="Mayor")),"Alto",IF(OR(AND(AD273="Muy Baja",AF273="Catastrófico"),AND(AD273="Baja",AF273="Catastrófico"),AND(AD273="Media",AF273="Catastrófico"),AND(AD273="Alta",AF273="Catastrófico"),AND(AD273="Muy Alta",AF273="Catastrófico")),"Extremo","")))),"")</f>
        <v/>
      </c>
      <c r="AI273" s="323"/>
      <c r="AJ273" s="249"/>
      <c r="AK273" s="249"/>
      <c r="AL273" s="249"/>
      <c r="AM273" s="249"/>
      <c r="AN273" s="278"/>
      <c r="AO273" s="276"/>
      <c r="AP273" s="276"/>
      <c r="AQ273" s="278"/>
      <c r="AR273" s="211"/>
      <c r="AS273" s="211"/>
      <c r="AT273" s="293"/>
      <c r="AU273" s="293"/>
      <c r="AV273" s="293"/>
      <c r="AW273" s="293"/>
      <c r="AX273" s="293"/>
      <c r="AY273" s="293"/>
      <c r="AZ273" s="293"/>
      <c r="BA273" s="293"/>
      <c r="BB273" s="293"/>
      <c r="BC273" s="293"/>
      <c r="BD273" s="293"/>
      <c r="BE273" s="293"/>
      <c r="BF273" s="293"/>
      <c r="BG273" s="293"/>
      <c r="BH273" s="293"/>
      <c r="BI273" s="293"/>
      <c r="BJ273" s="293"/>
      <c r="BK273" s="293"/>
      <c r="BL273" s="293"/>
      <c r="BM273" s="293"/>
      <c r="BN273" s="293"/>
      <c r="BO273" s="293"/>
      <c r="BP273" s="293"/>
      <c r="BQ273" s="293"/>
      <c r="BR273" s="293"/>
      <c r="BS273" s="293"/>
      <c r="BT273" s="293"/>
      <c r="BU273" s="293"/>
      <c r="BV273" s="293"/>
      <c r="BW273" s="293"/>
      <c r="BX273" s="293"/>
      <c r="BY273" s="293"/>
      <c r="BZ273" s="293"/>
    </row>
    <row r="274" spans="1:78" s="295" customFormat="1" ht="7.5" customHeight="1" x14ac:dyDescent="0.2">
      <c r="A274" s="458"/>
      <c r="B274" s="451"/>
      <c r="C274" s="452"/>
      <c r="D274" s="453"/>
      <c r="E274" s="454"/>
      <c r="F274" s="454"/>
      <c r="G274" s="446"/>
      <c r="H274" s="446"/>
      <c r="I274" s="446"/>
      <c r="J274" s="446"/>
      <c r="K274" s="457"/>
      <c r="L274" s="447"/>
      <c r="M274" s="445"/>
      <c r="N274" s="455"/>
      <c r="O274" s="445">
        <f ca="1">IF(NOT(ISERROR(MATCH(N274,_xlfn.ANCHORARRAY(#REF!),0))),#REF!&amp;"Por favor no seleccionar los criterios de impacto",N274)</f>
        <v>0</v>
      </c>
      <c r="P274" s="447"/>
      <c r="Q274" s="445"/>
      <c r="R274" s="459"/>
      <c r="S274" s="248">
        <v>6</v>
      </c>
      <c r="T274" s="330"/>
      <c r="U274" s="245"/>
      <c r="V274" s="322" t="str">
        <f t="shared" si="511"/>
        <v/>
      </c>
      <c r="W274" s="323"/>
      <c r="X274" s="323"/>
      <c r="Y274" s="324" t="str">
        <f t="shared" si="502"/>
        <v/>
      </c>
      <c r="Z274" s="323"/>
      <c r="AA274" s="323"/>
      <c r="AB274" s="323"/>
      <c r="AC274" s="325" t="str">
        <f t="shared" si="508"/>
        <v/>
      </c>
      <c r="AD274" s="326" t="str">
        <f t="shared" si="505"/>
        <v/>
      </c>
      <c r="AE274" s="324" t="str">
        <f t="shared" si="509"/>
        <v/>
      </c>
      <c r="AF274" s="326" t="str">
        <f t="shared" si="506"/>
        <v/>
      </c>
      <c r="AG274" s="324" t="str">
        <f t="shared" si="510"/>
        <v/>
      </c>
      <c r="AH274" s="328" t="str">
        <f t="shared" si="512"/>
        <v/>
      </c>
      <c r="AI274" s="323"/>
      <c r="AJ274" s="249"/>
      <c r="AK274" s="249"/>
      <c r="AL274" s="249"/>
      <c r="AM274" s="249"/>
      <c r="AN274" s="278"/>
      <c r="AO274" s="276"/>
      <c r="AP274" s="276"/>
      <c r="AQ274" s="278"/>
      <c r="AR274" s="211"/>
      <c r="AS274" s="211"/>
      <c r="AT274" s="293"/>
      <c r="AU274" s="293"/>
      <c r="AV274" s="293"/>
      <c r="AW274" s="293"/>
      <c r="AX274" s="293"/>
      <c r="AY274" s="293"/>
      <c r="AZ274" s="293"/>
      <c r="BA274" s="293"/>
      <c r="BB274" s="293"/>
      <c r="BC274" s="293"/>
      <c r="BD274" s="293"/>
      <c r="BE274" s="293"/>
      <c r="BF274" s="293"/>
      <c r="BG274" s="293"/>
      <c r="BH274" s="293"/>
      <c r="BI274" s="293"/>
      <c r="BJ274" s="293"/>
      <c r="BK274" s="293"/>
      <c r="BL274" s="293"/>
      <c r="BM274" s="293"/>
      <c r="BN274" s="293"/>
      <c r="BO274" s="293"/>
      <c r="BP274" s="293"/>
      <c r="BQ274" s="293"/>
      <c r="BR274" s="293"/>
      <c r="BS274" s="293"/>
      <c r="BT274" s="293"/>
      <c r="BU274" s="293"/>
      <c r="BV274" s="293"/>
      <c r="BW274" s="293"/>
      <c r="BX274" s="293"/>
      <c r="BY274" s="293"/>
      <c r="BZ274" s="293"/>
    </row>
    <row r="275" spans="1:78" s="294" customFormat="1" ht="93" customHeight="1" x14ac:dyDescent="0.2">
      <c r="A275" s="458" t="s">
        <v>764</v>
      </c>
      <c r="B275" s="451" t="s">
        <v>830</v>
      </c>
      <c r="C275" s="452" t="s">
        <v>613</v>
      </c>
      <c r="D275" s="453" t="s">
        <v>624</v>
      </c>
      <c r="E275" s="454" t="s">
        <v>107</v>
      </c>
      <c r="F275" s="454" t="s">
        <v>821</v>
      </c>
      <c r="G275" s="446" t="s">
        <v>1000</v>
      </c>
      <c r="H275" s="446" t="s">
        <v>820</v>
      </c>
      <c r="I275" s="446" t="s">
        <v>654</v>
      </c>
      <c r="J275" s="446" t="s">
        <v>822</v>
      </c>
      <c r="K275" s="457">
        <v>85</v>
      </c>
      <c r="L275" s="447" t="str">
        <f t="shared" ref="L275" si="513">IF(K275&lt;=0,"",IF(K275&lt;=2,"Muy Baja",IF(K275&lt;=24,"Baja",IF(K275&lt;=500,"Media",IF(K275&lt;=5000,"Alta","Muy Alta")))))</f>
        <v>Media</v>
      </c>
      <c r="M275" s="445">
        <f>IF(L275="","",IF(L275="Muy Baja",0.2,IF(L275="Baja",0.4,IF(L275="Media",0.6,IF(L275="Alta",0.8,IF(L275="Muy Alta",1,))))))</f>
        <v>0.6</v>
      </c>
      <c r="N275" s="455" t="s">
        <v>121</v>
      </c>
      <c r="O275" s="445" t="str">
        <f ca="1">IF(NOT(ISERROR(MATCH(N275,'Tabla Impacto'!$B$221:$B$223,0))),'Tabla Impacto'!$F$223&amp;"Por favor no seleccionar los criterios de impacto(Afectación Económica o presupuestal y Pérdida Reputacional)",N275)</f>
        <v xml:space="preserve">     El riesgo afecta la imagen de la entidad con algunos usuarios de relevancia frente al logro de los objetivos</v>
      </c>
      <c r="P275" s="447" t="str">
        <f ca="1">IF(OR(O275='Tabla Impacto'!$C$11,O275='Tabla Impacto'!$D$11),"Leve",IF(OR(O275='Tabla Impacto'!$C$12,O275='Tabla Impacto'!$D$12),"Menor",IF(OR(O275='Tabla Impacto'!$C$13,O275='Tabla Impacto'!$D$13),"Moderado",IF(OR(O275='Tabla Impacto'!$C$14,O275='Tabla Impacto'!$D$14),"Mayor",IF(OR(O275='Tabla Impacto'!$C$15,O275='Tabla Impacto'!$D$15),"Catastrófico","")))))</f>
        <v>Moderado</v>
      </c>
      <c r="Q275" s="445">
        <f ca="1">IF(P275="","",IF(P275="Leve",0.2,IF(P275="Menor",0.4,IF(P275="Moderado",0.6,IF(P275="Mayor",0.8,IF(P275="Catastrófico",1,))))))</f>
        <v>0.6</v>
      </c>
      <c r="R275" s="459" t="str">
        <f ca="1">IF(OR(AND(L275="Muy Baja",P275="Leve"),AND(L275="Muy Baja",P275="Menor"),AND(L275="Baja",P275="Leve")),"Bajo",IF(OR(AND(L275="Muy baja",P275="Moderado"),AND(L275="Baja",P275="Menor"),AND(L275="Baja",P275="Moderado"),AND(L275="Media",P275="Leve"),AND(L275="Media",P275="Menor"),AND(L275="Media",P275="Moderado"),AND(L275="Alta",P275="Leve"),AND(L275="Alta",P275="Menor")),"Moderado",IF(OR(AND(L275="Muy Baja",P275="Mayor"),AND(L275="Baja",P275="Mayor"),AND(L275="Media",P275="Mayor"),AND(L275="Alta",P275="Moderado"),AND(L275="Alta",P275="Mayor"),AND(L275="Muy Alta",P275="Leve"),AND(L275="Muy Alta",P275="Menor"),AND(L275="Muy Alta",P275="Moderado"),AND(L275="Muy Alta",P275="Mayor")),"Alto",IF(OR(AND(L275="Muy Baja",P275="Catastrófico"),AND(L275="Baja",P275="Catastrófico"),AND(L275="Media",P275="Catastrófico"),AND(L275="Alta",P275="Catastrófico"),AND(L275="Muy Alta",P275="Catastrófico")),"Extremo",""))))</f>
        <v>Moderado</v>
      </c>
      <c r="S275" s="248">
        <v>1</v>
      </c>
      <c r="T275" s="321" t="s">
        <v>823</v>
      </c>
      <c r="U275" s="245" t="s">
        <v>293</v>
      </c>
      <c r="V275" s="322" t="str">
        <f>IF(OR(W275="Preventivo",W275="Detectivo"),"Probabilidad",IF(W275="Correctivo","Impacto",""))</f>
        <v>Probabilidad</v>
      </c>
      <c r="W275" s="323" t="s">
        <v>13</v>
      </c>
      <c r="X275" s="323" t="s">
        <v>8</v>
      </c>
      <c r="Y275" s="324" t="str">
        <f t="shared" ref="Y275:Y280" si="514">IF(AND(W275="Preventivo",X275="Automático"),"50%",IF(AND(W275="Preventivo",X275="Manual"),"40%",IF(AND(W275="Detectivo",X275="Automático"),"40%",IF(AND(W275="Detectivo",X275="Manual"),"30%",IF(AND(W275="Correctivo",X275="Automático"),"35%",IF(AND(W275="Correctivo",X275="Manual"),"25%",""))))))</f>
        <v>40%</v>
      </c>
      <c r="Z275" s="323" t="s">
        <v>19</v>
      </c>
      <c r="AA275" s="323" t="s">
        <v>21</v>
      </c>
      <c r="AB275" s="323" t="s">
        <v>103</v>
      </c>
      <c r="AC275" s="325">
        <f t="shared" ref="AC275" si="515">IFERROR(IF(V275="Probabilidad",(M275-(+M275*Y275)),IF(V275="Impacto",M275,"")),"")</f>
        <v>0.36</v>
      </c>
      <c r="AD275" s="326" t="str">
        <f>IFERROR(IF(AC275="","",IF(AC275&lt;=0.2,"Muy Baja",IF(AC275&lt;=0.4,"Baja",IF(AC275&lt;=0.6,"Media",IF(AC275&lt;=0.8,"Alta","Muy Alta"))))),"")</f>
        <v>Baja</v>
      </c>
      <c r="AE275" s="324">
        <f>+AC275</f>
        <v>0.36</v>
      </c>
      <c r="AF275" s="326" t="str">
        <f ca="1">IFERROR(IF(AG275="","",IF(AG275&lt;=0.2,"Leve",IF(AG275&lt;=0.4,"Menor",IF(AG275&lt;=0.6,"Moderado",IF(AG275&lt;=0.8,"Mayor","Catastrófico"))))),"")</f>
        <v>Moderado</v>
      </c>
      <c r="AG275" s="324">
        <f ca="1">IFERROR(IF(V275="Impacto",(Q275-(+Q275*Y275)),IF(V275="Probabilidad",Q275,"")),"")</f>
        <v>0.6</v>
      </c>
      <c r="AH275" s="328" t="str">
        <f ca="1">IFERROR(IF(OR(AND(AD275="Muy Baja",AF275="Leve"),AND(AD275="Muy Baja",AF275="Menor"),AND(AD275="Baja",AF275="Leve")),"Bajo",IF(OR(AND(AD275="Muy baja",AF275="Moderado"),AND(AD275="Baja",AF275="Menor"),AND(AD275="Baja",AF275="Moderado"),AND(AD275="Media",AF275="Leve"),AND(AD275="Media",AF275="Menor"),AND(AD275="Media",AF275="Moderado"),AND(AD275="Alta",AF275="Leve"),AND(AD275="Alta",AF275="Menor")),"Moderado",IF(OR(AND(AD275="Muy Baja",AF275="Mayor"),AND(AD275="Baja",AF275="Mayor"),AND(AD275="Media",AF275="Mayor"),AND(AD275="Alta",AF275="Moderado"),AND(AD275="Alta",AF275="Mayor"),AND(AD275="Muy Alta",AF275="Leve"),AND(AD275="Muy Alta",AF275="Menor"),AND(AD275="Muy Alta",AF275="Moderado"),AND(AD275="Muy Alta",AF275="Mayor")),"Alto",IF(OR(AND(AD275="Muy Baja",AF275="Catastrófico"),AND(AD275="Baja",AF275="Catastrófico"),AND(AD275="Media",AF275="Catastrófico"),AND(AD275="Alta",AF275="Catastrófico"),AND(AD275="Muy Alta",AF275="Catastrófico")),"Extremo","")))),"")</f>
        <v>Moderado</v>
      </c>
      <c r="AI275" s="323" t="s">
        <v>26</v>
      </c>
      <c r="AJ275" s="249">
        <v>12</v>
      </c>
      <c r="AK275" s="249">
        <v>4</v>
      </c>
      <c r="AL275" s="249">
        <v>4</v>
      </c>
      <c r="AM275" s="249">
        <v>4</v>
      </c>
      <c r="AN275" s="240"/>
      <c r="AO275" s="239"/>
      <c r="AP275" s="239"/>
      <c r="AQ275" s="240"/>
      <c r="AR275" s="241"/>
      <c r="AS275" s="241"/>
      <c r="AT275" s="293"/>
      <c r="AU275" s="293"/>
      <c r="AV275" s="293"/>
      <c r="AW275" s="293"/>
      <c r="AX275" s="293"/>
      <c r="AY275" s="293"/>
      <c r="AZ275" s="293"/>
      <c r="BA275" s="293"/>
      <c r="BB275" s="293"/>
      <c r="BC275" s="293"/>
      <c r="BD275" s="293"/>
      <c r="BE275" s="293"/>
      <c r="BF275" s="293"/>
      <c r="BG275" s="293"/>
      <c r="BH275" s="293"/>
      <c r="BI275" s="293"/>
      <c r="BJ275" s="293"/>
      <c r="BK275" s="293"/>
      <c r="BL275" s="293"/>
      <c r="BM275" s="293"/>
      <c r="BN275" s="293"/>
      <c r="BO275" s="293"/>
      <c r="BP275" s="293"/>
      <c r="BQ275" s="293"/>
      <c r="BR275" s="293"/>
      <c r="BS275" s="293"/>
      <c r="BT275" s="293"/>
      <c r="BU275" s="293"/>
      <c r="BV275" s="293"/>
      <c r="BW275" s="293"/>
      <c r="BX275" s="293"/>
      <c r="BY275" s="293"/>
      <c r="BZ275" s="293"/>
    </row>
    <row r="276" spans="1:78" s="295" customFormat="1" ht="11.25" customHeight="1" x14ac:dyDescent="0.2">
      <c r="A276" s="458"/>
      <c r="B276" s="451"/>
      <c r="C276" s="452"/>
      <c r="D276" s="453"/>
      <c r="E276" s="454"/>
      <c r="F276" s="454"/>
      <c r="G276" s="446"/>
      <c r="H276" s="446"/>
      <c r="I276" s="446"/>
      <c r="J276" s="446"/>
      <c r="K276" s="457"/>
      <c r="L276" s="447"/>
      <c r="M276" s="445"/>
      <c r="N276" s="455"/>
      <c r="O276" s="445">
        <f ca="1">IF(NOT(ISERROR(MATCH(N276,_xlfn.ANCHORARRAY(H281),0))),M283&amp;"Por favor no seleccionar los criterios de impacto",N276)</f>
        <v>0</v>
      </c>
      <c r="P276" s="447"/>
      <c r="Q276" s="445"/>
      <c r="R276" s="459"/>
      <c r="S276" s="248">
        <v>2</v>
      </c>
      <c r="T276" s="330"/>
      <c r="U276" s="245"/>
      <c r="V276" s="322" t="str">
        <f>IF(OR(W276="Preventivo",W276="Detectivo"),"Probabilidad",IF(W276="Correctivo","Impacto",""))</f>
        <v/>
      </c>
      <c r="W276" s="323"/>
      <c r="X276" s="323"/>
      <c r="Y276" s="324" t="str">
        <f t="shared" si="514"/>
        <v/>
      </c>
      <c r="Z276" s="323"/>
      <c r="AA276" s="323"/>
      <c r="AB276" s="323"/>
      <c r="AC276" s="325" t="str">
        <f t="shared" ref="AC276" si="516">IFERROR(IF(AND(V275="Probabilidad",V276="Probabilidad"),(AE275-(+AE275*Y276)),IF(V276="Probabilidad",(M275-(+M275*Y276)),IF(V276="Impacto",AE275,""))),"")</f>
        <v/>
      </c>
      <c r="AD276" s="326" t="str">
        <f t="shared" ref="AD276:AD280" si="517">IFERROR(IF(AC276="","",IF(AC276&lt;=0.2,"Muy Baja",IF(AC276&lt;=0.4,"Baja",IF(AC276&lt;=0.6,"Media",IF(AC276&lt;=0.8,"Alta","Muy Alta"))))),"")</f>
        <v/>
      </c>
      <c r="AE276" s="324" t="str">
        <f t="shared" ref="AE276:AE280" si="518">+AC276</f>
        <v/>
      </c>
      <c r="AF276" s="326" t="str">
        <f t="shared" ref="AF276:AF280" si="519">IFERROR(IF(AG276="","",IF(AG276&lt;=0.2,"Leve",IF(AG276&lt;=0.4,"Menor",IF(AG276&lt;=0.6,"Moderado",IF(AG276&lt;=0.8,"Mayor","Catastrófico"))))),"")</f>
        <v/>
      </c>
      <c r="AG276" s="324"/>
      <c r="AH276" s="328" t="str">
        <f t="shared" ref="AH276:AH277" si="520">IFERROR(IF(OR(AND(AD276="Muy Baja",AF276="Leve"),AND(AD276="Muy Baja",AF276="Menor"),AND(AD276="Baja",AF276="Leve")),"Bajo",IF(OR(AND(AD276="Muy baja",AF276="Moderado"),AND(AD276="Baja",AF276="Menor"),AND(AD276="Baja",AF276="Moderado"),AND(AD276="Media",AF276="Leve"),AND(AD276="Media",AF276="Menor"),AND(AD276="Media",AF276="Moderado"),AND(AD276="Alta",AF276="Leve"),AND(AD276="Alta",AF276="Menor")),"Moderado",IF(OR(AND(AD276="Muy Baja",AF276="Mayor"),AND(AD276="Baja",AF276="Mayor"),AND(AD276="Media",AF276="Mayor"),AND(AD276="Alta",AF276="Moderado"),AND(AD276="Alta",AF276="Mayor"),AND(AD276="Muy Alta",AF276="Leve"),AND(AD276="Muy Alta",AF276="Menor"),AND(AD276="Muy Alta",AF276="Moderado"),AND(AD276="Muy Alta",AF276="Mayor")),"Alto",IF(OR(AND(AD276="Muy Baja",AF276="Catastrófico"),AND(AD276="Baja",AF276="Catastrófico"),AND(AD276="Media",AF276="Catastrófico"),AND(AD276="Alta",AF276="Catastrófico"),AND(AD276="Muy Alta",AF276="Catastrófico")),"Extremo","")))),"")</f>
        <v/>
      </c>
      <c r="AI276" s="323"/>
      <c r="AJ276" s="249"/>
      <c r="AK276" s="249"/>
      <c r="AL276" s="249"/>
      <c r="AM276" s="249"/>
      <c r="AN276" s="278"/>
      <c r="AO276" s="276"/>
      <c r="AP276" s="276"/>
      <c r="AQ276" s="278"/>
      <c r="AR276" s="211"/>
      <c r="AS276" s="211"/>
      <c r="AT276" s="293"/>
      <c r="AU276" s="293"/>
      <c r="AV276" s="293"/>
      <c r="AW276" s="293"/>
      <c r="AX276" s="293"/>
      <c r="AY276" s="293"/>
      <c r="AZ276" s="293"/>
      <c r="BA276" s="293"/>
      <c r="BB276" s="293"/>
      <c r="BC276" s="293"/>
      <c r="BD276" s="293"/>
      <c r="BE276" s="293"/>
      <c r="BF276" s="293"/>
      <c r="BG276" s="293"/>
      <c r="BH276" s="293"/>
      <c r="BI276" s="293"/>
      <c r="BJ276" s="293"/>
      <c r="BK276" s="293"/>
      <c r="BL276" s="293"/>
      <c r="BM276" s="293"/>
      <c r="BN276" s="293"/>
      <c r="BO276" s="293"/>
      <c r="BP276" s="293"/>
      <c r="BQ276" s="293"/>
      <c r="BR276" s="293"/>
      <c r="BS276" s="293"/>
      <c r="BT276" s="293"/>
      <c r="BU276" s="293"/>
      <c r="BV276" s="293"/>
      <c r="BW276" s="293"/>
      <c r="BX276" s="293"/>
      <c r="BY276" s="293"/>
      <c r="BZ276" s="293"/>
    </row>
    <row r="277" spans="1:78" s="295" customFormat="1" ht="13.5" customHeight="1" x14ac:dyDescent="0.2">
      <c r="A277" s="458"/>
      <c r="B277" s="451"/>
      <c r="C277" s="452"/>
      <c r="D277" s="453"/>
      <c r="E277" s="454"/>
      <c r="F277" s="454"/>
      <c r="G277" s="446"/>
      <c r="H277" s="446"/>
      <c r="I277" s="446"/>
      <c r="J277" s="446"/>
      <c r="K277" s="457"/>
      <c r="L277" s="447"/>
      <c r="M277" s="445"/>
      <c r="N277" s="455"/>
      <c r="O277" s="445">
        <f ca="1">IF(NOT(ISERROR(MATCH(N277,_xlfn.ANCHORARRAY(H282),0))),M284&amp;"Por favor no seleccionar los criterios de impacto",N277)</f>
        <v>0</v>
      </c>
      <c r="P277" s="447"/>
      <c r="Q277" s="445"/>
      <c r="R277" s="459"/>
      <c r="S277" s="248">
        <v>3</v>
      </c>
      <c r="T277" s="330"/>
      <c r="U277" s="245"/>
      <c r="V277" s="322" t="str">
        <f>IF(OR(W277="Preventivo",W277="Detectivo"),"Probabilidad",IF(W277="Correctivo","Impacto",""))</f>
        <v/>
      </c>
      <c r="W277" s="323"/>
      <c r="X277" s="323"/>
      <c r="Y277" s="324" t="str">
        <f t="shared" si="514"/>
        <v/>
      </c>
      <c r="Z277" s="323"/>
      <c r="AA277" s="323"/>
      <c r="AB277" s="323"/>
      <c r="AC277" s="325" t="str">
        <f t="shared" ref="AC277:AC280" si="521">IFERROR(IF(AND(V276="Probabilidad",V277="Probabilidad"),(AE276-(+AE276*Y277)),IF(AND(V276="Impacto",V277="Probabilidad"),(AE275-(+AE275*Y277)),IF(V277="Impacto",AE276,""))),"")</f>
        <v/>
      </c>
      <c r="AD277" s="326" t="str">
        <f t="shared" si="517"/>
        <v/>
      </c>
      <c r="AE277" s="324" t="str">
        <f t="shared" si="518"/>
        <v/>
      </c>
      <c r="AF277" s="326" t="str">
        <f t="shared" si="519"/>
        <v/>
      </c>
      <c r="AG277" s="324" t="str">
        <f>IFERROR(IF(AND(V276="Impacto",V277="Impacto"),(AG276-(+AG276*Y277)),IF(V277="Impacto",(#REF!-(+#REF!*Y277)),IF(V277="Probabilidad",AG276,""))),"")</f>
        <v/>
      </c>
      <c r="AH277" s="328" t="str">
        <f t="shared" si="520"/>
        <v/>
      </c>
      <c r="AI277" s="323"/>
      <c r="AJ277" s="249"/>
      <c r="AK277" s="249"/>
      <c r="AL277" s="249"/>
      <c r="AM277" s="249"/>
      <c r="AN277" s="278"/>
      <c r="AO277" s="276"/>
      <c r="AP277" s="276"/>
      <c r="AQ277" s="278"/>
      <c r="AR277" s="211"/>
      <c r="AS277" s="211"/>
      <c r="AT277" s="293"/>
      <c r="AU277" s="293"/>
      <c r="AV277" s="293"/>
      <c r="AW277" s="293"/>
      <c r="AX277" s="293"/>
      <c r="AY277" s="293"/>
      <c r="AZ277" s="293"/>
      <c r="BA277" s="293"/>
      <c r="BB277" s="293"/>
      <c r="BC277" s="293"/>
      <c r="BD277" s="293"/>
      <c r="BE277" s="293"/>
      <c r="BF277" s="293"/>
      <c r="BG277" s="293"/>
      <c r="BH277" s="293"/>
      <c r="BI277" s="293"/>
      <c r="BJ277" s="293"/>
      <c r="BK277" s="293"/>
      <c r="BL277" s="293"/>
      <c r="BM277" s="293"/>
      <c r="BN277" s="293"/>
      <c r="BO277" s="293"/>
      <c r="BP277" s="293"/>
      <c r="BQ277" s="293"/>
      <c r="BR277" s="293"/>
      <c r="BS277" s="293"/>
      <c r="BT277" s="293"/>
      <c r="BU277" s="293"/>
      <c r="BV277" s="293"/>
      <c r="BW277" s="293"/>
      <c r="BX277" s="293"/>
      <c r="BY277" s="293"/>
      <c r="BZ277" s="293"/>
    </row>
    <row r="278" spans="1:78" s="295" customFormat="1" ht="13.5" customHeight="1" x14ac:dyDescent="0.2">
      <c r="A278" s="458"/>
      <c r="B278" s="451"/>
      <c r="C278" s="452"/>
      <c r="D278" s="453"/>
      <c r="E278" s="454"/>
      <c r="F278" s="454"/>
      <c r="G278" s="446"/>
      <c r="H278" s="446"/>
      <c r="I278" s="446"/>
      <c r="J278" s="446"/>
      <c r="K278" s="457"/>
      <c r="L278" s="447"/>
      <c r="M278" s="445"/>
      <c r="N278" s="455"/>
      <c r="O278" s="445">
        <f ca="1">IF(NOT(ISERROR(MATCH(N278,_xlfn.ANCHORARRAY(H283),0))),M285&amp;"Por favor no seleccionar los criterios de impacto",N278)</f>
        <v>0</v>
      </c>
      <c r="P278" s="447"/>
      <c r="Q278" s="445"/>
      <c r="R278" s="459"/>
      <c r="S278" s="248">
        <v>4</v>
      </c>
      <c r="T278" s="330"/>
      <c r="U278" s="245"/>
      <c r="V278" s="322" t="str">
        <f t="shared" ref="V278:V280" si="522">IF(OR(W278="Preventivo",W278="Detectivo"),"Probabilidad",IF(W278="Correctivo","Impacto",""))</f>
        <v/>
      </c>
      <c r="W278" s="323"/>
      <c r="X278" s="323"/>
      <c r="Y278" s="324" t="str">
        <f t="shared" si="514"/>
        <v/>
      </c>
      <c r="Z278" s="323"/>
      <c r="AA278" s="323"/>
      <c r="AB278" s="323"/>
      <c r="AC278" s="325" t="str">
        <f t="shared" si="521"/>
        <v/>
      </c>
      <c r="AD278" s="326" t="str">
        <f t="shared" si="517"/>
        <v/>
      </c>
      <c r="AE278" s="324" t="str">
        <f t="shared" si="518"/>
        <v/>
      </c>
      <c r="AF278" s="326" t="str">
        <f t="shared" si="519"/>
        <v/>
      </c>
      <c r="AG278" s="324" t="str">
        <f>IFERROR(IF(AND(V277="Impacto",V278="Impacto"),(AG277-(+AG277*Y278)),IF(V278="Impacto",(#REF!-(+#REF!*Y278)),IF(V278="Probabilidad",AG277,""))),"")</f>
        <v/>
      </c>
      <c r="AH278" s="328" t="str">
        <f>IFERROR(IF(OR(AND(AD278="Muy Baja",AF278="Leve"),AND(AD278="Muy Baja",AF278="Menor"),AND(AD278="Baja",AF278="Leve")),"Bajo",IF(OR(AND(AD278="Muy baja",AF278="Moderado"),AND(AD278="Baja",AF278="Menor"),AND(AD278="Baja",AF278="Moderado"),AND(AD278="Media",AF278="Leve"),AND(AD278="Media",AF278="Menor"),AND(AD278="Media",AF278="Moderado"),AND(AD278="Alta",AF278="Leve"),AND(AD278="Alta",AF278="Menor")),"Moderado",IF(OR(AND(AD278="Muy Baja",AF278="Mayor"),AND(AD278="Baja",AF278="Mayor"),AND(AD278="Media",AF278="Mayor"),AND(AD278="Alta",AF278="Moderado"),AND(AD278="Alta",AF278="Mayor"),AND(AD278="Muy Alta",AF278="Leve"),AND(AD278="Muy Alta",AF278="Menor"),AND(AD278="Muy Alta",AF278="Moderado"),AND(AD278="Muy Alta",AF278="Mayor")),"Alto",IF(OR(AND(AD278="Muy Baja",AF278="Catastrófico"),AND(AD278="Baja",AF278="Catastrófico"),AND(AD278="Media",AF278="Catastrófico"),AND(AD278="Alta",AF278="Catastrófico"),AND(AD278="Muy Alta",AF278="Catastrófico")),"Extremo","")))),"")</f>
        <v/>
      </c>
      <c r="AI278" s="323"/>
      <c r="AJ278" s="249"/>
      <c r="AK278" s="249"/>
      <c r="AL278" s="249"/>
      <c r="AM278" s="249"/>
      <c r="AN278" s="278"/>
      <c r="AO278" s="276"/>
      <c r="AP278" s="276"/>
      <c r="AQ278" s="278"/>
      <c r="AR278" s="211"/>
      <c r="AS278" s="211"/>
      <c r="AT278" s="293"/>
      <c r="AU278" s="293"/>
      <c r="AV278" s="293"/>
      <c r="AW278" s="293"/>
      <c r="AX278" s="293"/>
      <c r="AY278" s="293"/>
      <c r="AZ278" s="293"/>
      <c r="BA278" s="293"/>
      <c r="BB278" s="293"/>
      <c r="BC278" s="293"/>
      <c r="BD278" s="293"/>
      <c r="BE278" s="293"/>
      <c r="BF278" s="293"/>
      <c r="BG278" s="293"/>
      <c r="BH278" s="293"/>
      <c r="BI278" s="293"/>
      <c r="BJ278" s="293"/>
      <c r="BK278" s="293"/>
      <c r="BL278" s="293"/>
      <c r="BM278" s="293"/>
      <c r="BN278" s="293"/>
      <c r="BO278" s="293"/>
      <c r="BP278" s="293"/>
      <c r="BQ278" s="293"/>
      <c r="BR278" s="293"/>
      <c r="BS278" s="293"/>
      <c r="BT278" s="293"/>
      <c r="BU278" s="293"/>
      <c r="BV278" s="293"/>
      <c r="BW278" s="293"/>
      <c r="BX278" s="293"/>
      <c r="BY278" s="293"/>
      <c r="BZ278" s="293"/>
    </row>
    <row r="279" spans="1:78" s="295" customFormat="1" ht="13.5" customHeight="1" x14ac:dyDescent="0.2">
      <c r="A279" s="458"/>
      <c r="B279" s="451"/>
      <c r="C279" s="452"/>
      <c r="D279" s="453"/>
      <c r="E279" s="454"/>
      <c r="F279" s="454"/>
      <c r="G279" s="446"/>
      <c r="H279" s="446"/>
      <c r="I279" s="446"/>
      <c r="J279" s="446"/>
      <c r="K279" s="457"/>
      <c r="L279" s="447"/>
      <c r="M279" s="445"/>
      <c r="N279" s="455"/>
      <c r="O279" s="445">
        <f ca="1">IF(NOT(ISERROR(MATCH(N279,_xlfn.ANCHORARRAY(H284),0))),M286&amp;"Por favor no seleccionar los criterios de impacto",N279)</f>
        <v>0</v>
      </c>
      <c r="P279" s="447"/>
      <c r="Q279" s="445"/>
      <c r="R279" s="459"/>
      <c r="S279" s="248">
        <v>5</v>
      </c>
      <c r="T279" s="330"/>
      <c r="U279" s="245"/>
      <c r="V279" s="322" t="str">
        <f t="shared" si="522"/>
        <v/>
      </c>
      <c r="W279" s="323"/>
      <c r="X279" s="323"/>
      <c r="Y279" s="324" t="str">
        <f t="shared" si="514"/>
        <v/>
      </c>
      <c r="Z279" s="323"/>
      <c r="AA279" s="323"/>
      <c r="AB279" s="323"/>
      <c r="AC279" s="325" t="str">
        <f t="shared" si="521"/>
        <v/>
      </c>
      <c r="AD279" s="326" t="str">
        <f t="shared" si="517"/>
        <v/>
      </c>
      <c r="AE279" s="324" t="str">
        <f t="shared" si="518"/>
        <v/>
      </c>
      <c r="AF279" s="326" t="str">
        <f t="shared" si="519"/>
        <v/>
      </c>
      <c r="AG279" s="324" t="str">
        <f>IFERROR(IF(AND(V278="Impacto",V279="Impacto"),(AG278-(+AG278*Y279)),IF(V279="Impacto",(#REF!-(+#REF!*Y279)),IF(V279="Probabilidad",AG278,""))),"")</f>
        <v/>
      </c>
      <c r="AH279" s="328" t="str">
        <f t="shared" ref="AH279:AH280" si="523">IFERROR(IF(OR(AND(AD279="Muy Baja",AF279="Leve"),AND(AD279="Muy Baja",AF279="Menor"),AND(AD279="Baja",AF279="Leve")),"Bajo",IF(OR(AND(AD279="Muy baja",AF279="Moderado"),AND(AD279="Baja",AF279="Menor"),AND(AD279="Baja",AF279="Moderado"),AND(AD279="Media",AF279="Leve"),AND(AD279="Media",AF279="Menor"),AND(AD279="Media",AF279="Moderado"),AND(AD279="Alta",AF279="Leve"),AND(AD279="Alta",AF279="Menor")),"Moderado",IF(OR(AND(AD279="Muy Baja",AF279="Mayor"),AND(AD279="Baja",AF279="Mayor"),AND(AD279="Media",AF279="Mayor"),AND(AD279="Alta",AF279="Moderado"),AND(AD279="Alta",AF279="Mayor"),AND(AD279="Muy Alta",AF279="Leve"),AND(AD279="Muy Alta",AF279="Menor"),AND(AD279="Muy Alta",AF279="Moderado"),AND(AD279="Muy Alta",AF279="Mayor")),"Alto",IF(OR(AND(AD279="Muy Baja",AF279="Catastrófico"),AND(AD279="Baja",AF279="Catastrófico"),AND(AD279="Media",AF279="Catastrófico"),AND(AD279="Alta",AF279="Catastrófico"),AND(AD279="Muy Alta",AF279="Catastrófico")),"Extremo","")))),"")</f>
        <v/>
      </c>
      <c r="AI279" s="323"/>
      <c r="AJ279" s="249"/>
      <c r="AK279" s="249"/>
      <c r="AL279" s="249"/>
      <c r="AM279" s="249"/>
      <c r="AN279" s="278"/>
      <c r="AO279" s="276"/>
      <c r="AP279" s="276"/>
      <c r="AQ279" s="278"/>
      <c r="AR279" s="211"/>
      <c r="AS279" s="211"/>
      <c r="AT279" s="293"/>
      <c r="AU279" s="293"/>
      <c r="AV279" s="293"/>
      <c r="AW279" s="293"/>
      <c r="AX279" s="293"/>
      <c r="AY279" s="293"/>
      <c r="AZ279" s="293"/>
      <c r="BA279" s="293"/>
      <c r="BB279" s="293"/>
      <c r="BC279" s="293"/>
      <c r="BD279" s="293"/>
      <c r="BE279" s="293"/>
      <c r="BF279" s="293"/>
      <c r="BG279" s="293"/>
      <c r="BH279" s="293"/>
      <c r="BI279" s="293"/>
      <c r="BJ279" s="293"/>
      <c r="BK279" s="293"/>
      <c r="BL279" s="293"/>
      <c r="BM279" s="293"/>
      <c r="BN279" s="293"/>
      <c r="BO279" s="293"/>
      <c r="BP279" s="293"/>
      <c r="BQ279" s="293"/>
      <c r="BR279" s="293"/>
      <c r="BS279" s="293"/>
      <c r="BT279" s="293"/>
      <c r="BU279" s="293"/>
      <c r="BV279" s="293"/>
      <c r="BW279" s="293"/>
      <c r="BX279" s="293"/>
      <c r="BY279" s="293"/>
      <c r="BZ279" s="293"/>
    </row>
    <row r="280" spans="1:78" s="295" customFormat="1" ht="13.5" customHeight="1" x14ac:dyDescent="0.2">
      <c r="A280" s="458"/>
      <c r="B280" s="451"/>
      <c r="C280" s="452"/>
      <c r="D280" s="453"/>
      <c r="E280" s="454"/>
      <c r="F280" s="454"/>
      <c r="G280" s="446"/>
      <c r="H280" s="446"/>
      <c r="I280" s="446"/>
      <c r="J280" s="446"/>
      <c r="K280" s="457"/>
      <c r="L280" s="447"/>
      <c r="M280" s="445"/>
      <c r="N280" s="455"/>
      <c r="O280" s="445">
        <f ca="1">IF(NOT(ISERROR(MATCH(N280,_xlfn.ANCHORARRAY(H285),0))),M227&amp;"Por favor no seleccionar los criterios de impacto",N280)</f>
        <v>0</v>
      </c>
      <c r="P280" s="447"/>
      <c r="Q280" s="445"/>
      <c r="R280" s="459"/>
      <c r="S280" s="248">
        <v>6</v>
      </c>
      <c r="T280" s="330"/>
      <c r="U280" s="245"/>
      <c r="V280" s="322" t="str">
        <f t="shared" si="522"/>
        <v/>
      </c>
      <c r="W280" s="323"/>
      <c r="X280" s="323"/>
      <c r="Y280" s="324" t="str">
        <f t="shared" si="514"/>
        <v/>
      </c>
      <c r="Z280" s="323"/>
      <c r="AA280" s="323"/>
      <c r="AB280" s="323"/>
      <c r="AC280" s="325" t="str">
        <f t="shared" si="521"/>
        <v/>
      </c>
      <c r="AD280" s="326" t="str">
        <f t="shared" si="517"/>
        <v/>
      </c>
      <c r="AE280" s="324" t="str">
        <f t="shared" si="518"/>
        <v/>
      </c>
      <c r="AF280" s="326" t="str">
        <f t="shared" si="519"/>
        <v/>
      </c>
      <c r="AG280" s="324" t="str">
        <f>IFERROR(IF(AND(V279="Impacto",V280="Impacto"),(AG279-(+AG279*Y280)),IF(V280="Impacto",(#REF!-(+#REF!*Y280)),IF(V280="Probabilidad",AG279,""))),"")</f>
        <v/>
      </c>
      <c r="AH280" s="328" t="str">
        <f t="shared" si="523"/>
        <v/>
      </c>
      <c r="AI280" s="323"/>
      <c r="AJ280" s="249"/>
      <c r="AK280" s="249"/>
      <c r="AL280" s="249"/>
      <c r="AM280" s="249"/>
      <c r="AN280" s="278"/>
      <c r="AO280" s="276"/>
      <c r="AP280" s="276"/>
      <c r="AQ280" s="278"/>
      <c r="AR280" s="211"/>
      <c r="AS280" s="211"/>
      <c r="AT280" s="293"/>
      <c r="AU280" s="293"/>
      <c r="AV280" s="293"/>
      <c r="AW280" s="293"/>
      <c r="AX280" s="293"/>
      <c r="AY280" s="293"/>
      <c r="AZ280" s="293"/>
      <c r="BA280" s="293"/>
      <c r="BB280" s="293"/>
      <c r="BC280" s="293"/>
      <c r="BD280" s="293"/>
      <c r="BE280" s="293"/>
      <c r="BF280" s="293"/>
      <c r="BG280" s="293"/>
      <c r="BH280" s="293"/>
      <c r="BI280" s="293"/>
      <c r="BJ280" s="293"/>
      <c r="BK280" s="293"/>
      <c r="BL280" s="293"/>
      <c r="BM280" s="293"/>
      <c r="BN280" s="293"/>
      <c r="BO280" s="293"/>
      <c r="BP280" s="293"/>
      <c r="BQ280" s="293"/>
      <c r="BR280" s="293"/>
      <c r="BS280" s="293"/>
      <c r="BT280" s="293"/>
      <c r="BU280" s="293"/>
      <c r="BV280" s="293"/>
      <c r="BW280" s="293"/>
      <c r="BX280" s="293"/>
      <c r="BY280" s="293"/>
      <c r="BZ280" s="293"/>
    </row>
    <row r="281" spans="1:78" s="294" customFormat="1" ht="99.75" customHeight="1" x14ac:dyDescent="0.2">
      <c r="A281" s="458" t="s">
        <v>765</v>
      </c>
      <c r="B281" s="451" t="s">
        <v>830</v>
      </c>
      <c r="C281" s="452" t="s">
        <v>613</v>
      </c>
      <c r="D281" s="453" t="s">
        <v>619</v>
      </c>
      <c r="E281" s="454" t="s">
        <v>107</v>
      </c>
      <c r="F281" s="454" t="s">
        <v>766</v>
      </c>
      <c r="G281" s="446" t="s">
        <v>675</v>
      </c>
      <c r="H281" s="456" t="s">
        <v>824</v>
      </c>
      <c r="I281" s="446" t="s">
        <v>654</v>
      </c>
      <c r="J281" s="446" t="s">
        <v>825</v>
      </c>
      <c r="K281" s="457">
        <v>15</v>
      </c>
      <c r="L281" s="447" t="str">
        <f t="shared" si="481"/>
        <v>Baja</v>
      </c>
      <c r="M281" s="445">
        <f>IF(L281="","",IF(L281="Muy Baja",0.2,IF(L281="Baja",0.4,IF(L281="Media",0.6,IF(L281="Alta",0.8,IF(L281="Muy Alta",1,))))))</f>
        <v>0.4</v>
      </c>
      <c r="N281" s="455" t="s">
        <v>1022</v>
      </c>
      <c r="O281" s="445" t="str">
        <f ca="1">IF(NOT(ISERROR(MATCH(N281,'Tabla Impacto'!$B$221:$B$223,0))),'Tabla Impacto'!$F$223&amp;"Por favor no seleccionar los criterios de impacto(Afectación Económica o presupuestal y Pérdida Reputacional)",N281)</f>
        <v xml:space="preserve">     El riesgo afecta la imagen de la entidad internamente, de conocimiento general, nivel interno, de junta directiva y accionistas y/o de proveedores</v>
      </c>
      <c r="P281" s="447" t="s">
        <v>1100</v>
      </c>
      <c r="Q281" s="445">
        <f>IF(P281="","",IF(P281="Leve",0.2,IF(P281="Menor",0.4,IF(P281="Moderado",0.6,IF(P281="Mayor",0.8,IF(P281="Catastrófico",1,))))))</f>
        <v>0.4</v>
      </c>
      <c r="R281" s="459" t="str">
        <f>IF(OR(AND(L281="Muy Baja",P281="Leve"),AND(L281="Muy Baja",P281="Menor"),AND(L281="Baja",P281="Leve")),"Bajo",IF(OR(AND(L281="Muy baja",P281="Moderado"),AND(L281="Baja",P281="Menor"),AND(L281="Baja",P281="Moderado"),AND(L281="Media",P281="Leve"),AND(L281="Media",P281="Menor"),AND(L281="Media",P281="Moderado"),AND(L281="Alta",P281="Leve"),AND(L281="Alta",P281="Menor")),"Moderado",IF(OR(AND(L281="Muy Baja",P281="Mayor"),AND(L281="Baja",P281="Mayor"),AND(L281="Media",P281="Mayor"),AND(L281="Alta",P281="Moderado"),AND(L281="Alta",P281="Mayor"),AND(L281="Muy Alta",P281="Leve"),AND(L281="Muy Alta",P281="Menor"),AND(L281="Muy Alta",P281="Moderado"),AND(L281="Muy Alta",P281="Mayor")),"Alto",IF(OR(AND(L281="Muy Baja",P281="Catastrófico"),AND(L281="Baja",P281="Catastrófico"),AND(L281="Media",P281="Catastrófico"),AND(L281="Alta",P281="Catastrófico"),AND(L281="Muy Alta",P281="Catastrófico")),"Extremo",""))))</f>
        <v>Moderado</v>
      </c>
      <c r="S281" s="248">
        <v>1</v>
      </c>
      <c r="T281" s="321" t="s">
        <v>826</v>
      </c>
      <c r="U281" s="245" t="s">
        <v>293</v>
      </c>
      <c r="V281" s="322" t="str">
        <f t="shared" ref="V281:V286" si="524">IF(OR(W281="Preventivo",W281="Detectivo"),"Probabilidad",IF(W281="Correctivo","Impacto",""))</f>
        <v>Probabilidad</v>
      </c>
      <c r="W281" s="323" t="s">
        <v>13</v>
      </c>
      <c r="X281" s="323" t="s">
        <v>8</v>
      </c>
      <c r="Y281" s="324" t="str">
        <f t="shared" si="445"/>
        <v>40%</v>
      </c>
      <c r="Z281" s="323" t="s">
        <v>18</v>
      </c>
      <c r="AA281" s="323" t="s">
        <v>21</v>
      </c>
      <c r="AB281" s="323" t="s">
        <v>103</v>
      </c>
      <c r="AC281" s="325">
        <f t="shared" ref="AC281" si="525">IFERROR(IF(V281="Probabilidad",(M281-(+M281*Y281)),IF(V281="Impacto",M281,"")),"")</f>
        <v>0.24</v>
      </c>
      <c r="AD281" s="326" t="str">
        <f>IFERROR(IF(AC281="","",IF(AC281&lt;=0.2,"Muy Baja",IF(AC281&lt;=0.4,"Baja",IF(AC281&lt;=0.6,"Media",IF(AC281&lt;=0.8,"Alta","Muy Alta"))))),"")</f>
        <v>Baja</v>
      </c>
      <c r="AE281" s="324">
        <f>+AC281</f>
        <v>0.24</v>
      </c>
      <c r="AF281" s="326" t="str">
        <f>IFERROR(IF(AG281="","",IF(AG281&lt;=0.2,"Leve",IF(AG281&lt;=0.4,"Menor",IF(AG281&lt;=0.6,"Moderado",IF(AG281&lt;=0.8,"Mayor","Catastrófico"))))),"")</f>
        <v>Menor</v>
      </c>
      <c r="AG281" s="327">
        <f>IFERROR(IF(V281="Impacto",(Q281-(+Q281*Y281)),IF(V281="Probabilidad",Q281,"")),"")</f>
        <v>0.4</v>
      </c>
      <c r="AH281" s="328" t="str">
        <f>IFERROR(IF(OR(AND(AD281="Muy Baja",AF281="Leve"),AND(AD281="Muy Baja",AF281="Menor"),AND(AD281="Baja",AF281="Leve")),"Bajo",IF(OR(AND(AD281="Muy baja",AF281="Moderado"),AND(AD281="Baja",AF281="Menor"),AND(AD281="Baja",AF281="Moderado"),AND(AD281="Media",AF281="Leve"),AND(AD281="Media",AF281="Menor"),AND(AD281="Media",AF281="Moderado"),AND(AD281="Alta",AF281="Leve"),AND(AD281="Alta",AF281="Menor")),"Moderado",IF(OR(AND(AD281="Muy Baja",AF281="Mayor"),AND(AD281="Baja",AF281="Mayor"),AND(AD281="Media",AF281="Mayor"),AND(AD281="Alta",AF281="Moderado"),AND(AD281="Alta",AF281="Mayor"),AND(AD281="Muy Alta",AF281="Leve"),AND(AD281="Muy Alta",AF281="Menor"),AND(AD281="Muy Alta",AF281="Moderado"),AND(AD281="Muy Alta",AF281="Mayor")),"Alto",IF(OR(AND(AD281="Muy Baja",AF281="Catastrófico"),AND(AD281="Baja",AF281="Catastrófico"),AND(AD281="Media",AF281="Catastrófico"),AND(AD281="Alta",AF281="Catastrófico"),AND(AD281="Muy Alta",AF281="Catastrófico")),"Extremo","")))),"")</f>
        <v>Moderado</v>
      </c>
      <c r="AI281" s="323" t="s">
        <v>26</v>
      </c>
      <c r="AJ281" s="249">
        <v>2</v>
      </c>
      <c r="AK281" s="249">
        <v>0</v>
      </c>
      <c r="AL281" s="249">
        <v>1</v>
      </c>
      <c r="AM281" s="249">
        <v>1</v>
      </c>
      <c r="AN281" s="240"/>
      <c r="AO281" s="239"/>
      <c r="AP281" s="239"/>
      <c r="AQ281" s="240"/>
      <c r="AR281" s="241"/>
      <c r="AS281" s="241"/>
      <c r="AT281" s="293"/>
      <c r="AU281" s="293"/>
      <c r="AV281" s="293"/>
      <c r="AW281" s="293"/>
      <c r="AX281" s="293"/>
      <c r="AY281" s="293"/>
      <c r="AZ281" s="293"/>
      <c r="BA281" s="293"/>
      <c r="BB281" s="293"/>
      <c r="BC281" s="293"/>
      <c r="BD281" s="293"/>
      <c r="BE281" s="293"/>
      <c r="BF281" s="293"/>
      <c r="BG281" s="293"/>
      <c r="BH281" s="293"/>
      <c r="BI281" s="293"/>
      <c r="BJ281" s="293"/>
      <c r="BK281" s="293"/>
      <c r="BL281" s="293"/>
      <c r="BM281" s="293"/>
      <c r="BN281" s="293"/>
      <c r="BO281" s="293"/>
      <c r="BP281" s="293"/>
      <c r="BQ281" s="293"/>
      <c r="BR281" s="293"/>
      <c r="BS281" s="293"/>
      <c r="BT281" s="293"/>
      <c r="BU281" s="293"/>
      <c r="BV281" s="293"/>
      <c r="BW281" s="293"/>
      <c r="BX281" s="293"/>
      <c r="BY281" s="293"/>
      <c r="BZ281" s="293"/>
    </row>
    <row r="282" spans="1:78" s="295" customFormat="1" ht="3.75" customHeight="1" x14ac:dyDescent="0.2">
      <c r="A282" s="458"/>
      <c r="B282" s="451"/>
      <c r="C282" s="452"/>
      <c r="D282" s="453"/>
      <c r="E282" s="454"/>
      <c r="F282" s="454"/>
      <c r="G282" s="446"/>
      <c r="H282" s="456"/>
      <c r="I282" s="446"/>
      <c r="J282" s="446"/>
      <c r="K282" s="457"/>
      <c r="L282" s="447"/>
      <c r="M282" s="445"/>
      <c r="N282" s="455"/>
      <c r="O282" s="445">
        <f ca="1">IF(NOT(ISERROR(MATCH(N282,_xlfn.ANCHORARRAY(#REF!),0))),#REF!&amp;"Por favor no seleccionar los criterios de impacto",N282)</f>
        <v>0</v>
      </c>
      <c r="P282" s="447"/>
      <c r="Q282" s="445"/>
      <c r="R282" s="459"/>
      <c r="S282" s="248">
        <v>2</v>
      </c>
      <c r="T282" s="321"/>
      <c r="U282" s="245"/>
      <c r="V282" s="322" t="str">
        <f t="shared" si="524"/>
        <v/>
      </c>
      <c r="W282" s="323"/>
      <c r="X282" s="323"/>
      <c r="Y282" s="324" t="str">
        <f t="shared" si="445"/>
        <v/>
      </c>
      <c r="Z282" s="323"/>
      <c r="AA282" s="323"/>
      <c r="AB282" s="323"/>
      <c r="AC282" s="325" t="str">
        <f t="shared" ref="AC282" si="526">IFERROR(IF(AND(V281="Probabilidad",V282="Probabilidad"),(AE281-(+AE281*Y282)),IF(V282="Probabilidad",(M281-(+M281*Y282)),IF(V282="Impacto",AE281,""))),"")</f>
        <v/>
      </c>
      <c r="AD282" s="326" t="str">
        <f t="shared" si="447"/>
        <v/>
      </c>
      <c r="AE282" s="324" t="str">
        <f t="shared" ref="AE282:AE286" si="527">+AC282</f>
        <v/>
      </c>
      <c r="AF282" s="326" t="str">
        <f t="shared" si="449"/>
        <v/>
      </c>
      <c r="AG282" s="324" t="str">
        <f>IFERROR(IF(AND(V281="Impacto",V282="Impacto"),(AG281-(+AG281*Y282)),IF(V282="Impacto",($Q$281-(+$Q$281*Y282)),IF(V282="Probabilidad",AG281,""))),"")</f>
        <v/>
      </c>
      <c r="AH282" s="328" t="str">
        <f t="shared" ref="AH282:AH283" si="528">IFERROR(IF(OR(AND(AD282="Muy Baja",AF282="Leve"),AND(AD282="Muy Baja",AF282="Menor"),AND(AD282="Baja",AF282="Leve")),"Bajo",IF(OR(AND(AD282="Muy baja",AF282="Moderado"),AND(AD282="Baja",AF282="Menor"),AND(AD282="Baja",AF282="Moderado"),AND(AD282="Media",AF282="Leve"),AND(AD282="Media",AF282="Menor"),AND(AD282="Media",AF282="Moderado"),AND(AD282="Alta",AF282="Leve"),AND(AD282="Alta",AF282="Menor")),"Moderado",IF(OR(AND(AD282="Muy Baja",AF282="Mayor"),AND(AD282="Baja",AF282="Mayor"),AND(AD282="Media",AF282="Mayor"),AND(AD282="Alta",AF282="Moderado"),AND(AD282="Alta",AF282="Mayor"),AND(AD282="Muy Alta",AF282="Leve"),AND(AD282="Muy Alta",AF282="Menor"),AND(AD282="Muy Alta",AF282="Moderado"),AND(AD282="Muy Alta",AF282="Mayor")),"Alto",IF(OR(AND(AD282="Muy Baja",AF282="Catastrófico"),AND(AD282="Baja",AF282="Catastrófico"),AND(AD282="Media",AF282="Catastrófico"),AND(AD282="Alta",AF282="Catastrófico"),AND(AD282="Muy Alta",AF282="Catastrófico")),"Extremo","")))),"")</f>
        <v/>
      </c>
      <c r="AI282" s="323"/>
      <c r="AJ282" s="249"/>
      <c r="AK282" s="249"/>
      <c r="AL282" s="249"/>
      <c r="AM282" s="249"/>
      <c r="AN282" s="278"/>
      <c r="AO282" s="276"/>
      <c r="AP282" s="276"/>
      <c r="AQ282" s="278"/>
      <c r="AR282" s="211"/>
      <c r="AS282" s="211"/>
      <c r="AT282" s="293"/>
      <c r="AU282" s="293"/>
      <c r="AV282" s="293"/>
      <c r="AW282" s="293"/>
      <c r="AX282" s="293"/>
      <c r="AY282" s="293"/>
      <c r="AZ282" s="293"/>
      <c r="BA282" s="293"/>
      <c r="BB282" s="293"/>
      <c r="BC282" s="293"/>
      <c r="BD282" s="293"/>
      <c r="BE282" s="293"/>
      <c r="BF282" s="293"/>
      <c r="BG282" s="293"/>
      <c r="BH282" s="293"/>
      <c r="BI282" s="293"/>
      <c r="BJ282" s="293"/>
      <c r="BK282" s="293"/>
      <c r="BL282" s="293"/>
      <c r="BM282" s="293"/>
      <c r="BN282" s="293"/>
      <c r="BO282" s="293"/>
      <c r="BP282" s="293"/>
      <c r="BQ282" s="293"/>
      <c r="BR282" s="293"/>
      <c r="BS282" s="293"/>
      <c r="BT282" s="293"/>
      <c r="BU282" s="293"/>
      <c r="BV282" s="293"/>
      <c r="BW282" s="293"/>
      <c r="BX282" s="293"/>
      <c r="BY282" s="293"/>
      <c r="BZ282" s="293"/>
    </row>
    <row r="283" spans="1:78" s="295" customFormat="1" ht="3.75" customHeight="1" x14ac:dyDescent="0.2">
      <c r="A283" s="458"/>
      <c r="B283" s="451"/>
      <c r="C283" s="452"/>
      <c r="D283" s="453"/>
      <c r="E283" s="454"/>
      <c r="F283" s="454"/>
      <c r="G283" s="446"/>
      <c r="H283" s="456"/>
      <c r="I283" s="446"/>
      <c r="J283" s="446"/>
      <c r="K283" s="457"/>
      <c r="L283" s="447"/>
      <c r="M283" s="445"/>
      <c r="N283" s="455"/>
      <c r="O283" s="445">
        <f ca="1">IF(NOT(ISERROR(MATCH(N283,_xlfn.ANCHORARRAY(#REF!),0))),#REF!&amp;"Por favor no seleccionar los criterios de impacto",N283)</f>
        <v>0</v>
      </c>
      <c r="P283" s="447"/>
      <c r="Q283" s="445"/>
      <c r="R283" s="459"/>
      <c r="S283" s="248">
        <v>3</v>
      </c>
      <c r="T283" s="330"/>
      <c r="U283" s="245"/>
      <c r="V283" s="322" t="str">
        <f t="shared" si="524"/>
        <v/>
      </c>
      <c r="W283" s="323"/>
      <c r="X283" s="323"/>
      <c r="Y283" s="324" t="str">
        <f t="shared" si="445"/>
        <v/>
      </c>
      <c r="Z283" s="323"/>
      <c r="AA283" s="323"/>
      <c r="AB283" s="323"/>
      <c r="AC283" s="325" t="str">
        <f t="shared" ref="AC283" si="529">IFERROR(IF(AND(V282="Probabilidad",V283="Probabilidad"),(AE282-(+AE282*Y283)),IF(AND(V282="Impacto",V283="Probabilidad"),(AE281-(+AE281*Y283)),IF(V283="Impacto",AE282,""))),"")</f>
        <v/>
      </c>
      <c r="AD283" s="326" t="str">
        <f t="shared" si="447"/>
        <v/>
      </c>
      <c r="AE283" s="324" t="str">
        <f t="shared" si="527"/>
        <v/>
      </c>
      <c r="AF283" s="326" t="str">
        <f t="shared" si="449"/>
        <v/>
      </c>
      <c r="AG283" s="324" t="str">
        <f t="shared" ref="AG283:AG286" si="530">IFERROR(IF(AND(V282="Impacto",V283="Impacto"),(AG282-(+AG282*Y283)),IF(V283="Impacto",($Q$281-(+$Q$281*Y283)),IF(V283="Probabilidad",AG282,""))),"")</f>
        <v/>
      </c>
      <c r="AH283" s="328" t="str">
        <f t="shared" si="528"/>
        <v/>
      </c>
      <c r="AI283" s="323"/>
      <c r="AJ283" s="249"/>
      <c r="AK283" s="249"/>
      <c r="AL283" s="249"/>
      <c r="AM283" s="249"/>
      <c r="AN283" s="278"/>
      <c r="AO283" s="276"/>
      <c r="AP283" s="276"/>
      <c r="AQ283" s="278"/>
      <c r="AR283" s="211"/>
      <c r="AS283" s="211"/>
      <c r="AT283" s="293"/>
      <c r="AU283" s="293"/>
      <c r="AV283" s="293"/>
      <c r="AW283" s="293"/>
      <c r="AX283" s="293"/>
      <c r="AY283" s="293"/>
      <c r="AZ283" s="293"/>
      <c r="BA283" s="293"/>
      <c r="BB283" s="293"/>
      <c r="BC283" s="293"/>
      <c r="BD283" s="293"/>
      <c r="BE283" s="293"/>
      <c r="BF283" s="293"/>
      <c r="BG283" s="293"/>
      <c r="BH283" s="293"/>
      <c r="BI283" s="293"/>
      <c r="BJ283" s="293"/>
      <c r="BK283" s="293"/>
      <c r="BL283" s="293"/>
      <c r="BM283" s="293"/>
      <c r="BN283" s="293"/>
      <c r="BO283" s="293"/>
      <c r="BP283" s="293"/>
      <c r="BQ283" s="293"/>
      <c r="BR283" s="293"/>
      <c r="BS283" s="293"/>
      <c r="BT283" s="293"/>
      <c r="BU283" s="293"/>
      <c r="BV283" s="293"/>
      <c r="BW283" s="293"/>
      <c r="BX283" s="293"/>
      <c r="BY283" s="293"/>
      <c r="BZ283" s="293"/>
    </row>
    <row r="284" spans="1:78" s="295" customFormat="1" ht="3.75" customHeight="1" x14ac:dyDescent="0.2">
      <c r="A284" s="458"/>
      <c r="B284" s="451"/>
      <c r="C284" s="452"/>
      <c r="D284" s="453"/>
      <c r="E284" s="454"/>
      <c r="F284" s="454"/>
      <c r="G284" s="446"/>
      <c r="H284" s="456"/>
      <c r="I284" s="446"/>
      <c r="J284" s="446"/>
      <c r="K284" s="457"/>
      <c r="L284" s="447"/>
      <c r="M284" s="445"/>
      <c r="N284" s="455"/>
      <c r="O284" s="445">
        <f ca="1">IF(NOT(ISERROR(MATCH(N284,_xlfn.ANCHORARRAY(#REF!),0))),#REF!&amp;"Por favor no seleccionar los criterios de impacto",N284)</f>
        <v>0</v>
      </c>
      <c r="P284" s="447"/>
      <c r="Q284" s="445"/>
      <c r="R284" s="459"/>
      <c r="S284" s="248">
        <v>4</v>
      </c>
      <c r="T284" s="321"/>
      <c r="U284" s="245"/>
      <c r="V284" s="322" t="str">
        <f t="shared" si="524"/>
        <v/>
      </c>
      <c r="W284" s="323"/>
      <c r="X284" s="323"/>
      <c r="Y284" s="324" t="str">
        <f t="shared" si="445"/>
        <v/>
      </c>
      <c r="Z284" s="323"/>
      <c r="AA284" s="323"/>
      <c r="AB284" s="323"/>
      <c r="AC284" s="325" t="str">
        <f t="shared" si="454"/>
        <v/>
      </c>
      <c r="AD284" s="326" t="str">
        <f t="shared" si="447"/>
        <v/>
      </c>
      <c r="AE284" s="324" t="str">
        <f t="shared" si="527"/>
        <v/>
      </c>
      <c r="AF284" s="326" t="str">
        <f t="shared" si="449"/>
        <v/>
      </c>
      <c r="AG284" s="324" t="str">
        <f t="shared" si="530"/>
        <v/>
      </c>
      <c r="AH284" s="328" t="str">
        <f>IFERROR(IF(OR(AND(AD284="Muy Baja",AF284="Leve"),AND(AD284="Muy Baja",AF284="Menor"),AND(AD284="Baja",AF284="Leve")),"Bajo",IF(OR(AND(AD284="Muy baja",AF284="Moderado"),AND(AD284="Baja",AF284="Menor"),AND(AD284="Baja",AF284="Moderado"),AND(AD284="Media",AF284="Leve"),AND(AD284="Media",AF284="Menor"),AND(AD284="Media",AF284="Moderado"),AND(AD284="Alta",AF284="Leve"),AND(AD284="Alta",AF284="Menor")),"Moderado",IF(OR(AND(AD284="Muy Baja",AF284="Mayor"),AND(AD284="Baja",AF284="Mayor"),AND(AD284="Media",AF284="Mayor"),AND(AD284="Alta",AF284="Moderado"),AND(AD284="Alta",AF284="Mayor"),AND(AD284="Muy Alta",AF284="Leve"),AND(AD284="Muy Alta",AF284="Menor"),AND(AD284="Muy Alta",AF284="Moderado"),AND(AD284="Muy Alta",AF284="Mayor")),"Alto",IF(OR(AND(AD284="Muy Baja",AF284="Catastrófico"),AND(AD284="Baja",AF284="Catastrófico"),AND(AD284="Media",AF284="Catastrófico"),AND(AD284="Alta",AF284="Catastrófico"),AND(AD284="Muy Alta",AF284="Catastrófico")),"Extremo","")))),"")</f>
        <v/>
      </c>
      <c r="AI284" s="323"/>
      <c r="AJ284" s="249"/>
      <c r="AK284" s="249"/>
      <c r="AL284" s="249"/>
      <c r="AM284" s="249"/>
      <c r="AN284" s="278"/>
      <c r="AO284" s="276"/>
      <c r="AP284" s="276"/>
      <c r="AQ284" s="278"/>
      <c r="AR284" s="211"/>
      <c r="AS284" s="211"/>
      <c r="AT284" s="293"/>
      <c r="AU284" s="293"/>
      <c r="AV284" s="293"/>
      <c r="AW284" s="293"/>
      <c r="AX284" s="293"/>
      <c r="AY284" s="293"/>
      <c r="AZ284" s="293"/>
      <c r="BA284" s="293"/>
      <c r="BB284" s="293"/>
      <c r="BC284" s="293"/>
      <c r="BD284" s="293"/>
      <c r="BE284" s="293"/>
      <c r="BF284" s="293"/>
      <c r="BG284" s="293"/>
      <c r="BH284" s="293"/>
      <c r="BI284" s="293"/>
      <c r="BJ284" s="293"/>
      <c r="BK284" s="293"/>
      <c r="BL284" s="293"/>
      <c r="BM284" s="293"/>
      <c r="BN284" s="293"/>
      <c r="BO284" s="293"/>
      <c r="BP284" s="293"/>
      <c r="BQ284" s="293"/>
      <c r="BR284" s="293"/>
      <c r="BS284" s="293"/>
      <c r="BT284" s="293"/>
      <c r="BU284" s="293"/>
      <c r="BV284" s="293"/>
      <c r="BW284" s="293"/>
      <c r="BX284" s="293"/>
      <c r="BY284" s="293"/>
      <c r="BZ284" s="293"/>
    </row>
    <row r="285" spans="1:78" s="295" customFormat="1" ht="3.75" customHeight="1" x14ac:dyDescent="0.2">
      <c r="A285" s="458"/>
      <c r="B285" s="451"/>
      <c r="C285" s="452"/>
      <c r="D285" s="453"/>
      <c r="E285" s="454"/>
      <c r="F285" s="454"/>
      <c r="G285" s="446"/>
      <c r="H285" s="456"/>
      <c r="I285" s="446"/>
      <c r="J285" s="446"/>
      <c r="K285" s="457"/>
      <c r="L285" s="447"/>
      <c r="M285" s="445"/>
      <c r="N285" s="455"/>
      <c r="O285" s="445">
        <f ca="1">IF(NOT(ISERROR(MATCH(N285,_xlfn.ANCHORARRAY(#REF!),0))),#REF!&amp;"Por favor no seleccionar los criterios de impacto",N285)</f>
        <v>0</v>
      </c>
      <c r="P285" s="447"/>
      <c r="Q285" s="445"/>
      <c r="R285" s="459"/>
      <c r="S285" s="248">
        <v>5</v>
      </c>
      <c r="T285" s="321"/>
      <c r="U285" s="245"/>
      <c r="V285" s="322" t="str">
        <f t="shared" si="524"/>
        <v/>
      </c>
      <c r="W285" s="323"/>
      <c r="X285" s="323"/>
      <c r="Y285" s="324" t="str">
        <f t="shared" si="445"/>
        <v/>
      </c>
      <c r="Z285" s="323"/>
      <c r="AA285" s="323"/>
      <c r="AB285" s="323"/>
      <c r="AC285" s="325" t="str">
        <f t="shared" si="454"/>
        <v/>
      </c>
      <c r="AD285" s="326" t="str">
        <f t="shared" si="447"/>
        <v/>
      </c>
      <c r="AE285" s="324" t="str">
        <f t="shared" si="527"/>
        <v/>
      </c>
      <c r="AF285" s="326" t="str">
        <f t="shared" si="449"/>
        <v/>
      </c>
      <c r="AG285" s="324" t="str">
        <f t="shared" si="530"/>
        <v/>
      </c>
      <c r="AH285" s="328" t="str">
        <f t="shared" ref="AH285:AH286" si="531">IFERROR(IF(OR(AND(AD285="Muy Baja",AF285="Leve"),AND(AD285="Muy Baja",AF285="Menor"),AND(AD285="Baja",AF285="Leve")),"Bajo",IF(OR(AND(AD285="Muy baja",AF285="Moderado"),AND(AD285="Baja",AF285="Menor"),AND(AD285="Baja",AF285="Moderado"),AND(AD285="Media",AF285="Leve"),AND(AD285="Media",AF285="Menor"),AND(AD285="Media",AF285="Moderado"),AND(AD285="Alta",AF285="Leve"),AND(AD285="Alta",AF285="Menor")),"Moderado",IF(OR(AND(AD285="Muy Baja",AF285="Mayor"),AND(AD285="Baja",AF285="Mayor"),AND(AD285="Media",AF285="Mayor"),AND(AD285="Alta",AF285="Moderado"),AND(AD285="Alta",AF285="Mayor"),AND(AD285="Muy Alta",AF285="Leve"),AND(AD285="Muy Alta",AF285="Menor"),AND(AD285="Muy Alta",AF285="Moderado"),AND(AD285="Muy Alta",AF285="Mayor")),"Alto",IF(OR(AND(AD285="Muy Baja",AF285="Catastrófico"),AND(AD285="Baja",AF285="Catastrófico"),AND(AD285="Media",AF285="Catastrófico"),AND(AD285="Alta",AF285="Catastrófico"),AND(AD285="Muy Alta",AF285="Catastrófico")),"Extremo","")))),"")</f>
        <v/>
      </c>
      <c r="AI285" s="323"/>
      <c r="AJ285" s="249"/>
      <c r="AK285" s="249"/>
      <c r="AL285" s="249"/>
      <c r="AM285" s="249"/>
      <c r="AN285" s="278"/>
      <c r="AO285" s="276"/>
      <c r="AP285" s="276"/>
      <c r="AQ285" s="278"/>
      <c r="AR285" s="211"/>
      <c r="AS285" s="211"/>
      <c r="AT285" s="293"/>
      <c r="AU285" s="293"/>
      <c r="AV285" s="293"/>
      <c r="AW285" s="293"/>
      <c r="AX285" s="293"/>
      <c r="AY285" s="293"/>
      <c r="AZ285" s="293"/>
      <c r="BA285" s="293"/>
      <c r="BB285" s="293"/>
      <c r="BC285" s="293"/>
      <c r="BD285" s="293"/>
      <c r="BE285" s="293"/>
      <c r="BF285" s="293"/>
      <c r="BG285" s="293"/>
      <c r="BH285" s="293"/>
      <c r="BI285" s="293"/>
      <c r="BJ285" s="293"/>
      <c r="BK285" s="293"/>
      <c r="BL285" s="293"/>
      <c r="BM285" s="293"/>
      <c r="BN285" s="293"/>
      <c r="BO285" s="293"/>
      <c r="BP285" s="293"/>
      <c r="BQ285" s="293"/>
      <c r="BR285" s="293"/>
      <c r="BS285" s="293"/>
      <c r="BT285" s="293"/>
      <c r="BU285" s="293"/>
      <c r="BV285" s="293"/>
      <c r="BW285" s="293"/>
      <c r="BX285" s="293"/>
      <c r="BY285" s="293"/>
      <c r="BZ285" s="293"/>
    </row>
    <row r="286" spans="1:78" s="295" customFormat="1" ht="3.75" customHeight="1" x14ac:dyDescent="0.2">
      <c r="A286" s="458"/>
      <c r="B286" s="451"/>
      <c r="C286" s="452"/>
      <c r="D286" s="453"/>
      <c r="E286" s="454"/>
      <c r="F286" s="454"/>
      <c r="G286" s="446"/>
      <c r="H286" s="456"/>
      <c r="I286" s="446"/>
      <c r="J286" s="446"/>
      <c r="K286" s="457"/>
      <c r="L286" s="447"/>
      <c r="M286" s="445"/>
      <c r="N286" s="455"/>
      <c r="O286" s="445">
        <f ca="1">IF(NOT(ISERROR(MATCH(N286,_xlfn.ANCHORARRAY(#REF!),0))),#REF!&amp;"Por favor no seleccionar los criterios de impacto",N286)</f>
        <v>0</v>
      </c>
      <c r="P286" s="447"/>
      <c r="Q286" s="445"/>
      <c r="R286" s="459"/>
      <c r="S286" s="248">
        <v>6</v>
      </c>
      <c r="T286" s="321"/>
      <c r="U286" s="245"/>
      <c r="V286" s="322" t="str">
        <f t="shared" si="524"/>
        <v/>
      </c>
      <c r="W286" s="323"/>
      <c r="X286" s="323"/>
      <c r="Y286" s="324" t="str">
        <f t="shared" si="445"/>
        <v/>
      </c>
      <c r="Z286" s="323"/>
      <c r="AA286" s="323"/>
      <c r="AB286" s="323"/>
      <c r="AC286" s="325" t="str">
        <f t="shared" si="454"/>
        <v/>
      </c>
      <c r="AD286" s="326" t="str">
        <f t="shared" si="447"/>
        <v/>
      </c>
      <c r="AE286" s="324" t="str">
        <f t="shared" si="527"/>
        <v/>
      </c>
      <c r="AF286" s="326" t="str">
        <f t="shared" si="449"/>
        <v/>
      </c>
      <c r="AG286" s="324" t="str">
        <f t="shared" si="530"/>
        <v/>
      </c>
      <c r="AH286" s="328" t="str">
        <f t="shared" si="531"/>
        <v/>
      </c>
      <c r="AI286" s="323"/>
      <c r="AJ286" s="249"/>
      <c r="AK286" s="249"/>
      <c r="AL286" s="249"/>
      <c r="AM286" s="249"/>
      <c r="AN286" s="278"/>
      <c r="AO286" s="276"/>
      <c r="AP286" s="276"/>
      <c r="AQ286" s="278"/>
      <c r="AR286" s="211"/>
      <c r="AS286" s="211"/>
      <c r="AT286" s="293"/>
      <c r="AU286" s="293"/>
      <c r="AV286" s="293"/>
      <c r="AW286" s="293"/>
      <c r="AX286" s="293"/>
      <c r="AY286" s="293"/>
      <c r="AZ286" s="293"/>
      <c r="BA286" s="293"/>
      <c r="BB286" s="293"/>
      <c r="BC286" s="293"/>
      <c r="BD286" s="293"/>
      <c r="BE286" s="293"/>
      <c r="BF286" s="293"/>
      <c r="BG286" s="293"/>
      <c r="BH286" s="293"/>
      <c r="BI286" s="293"/>
      <c r="BJ286" s="293"/>
      <c r="BK286" s="293"/>
      <c r="BL286" s="293"/>
      <c r="BM286" s="293"/>
      <c r="BN286" s="293"/>
      <c r="BO286" s="293"/>
      <c r="BP286" s="293"/>
      <c r="BQ286" s="293"/>
      <c r="BR286" s="293"/>
      <c r="BS286" s="293"/>
      <c r="BT286" s="293"/>
      <c r="BU286" s="293"/>
      <c r="BV286" s="293"/>
      <c r="BW286" s="293"/>
      <c r="BX286" s="293"/>
      <c r="BY286" s="293"/>
      <c r="BZ286" s="293"/>
    </row>
    <row r="287" spans="1:78" s="295" customFormat="1" ht="201" customHeight="1" x14ac:dyDescent="0.2">
      <c r="A287" s="458" t="s">
        <v>1016</v>
      </c>
      <c r="B287" s="451" t="s">
        <v>830</v>
      </c>
      <c r="C287" s="452" t="s">
        <v>881</v>
      </c>
      <c r="D287" s="453" t="s">
        <v>620</v>
      </c>
      <c r="E287" s="454" t="s">
        <v>107</v>
      </c>
      <c r="F287" s="454" t="s">
        <v>1090</v>
      </c>
      <c r="G287" s="446" t="s">
        <v>1091</v>
      </c>
      <c r="H287" s="446" t="s">
        <v>1092</v>
      </c>
      <c r="I287" s="446" t="s">
        <v>654</v>
      </c>
      <c r="J287" s="446" t="s">
        <v>1071</v>
      </c>
      <c r="K287" s="457">
        <v>365</v>
      </c>
      <c r="L287" s="447" t="str">
        <f t="shared" ref="L287" si="532">IF(K287&lt;=0,"",IF(K287&lt;=2,"Muy Baja",IF(K287&lt;=24,"Baja",IF(K287&lt;=500,"Media",IF(K287&lt;=5000,"Alta","Muy Alta")))))</f>
        <v>Media</v>
      </c>
      <c r="M287" s="445">
        <f>IF(L287="","",IF(L287="Muy Baja",0.2,IF(L287="Baja",0.4,IF(L287="Media",0.6,IF(L287="Alta",0.8,IF(L287="Muy Alta",1,))))))</f>
        <v>0.6</v>
      </c>
      <c r="N287" s="455" t="s">
        <v>123</v>
      </c>
      <c r="O287" s="445" t="str">
        <f ca="1">IF(NOT(ISERROR(MATCH(N287,'Tabla Impacto'!$B$221:$B$223,0))),'Tabla Impacto'!$F$223&amp;"Por favor no seleccionar los criterios de impacto(Afectación Económica o presupuestal y Pérdida Reputacional)",N287)</f>
        <v xml:space="preserve">     El riesgo afecta la imagen de la entidad a nivel nacional, con efecto publicitarios sostenible a nivel país</v>
      </c>
      <c r="P287" s="447" t="str">
        <f ca="1">IF(OR(O287='Tabla Impacto'!$C$11,O287='Tabla Impacto'!$D$11),"Leve",IF(OR(O287='Tabla Impacto'!$C$12,O287='Tabla Impacto'!$D$12),"Menor",IF(OR(O287='Tabla Impacto'!$C$13,O287='Tabla Impacto'!$D$13),"Moderado",IF(OR(O287='Tabla Impacto'!$C$14,O287='Tabla Impacto'!$D$14),"Mayor",IF(OR(O287='Tabla Impacto'!$C$15,O287='Tabla Impacto'!$D$15),"Catastrófico","")))))</f>
        <v>Catastrófico</v>
      </c>
      <c r="Q287" s="445">
        <f ca="1">IF(P287="","",IF(P287="Leve",0.2,IF(P287="Menor",0.4,IF(P287="Moderado",0.6,IF(P287="Mayor",0.8,IF(P287="Catastrófico",1,))))))</f>
        <v>1</v>
      </c>
      <c r="R287" s="459" t="str">
        <f ca="1">IF(OR(AND(L287="Muy Baja",P287="Leve"),AND(L287="Muy Baja",P287="Menor"),AND(L287="Baja",P287="Leve")),"Bajo",IF(OR(AND(L287="Muy baja",P287="Moderado"),AND(L287="Baja",P287="Menor"),AND(L287="Baja",P287="Moderado"),AND(L287="Media",P287="Leve"),AND(L287="Media",P287="Menor"),AND(L287="Media",P287="Moderado"),AND(L287="Alta",P287="Leve"),AND(L287="Alta",P287="Menor")),"Moderado",IF(OR(AND(L287="Muy Baja",P287="Mayor"),AND(L287="Baja",P287="Mayor"),AND(L287="Media",P287="Mayor"),AND(L287="Alta",P287="Moderado"),AND(L287="Alta",P287="Mayor"),AND(L287="Muy Alta",P287="Leve"),AND(L287="Muy Alta",P287="Menor"),AND(L287="Muy Alta",P287="Moderado"),AND(L287="Muy Alta",P287="Mayor")),"Alto",IF(OR(AND(L287="Muy Baja",P287="Catastrófico"),AND(L287="Baja",P287="Catastrófico"),AND(L287="Media",P287="Catastrófico"),AND(L287="Alta",P287="Catastrófico"),AND(L287="Muy Alta",P287="Catastrófico")),"Extremo",""))))</f>
        <v>Extremo</v>
      </c>
      <c r="S287" s="248">
        <v>1</v>
      </c>
      <c r="T287" s="321" t="s">
        <v>958</v>
      </c>
      <c r="U287" s="245" t="s">
        <v>293</v>
      </c>
      <c r="V287" s="322" t="str">
        <f t="shared" ref="V287:V292" si="533">IF(OR(W287="Preventivo",W287="Detectivo"),"Probabilidad",IF(W287="Correctivo","Impacto",""))</f>
        <v>Probabilidad</v>
      </c>
      <c r="W287" s="323" t="s">
        <v>13</v>
      </c>
      <c r="X287" s="323" t="s">
        <v>8</v>
      </c>
      <c r="Y287" s="324" t="str">
        <f t="shared" ref="Y287:Y292" si="534">IF(AND(W287="Preventivo",X287="Automático"),"50%",IF(AND(W287="Preventivo",X287="Manual"),"40%",IF(AND(W287="Detectivo",X287="Automático"),"40%",IF(AND(W287="Detectivo",X287="Manual"),"30%",IF(AND(W287="Correctivo",X287="Automático"),"35%",IF(AND(W287="Correctivo",X287="Manual"),"25%",""))))))</f>
        <v>40%</v>
      </c>
      <c r="Z287" s="323" t="s">
        <v>19</v>
      </c>
      <c r="AA287" s="323" t="s">
        <v>21</v>
      </c>
      <c r="AB287" s="323" t="s">
        <v>103</v>
      </c>
      <c r="AC287" s="325">
        <f t="shared" ref="AC287" si="535">IFERROR(IF(V287="Probabilidad",(M287-(+M287*Y287)),IF(V287="Impacto",M287,"")),"")</f>
        <v>0.36</v>
      </c>
      <c r="AD287" s="326" t="str">
        <f>IFERROR(IF(AC287="","",IF(AC287&lt;=0.2,"Muy Baja",IF(AC287&lt;=0.4,"Baja",IF(AC287&lt;=0.6,"Media",IF(AC287&lt;=0.8,"Alta","Muy Alta"))))),"")</f>
        <v>Baja</v>
      </c>
      <c r="AE287" s="324">
        <f>+AC287</f>
        <v>0.36</v>
      </c>
      <c r="AF287" s="326" t="str">
        <f ca="1">IFERROR(IF(AG287="","",IF(AG287&lt;=0.2,"Leve",IF(AG287&lt;=0.4,"Menor",IF(AG287&lt;=0.6,"Moderado",IF(AG287&lt;=0.8,"Mayor","Catastrófico"))))),"")</f>
        <v>Catastrófico</v>
      </c>
      <c r="AG287" s="327">
        <f ca="1">IFERROR(IF(V287="Impacto",(Q287-(+Q287*Y287)),IF(V287="Probabilidad",Q287,"")),"")</f>
        <v>1</v>
      </c>
      <c r="AH287" s="328" t="str">
        <f ca="1">IFERROR(IF(OR(AND(AD287="Muy Baja",AF287="Leve"),AND(AD287="Muy Baja",AF287="Menor"),AND(AD287="Baja",AF287="Leve")),"Bajo",IF(OR(AND(AD287="Muy baja",AF287="Moderado"),AND(AD287="Baja",AF287="Menor"),AND(AD287="Baja",AF287="Moderado"),AND(AD287="Media",AF287="Leve"),AND(AD287="Media",AF287="Menor"),AND(AD287="Media",AF287="Moderado"),AND(AD287="Alta",AF287="Leve"),AND(AD287="Alta",AF287="Menor")),"Moderado",IF(OR(AND(AD287="Muy Baja",AF287="Mayor"),AND(AD287="Baja",AF287="Mayor"),AND(AD287="Media",AF287="Mayor"),AND(AD287="Alta",AF287="Moderado"),AND(AD287="Alta",AF287="Mayor"),AND(AD287="Muy Alta",AF287="Leve"),AND(AD287="Muy Alta",AF287="Menor"),AND(AD287="Muy Alta",AF287="Moderado"),AND(AD287="Muy Alta",AF287="Mayor")),"Alto",IF(OR(AND(AD287="Muy Baja",AF287="Catastrófico"),AND(AD287="Baja",AF287="Catastrófico"),AND(AD287="Media",AF287="Catastrófico"),AND(AD287="Alta",AF287="Catastrófico"),AND(AD287="Muy Alta",AF287="Catastrófico")),"Extremo","")))),"")</f>
        <v>Extremo</v>
      </c>
      <c r="AI287" s="323" t="s">
        <v>26</v>
      </c>
      <c r="AJ287" s="249">
        <v>1</v>
      </c>
      <c r="AK287" s="249">
        <v>0</v>
      </c>
      <c r="AL287" s="249">
        <v>0</v>
      </c>
      <c r="AM287" s="249">
        <v>1</v>
      </c>
      <c r="AN287" s="282"/>
      <c r="AT287" s="293"/>
      <c r="AU287" s="293"/>
      <c r="AV287" s="293"/>
      <c r="AW287" s="293"/>
      <c r="AX287" s="293"/>
      <c r="AY287" s="293"/>
      <c r="AZ287" s="293"/>
      <c r="BA287" s="293"/>
      <c r="BB287" s="293"/>
      <c r="BC287" s="293"/>
      <c r="BD287" s="293"/>
      <c r="BE287" s="293"/>
      <c r="BF287" s="293"/>
      <c r="BG287" s="293"/>
      <c r="BH287" s="293"/>
      <c r="BI287" s="293"/>
      <c r="BJ287" s="293"/>
      <c r="BK287" s="293"/>
      <c r="BL287" s="293"/>
      <c r="BM287" s="293"/>
      <c r="BN287" s="293"/>
      <c r="BO287" s="293"/>
      <c r="BP287" s="293"/>
      <c r="BQ287" s="293"/>
      <c r="BR287" s="293"/>
      <c r="BS287" s="293"/>
      <c r="BT287" s="293"/>
      <c r="BU287" s="293"/>
      <c r="BV287" s="293"/>
      <c r="BW287" s="293"/>
      <c r="BX287" s="293"/>
      <c r="BY287" s="293"/>
      <c r="BZ287" s="293"/>
    </row>
    <row r="288" spans="1:78" s="295" customFormat="1" ht="4.5" customHeight="1" x14ac:dyDescent="0.2">
      <c r="A288" s="458"/>
      <c r="B288" s="451"/>
      <c r="C288" s="452"/>
      <c r="D288" s="453"/>
      <c r="E288" s="454"/>
      <c r="F288" s="454"/>
      <c r="G288" s="446"/>
      <c r="H288" s="446"/>
      <c r="I288" s="446"/>
      <c r="J288" s="446"/>
      <c r="K288" s="457"/>
      <c r="L288" s="447"/>
      <c r="M288" s="445"/>
      <c r="N288" s="455"/>
      <c r="O288" s="445">
        <f ca="1">IF(NOT(ISERROR(MATCH(N288,_xlfn.ANCHORARRAY(#REF!),0))),#REF!&amp;"Por favor no seleccionar los criterios de impacto",N288)</f>
        <v>0</v>
      </c>
      <c r="P288" s="447"/>
      <c r="Q288" s="445"/>
      <c r="R288" s="459"/>
      <c r="S288" s="244">
        <v>2</v>
      </c>
      <c r="T288" s="247"/>
      <c r="U288" s="283"/>
      <c r="V288" s="204" t="str">
        <f t="shared" si="533"/>
        <v/>
      </c>
      <c r="W288" s="224"/>
      <c r="X288" s="224"/>
      <c r="Y288" s="205" t="str">
        <f t="shared" si="534"/>
        <v/>
      </c>
      <c r="Z288" s="224"/>
      <c r="AA288" s="224"/>
      <c r="AB288" s="224"/>
      <c r="AC288" s="206" t="str">
        <f t="shared" ref="AC288" si="536">IFERROR(IF(AND(V287="Probabilidad",V288="Probabilidad"),(AE287-(+AE287*Y288)),IF(V288="Probabilidad",(M287-(+M287*Y288)),IF(V288="Impacto",AE287,""))),"")</f>
        <v/>
      </c>
      <c r="AD288" s="207" t="str">
        <f t="shared" ref="AD288:AD292" si="537">IFERROR(IF(AC288="","",IF(AC288&lt;=0.2,"Muy Baja",IF(AC288&lt;=0.4,"Baja",IF(AC288&lt;=0.6,"Media",IF(AC288&lt;=0.8,"Alta","Muy Alta"))))),"")</f>
        <v/>
      </c>
      <c r="AE288" s="205" t="str">
        <f t="shared" ref="AE288:AE292" si="538">+AC288</f>
        <v/>
      </c>
      <c r="AF288" s="207" t="str">
        <f t="shared" ref="AF288:AF292" si="539">IFERROR(IF(AG288="","",IF(AG288&lt;=0.2,"Leve",IF(AG288&lt;=0.4,"Menor",IF(AG288&lt;=0.6,"Moderado",IF(AG288&lt;=0.8,"Mayor","Catastrófico"))))),"")</f>
        <v/>
      </c>
      <c r="AG288" s="205" t="str">
        <f>IFERROR(IF(AND(V287="Impacto",V288="Impacto"),(AG287-(+AG287*Y288)),IF(V288="Impacto",($Q$281-(+$Q$281*Y288)),IF(V288="Probabilidad",AG287,""))),"")</f>
        <v/>
      </c>
      <c r="AH288" s="208" t="str">
        <f t="shared" ref="AH288:AH289" si="540">IFERROR(IF(OR(AND(AD288="Muy Baja",AF288="Leve"),AND(AD288="Muy Baja",AF288="Menor"),AND(AD288="Baja",AF288="Leve")),"Bajo",IF(OR(AND(AD288="Muy baja",AF288="Moderado"),AND(AD288="Baja",AF288="Menor"),AND(AD288="Baja",AF288="Moderado"),AND(AD288="Media",AF288="Leve"),AND(AD288="Media",AF288="Menor"),AND(AD288="Media",AF288="Moderado"),AND(AD288="Alta",AF288="Leve"),AND(AD288="Alta",AF288="Menor")),"Moderado",IF(OR(AND(AD288="Muy Baja",AF288="Mayor"),AND(AD288="Baja",AF288="Mayor"),AND(AD288="Media",AF288="Mayor"),AND(AD288="Alta",AF288="Moderado"),AND(AD288="Alta",AF288="Mayor"),AND(AD288="Muy Alta",AF288="Leve"),AND(AD288="Muy Alta",AF288="Menor"),AND(AD288="Muy Alta",AF288="Moderado"),AND(AD288="Muy Alta",AF288="Mayor")),"Alto",IF(OR(AND(AD288="Muy Baja",AF288="Catastrófico"),AND(AD288="Baja",AF288="Catastrófico"),AND(AD288="Media",AF288="Catastrófico"),AND(AD288="Alta",AF288="Catastrófico"),AND(AD288="Muy Alta",AF288="Catastrófico")),"Extremo","")))),"")</f>
        <v/>
      </c>
      <c r="AI288" s="224"/>
      <c r="AJ288" s="284"/>
      <c r="AK288" s="284"/>
      <c r="AL288" s="284"/>
      <c r="AM288" s="284"/>
      <c r="AN288" s="278"/>
      <c r="AT288" s="293"/>
      <c r="AU288" s="293"/>
      <c r="AV288" s="293"/>
      <c r="AW288" s="293"/>
      <c r="AX288" s="293"/>
      <c r="AY288" s="293"/>
      <c r="AZ288" s="293"/>
      <c r="BA288" s="293"/>
      <c r="BB288" s="293"/>
      <c r="BC288" s="293"/>
      <c r="BD288" s="293"/>
      <c r="BE288" s="293"/>
      <c r="BF288" s="293"/>
      <c r="BG288" s="293"/>
      <c r="BH288" s="293"/>
      <c r="BI288" s="293"/>
      <c r="BJ288" s="293"/>
      <c r="BK288" s="293"/>
      <c r="BL288" s="293"/>
      <c r="BM288" s="293"/>
      <c r="BN288" s="293"/>
      <c r="BO288" s="293"/>
      <c r="BP288" s="293"/>
      <c r="BQ288" s="293"/>
      <c r="BR288" s="293"/>
      <c r="BS288" s="293"/>
      <c r="BT288" s="293"/>
      <c r="BU288" s="293"/>
      <c r="BV288" s="293"/>
      <c r="BW288" s="293"/>
      <c r="BX288" s="293"/>
      <c r="BY288" s="293"/>
      <c r="BZ288" s="293"/>
    </row>
    <row r="289" spans="1:78" s="295" customFormat="1" ht="4.5" customHeight="1" x14ac:dyDescent="0.2">
      <c r="A289" s="458"/>
      <c r="B289" s="451"/>
      <c r="C289" s="452"/>
      <c r="D289" s="453"/>
      <c r="E289" s="454"/>
      <c r="F289" s="454"/>
      <c r="G289" s="446"/>
      <c r="H289" s="446"/>
      <c r="I289" s="446"/>
      <c r="J289" s="446"/>
      <c r="K289" s="457"/>
      <c r="L289" s="447"/>
      <c r="M289" s="445"/>
      <c r="N289" s="455"/>
      <c r="O289" s="445">
        <f ca="1">IF(NOT(ISERROR(MATCH(N289,_xlfn.ANCHORARRAY(#REF!),0))),#REF!&amp;"Por favor no seleccionar los criterios de impacto",N289)</f>
        <v>0</v>
      </c>
      <c r="P289" s="447"/>
      <c r="Q289" s="445"/>
      <c r="R289" s="459"/>
      <c r="S289" s="244">
        <v>3</v>
      </c>
      <c r="T289" s="250"/>
      <c r="U289" s="283"/>
      <c r="V289" s="204" t="str">
        <f t="shared" si="533"/>
        <v/>
      </c>
      <c r="W289" s="224"/>
      <c r="X289" s="224"/>
      <c r="Y289" s="205" t="str">
        <f t="shared" si="534"/>
        <v/>
      </c>
      <c r="Z289" s="224"/>
      <c r="AA289" s="224"/>
      <c r="AB289" s="224"/>
      <c r="AC289" s="206" t="str">
        <f t="shared" ref="AC289:AC292" si="541">IFERROR(IF(AND(V288="Probabilidad",V289="Probabilidad"),(AE288-(+AE288*Y289)),IF(AND(V288="Impacto",V289="Probabilidad"),(AE287-(+AE287*Y289)),IF(V289="Impacto",AE288,""))),"")</f>
        <v/>
      </c>
      <c r="AD289" s="207" t="str">
        <f t="shared" si="537"/>
        <v/>
      </c>
      <c r="AE289" s="205" t="str">
        <f t="shared" si="538"/>
        <v/>
      </c>
      <c r="AF289" s="207" t="str">
        <f t="shared" si="539"/>
        <v/>
      </c>
      <c r="AG289" s="205" t="str">
        <f t="shared" ref="AG289:AG292" si="542">IFERROR(IF(AND(V288="Impacto",V289="Impacto"),(AG288-(+AG288*Y289)),IF(V289="Impacto",($Q$281-(+$Q$281*Y289)),IF(V289="Probabilidad",AG288,""))),"")</f>
        <v/>
      </c>
      <c r="AH289" s="208" t="str">
        <f t="shared" si="540"/>
        <v/>
      </c>
      <c r="AI289" s="224"/>
      <c r="AJ289" s="284"/>
      <c r="AK289" s="284"/>
      <c r="AL289" s="284"/>
      <c r="AM289" s="284"/>
      <c r="AN289" s="278"/>
      <c r="AT289" s="293"/>
      <c r="AU289" s="293"/>
      <c r="AV289" s="293"/>
      <c r="AW289" s="293"/>
      <c r="AX289" s="293"/>
      <c r="AY289" s="293"/>
      <c r="AZ289" s="293"/>
      <c r="BA289" s="293"/>
      <c r="BB289" s="293"/>
      <c r="BC289" s="293"/>
      <c r="BD289" s="293"/>
      <c r="BE289" s="293"/>
      <c r="BF289" s="293"/>
      <c r="BG289" s="293"/>
      <c r="BH289" s="293"/>
      <c r="BI289" s="293"/>
      <c r="BJ289" s="293"/>
      <c r="BK289" s="293"/>
      <c r="BL289" s="293"/>
      <c r="BM289" s="293"/>
      <c r="BN289" s="293"/>
      <c r="BO289" s="293"/>
      <c r="BP289" s="293"/>
      <c r="BQ289" s="293"/>
      <c r="BR289" s="293"/>
      <c r="BS289" s="293"/>
      <c r="BT289" s="293"/>
      <c r="BU289" s="293"/>
      <c r="BV289" s="293"/>
      <c r="BW289" s="293"/>
      <c r="BX289" s="293"/>
      <c r="BY289" s="293"/>
      <c r="BZ289" s="293"/>
    </row>
    <row r="290" spans="1:78" s="295" customFormat="1" ht="4.5" customHeight="1" x14ac:dyDescent="0.2">
      <c r="A290" s="458"/>
      <c r="B290" s="451"/>
      <c r="C290" s="452"/>
      <c r="D290" s="453"/>
      <c r="E290" s="454"/>
      <c r="F290" s="454"/>
      <c r="G290" s="446"/>
      <c r="H290" s="446"/>
      <c r="I290" s="446"/>
      <c r="J290" s="446"/>
      <c r="K290" s="457"/>
      <c r="L290" s="447"/>
      <c r="M290" s="445"/>
      <c r="N290" s="455"/>
      <c r="O290" s="445">
        <f ca="1">IF(NOT(ISERROR(MATCH(N290,_xlfn.ANCHORARRAY(#REF!),0))),#REF!&amp;"Por favor no seleccionar los criterios de impacto",N290)</f>
        <v>0</v>
      </c>
      <c r="P290" s="447"/>
      <c r="Q290" s="445"/>
      <c r="R290" s="459"/>
      <c r="S290" s="244">
        <v>4</v>
      </c>
      <c r="T290" s="247"/>
      <c r="U290" s="283"/>
      <c r="V290" s="204" t="str">
        <f t="shared" si="533"/>
        <v/>
      </c>
      <c r="W290" s="224"/>
      <c r="X290" s="224"/>
      <c r="Y290" s="205" t="str">
        <f t="shared" si="534"/>
        <v/>
      </c>
      <c r="Z290" s="224"/>
      <c r="AA290" s="224"/>
      <c r="AB290" s="224"/>
      <c r="AC290" s="206" t="str">
        <f t="shared" si="541"/>
        <v/>
      </c>
      <c r="AD290" s="207" t="str">
        <f t="shared" si="537"/>
        <v/>
      </c>
      <c r="AE290" s="205" t="str">
        <f t="shared" si="538"/>
        <v/>
      </c>
      <c r="AF290" s="207" t="str">
        <f t="shared" si="539"/>
        <v/>
      </c>
      <c r="AG290" s="205" t="str">
        <f t="shared" si="542"/>
        <v/>
      </c>
      <c r="AH290" s="208" t="str">
        <f>IFERROR(IF(OR(AND(AD290="Muy Baja",AF290="Leve"),AND(AD290="Muy Baja",AF290="Menor"),AND(AD290="Baja",AF290="Leve")),"Bajo",IF(OR(AND(AD290="Muy baja",AF290="Moderado"),AND(AD290="Baja",AF290="Menor"),AND(AD290="Baja",AF290="Moderado"),AND(AD290="Media",AF290="Leve"),AND(AD290="Media",AF290="Menor"),AND(AD290="Media",AF290="Moderado"),AND(AD290="Alta",AF290="Leve"),AND(AD290="Alta",AF290="Menor")),"Moderado",IF(OR(AND(AD290="Muy Baja",AF290="Mayor"),AND(AD290="Baja",AF290="Mayor"),AND(AD290="Media",AF290="Mayor"),AND(AD290="Alta",AF290="Moderado"),AND(AD290="Alta",AF290="Mayor"),AND(AD290="Muy Alta",AF290="Leve"),AND(AD290="Muy Alta",AF290="Menor"),AND(AD290="Muy Alta",AF290="Moderado"),AND(AD290="Muy Alta",AF290="Mayor")),"Alto",IF(OR(AND(AD290="Muy Baja",AF290="Catastrófico"),AND(AD290="Baja",AF290="Catastrófico"),AND(AD290="Media",AF290="Catastrófico"),AND(AD290="Alta",AF290="Catastrófico"),AND(AD290="Muy Alta",AF290="Catastrófico")),"Extremo","")))),"")</f>
        <v/>
      </c>
      <c r="AI290" s="224"/>
      <c r="AJ290" s="284"/>
      <c r="AK290" s="284"/>
      <c r="AL290" s="284"/>
      <c r="AM290" s="284"/>
      <c r="AN290" s="278"/>
      <c r="AT290" s="293"/>
      <c r="AU290" s="293"/>
      <c r="AV290" s="293"/>
      <c r="AW290" s="293"/>
      <c r="AX290" s="293"/>
      <c r="AY290" s="293"/>
      <c r="AZ290" s="293"/>
      <c r="BA290" s="293"/>
      <c r="BB290" s="293"/>
      <c r="BC290" s="293"/>
      <c r="BD290" s="293"/>
      <c r="BE290" s="293"/>
      <c r="BF290" s="293"/>
      <c r="BG290" s="293"/>
      <c r="BH290" s="293"/>
      <c r="BI290" s="293"/>
      <c r="BJ290" s="293"/>
      <c r="BK290" s="293"/>
      <c r="BL290" s="293"/>
      <c r="BM290" s="293"/>
      <c r="BN290" s="293"/>
      <c r="BO290" s="293"/>
      <c r="BP290" s="293"/>
      <c r="BQ290" s="293"/>
      <c r="BR290" s="293"/>
      <c r="BS290" s="293"/>
      <c r="BT290" s="293"/>
      <c r="BU290" s="293"/>
      <c r="BV290" s="293"/>
      <c r="BW290" s="293"/>
      <c r="BX290" s="293"/>
      <c r="BY290" s="293"/>
      <c r="BZ290" s="293"/>
    </row>
    <row r="291" spans="1:78" s="295" customFormat="1" ht="4.5" customHeight="1" x14ac:dyDescent="0.2">
      <c r="A291" s="458"/>
      <c r="B291" s="451"/>
      <c r="C291" s="452"/>
      <c r="D291" s="453"/>
      <c r="E291" s="454"/>
      <c r="F291" s="454"/>
      <c r="G291" s="446"/>
      <c r="H291" s="446"/>
      <c r="I291" s="446"/>
      <c r="J291" s="446"/>
      <c r="K291" s="457"/>
      <c r="L291" s="447"/>
      <c r="M291" s="445"/>
      <c r="N291" s="455"/>
      <c r="O291" s="445">
        <f ca="1">IF(NOT(ISERROR(MATCH(N291,_xlfn.ANCHORARRAY(#REF!),0))),#REF!&amp;"Por favor no seleccionar los criterios de impacto",N291)</f>
        <v>0</v>
      </c>
      <c r="P291" s="447"/>
      <c r="Q291" s="445"/>
      <c r="R291" s="459"/>
      <c r="S291" s="244">
        <v>5</v>
      </c>
      <c r="T291" s="247"/>
      <c r="U291" s="283"/>
      <c r="V291" s="204" t="str">
        <f t="shared" si="533"/>
        <v/>
      </c>
      <c r="W291" s="224"/>
      <c r="X291" s="224"/>
      <c r="Y291" s="205" t="str">
        <f t="shared" si="534"/>
        <v/>
      </c>
      <c r="Z291" s="224"/>
      <c r="AA291" s="224"/>
      <c r="AB291" s="224"/>
      <c r="AC291" s="206" t="str">
        <f t="shared" si="541"/>
        <v/>
      </c>
      <c r="AD291" s="207" t="str">
        <f t="shared" si="537"/>
        <v/>
      </c>
      <c r="AE291" s="205" t="str">
        <f t="shared" si="538"/>
        <v/>
      </c>
      <c r="AF291" s="207" t="str">
        <f t="shared" si="539"/>
        <v/>
      </c>
      <c r="AG291" s="205" t="str">
        <f t="shared" si="542"/>
        <v/>
      </c>
      <c r="AH291" s="208" t="str">
        <f t="shared" ref="AH291:AH292" si="543">IFERROR(IF(OR(AND(AD291="Muy Baja",AF291="Leve"),AND(AD291="Muy Baja",AF291="Menor"),AND(AD291="Baja",AF291="Leve")),"Bajo",IF(OR(AND(AD291="Muy baja",AF291="Moderado"),AND(AD291="Baja",AF291="Menor"),AND(AD291="Baja",AF291="Moderado"),AND(AD291="Media",AF291="Leve"),AND(AD291="Media",AF291="Menor"),AND(AD291="Media",AF291="Moderado"),AND(AD291="Alta",AF291="Leve"),AND(AD291="Alta",AF291="Menor")),"Moderado",IF(OR(AND(AD291="Muy Baja",AF291="Mayor"),AND(AD291="Baja",AF291="Mayor"),AND(AD291="Media",AF291="Mayor"),AND(AD291="Alta",AF291="Moderado"),AND(AD291="Alta",AF291="Mayor"),AND(AD291="Muy Alta",AF291="Leve"),AND(AD291="Muy Alta",AF291="Menor"),AND(AD291="Muy Alta",AF291="Moderado"),AND(AD291="Muy Alta",AF291="Mayor")),"Alto",IF(OR(AND(AD291="Muy Baja",AF291="Catastrófico"),AND(AD291="Baja",AF291="Catastrófico"),AND(AD291="Media",AF291="Catastrófico"),AND(AD291="Alta",AF291="Catastrófico"),AND(AD291="Muy Alta",AF291="Catastrófico")),"Extremo","")))),"")</f>
        <v/>
      </c>
      <c r="AI291" s="224"/>
      <c r="AJ291" s="284"/>
      <c r="AK291" s="284"/>
      <c r="AL291" s="284"/>
      <c r="AM291" s="284"/>
      <c r="AN291" s="278"/>
      <c r="AT291" s="293"/>
      <c r="AU291" s="293"/>
      <c r="AV291" s="293"/>
      <c r="AW291" s="293"/>
      <c r="AX291" s="293"/>
      <c r="AY291" s="293"/>
      <c r="AZ291" s="293"/>
      <c r="BA291" s="293"/>
      <c r="BB291" s="293"/>
      <c r="BC291" s="293"/>
      <c r="BD291" s="293"/>
      <c r="BE291" s="293"/>
      <c r="BF291" s="293"/>
      <c r="BG291" s="293"/>
      <c r="BH291" s="293"/>
      <c r="BI291" s="293"/>
      <c r="BJ291" s="293"/>
      <c r="BK291" s="293"/>
      <c r="BL291" s="293"/>
      <c r="BM291" s="293"/>
      <c r="BN291" s="293"/>
      <c r="BO291" s="293"/>
      <c r="BP291" s="293"/>
      <c r="BQ291" s="293"/>
      <c r="BR291" s="293"/>
      <c r="BS291" s="293"/>
      <c r="BT291" s="293"/>
      <c r="BU291" s="293"/>
      <c r="BV291" s="293"/>
      <c r="BW291" s="293"/>
      <c r="BX291" s="293"/>
      <c r="BY291" s="293"/>
      <c r="BZ291" s="293"/>
    </row>
    <row r="292" spans="1:78" s="295" customFormat="1" ht="4.5" customHeight="1" x14ac:dyDescent="0.2">
      <c r="A292" s="458"/>
      <c r="B292" s="451"/>
      <c r="C292" s="452"/>
      <c r="D292" s="453"/>
      <c r="E292" s="454"/>
      <c r="F292" s="454"/>
      <c r="G292" s="446"/>
      <c r="H292" s="446"/>
      <c r="I292" s="446"/>
      <c r="J292" s="446"/>
      <c r="K292" s="457"/>
      <c r="L292" s="447"/>
      <c r="M292" s="445"/>
      <c r="N292" s="455"/>
      <c r="O292" s="445">
        <f ca="1">IF(NOT(ISERROR(MATCH(N292,_xlfn.ANCHORARRAY(#REF!),0))),#REF!&amp;"Por favor no seleccionar los criterios de impacto",N292)</f>
        <v>0</v>
      </c>
      <c r="P292" s="447"/>
      <c r="Q292" s="445"/>
      <c r="R292" s="459"/>
      <c r="S292" s="244">
        <v>6</v>
      </c>
      <c r="T292" s="247"/>
      <c r="U292" s="283"/>
      <c r="V292" s="204" t="str">
        <f t="shared" si="533"/>
        <v/>
      </c>
      <c r="W292" s="224"/>
      <c r="X292" s="224"/>
      <c r="Y292" s="205" t="str">
        <f t="shared" si="534"/>
        <v/>
      </c>
      <c r="Z292" s="224"/>
      <c r="AA292" s="224"/>
      <c r="AB292" s="224"/>
      <c r="AC292" s="206" t="str">
        <f t="shared" si="541"/>
        <v/>
      </c>
      <c r="AD292" s="207" t="str">
        <f t="shared" si="537"/>
        <v/>
      </c>
      <c r="AE292" s="205" t="str">
        <f t="shared" si="538"/>
        <v/>
      </c>
      <c r="AF292" s="207" t="str">
        <f t="shared" si="539"/>
        <v/>
      </c>
      <c r="AG292" s="205" t="str">
        <f t="shared" si="542"/>
        <v/>
      </c>
      <c r="AH292" s="208" t="str">
        <f t="shared" si="543"/>
        <v/>
      </c>
      <c r="AI292" s="224"/>
      <c r="AJ292" s="284"/>
      <c r="AK292" s="284"/>
      <c r="AL292" s="284"/>
      <c r="AM292" s="284"/>
      <c r="AN292" s="278"/>
      <c r="AT292" s="293"/>
      <c r="AU292" s="293"/>
      <c r="AV292" s="293"/>
      <c r="AW292" s="293"/>
      <c r="AX292" s="293"/>
      <c r="AY292" s="293"/>
      <c r="AZ292" s="293"/>
      <c r="BA292" s="293"/>
      <c r="BB292" s="293"/>
      <c r="BC292" s="293"/>
      <c r="BD292" s="293"/>
      <c r="BE292" s="293"/>
      <c r="BF292" s="293"/>
      <c r="BG292" s="293"/>
      <c r="BH292" s="293"/>
      <c r="BI292" s="293"/>
      <c r="BJ292" s="293"/>
      <c r="BK292" s="293"/>
      <c r="BL292" s="293"/>
      <c r="BM292" s="293"/>
      <c r="BN292" s="293"/>
      <c r="BO292" s="293"/>
      <c r="BP292" s="293"/>
      <c r="BQ292" s="293"/>
      <c r="BR292" s="293"/>
      <c r="BS292" s="293"/>
      <c r="BT292" s="293"/>
      <c r="BU292" s="293"/>
      <c r="BV292" s="293"/>
      <c r="BW292" s="293"/>
      <c r="BX292" s="293"/>
      <c r="BY292" s="293"/>
      <c r="BZ292" s="293"/>
    </row>
    <row r="293" spans="1:78" s="295" customFormat="1" ht="10.5" customHeight="1" x14ac:dyDescent="0.2">
      <c r="A293" s="307"/>
      <c r="B293" s="307"/>
      <c r="C293" s="308"/>
      <c r="D293" s="308"/>
      <c r="E293" s="309"/>
      <c r="F293" s="310"/>
      <c r="G293" s="309"/>
      <c r="H293" s="311"/>
      <c r="I293" s="312"/>
      <c r="J293" s="312"/>
      <c r="T293" s="313"/>
      <c r="U293" s="312"/>
      <c r="AT293" s="293"/>
      <c r="AU293" s="293"/>
      <c r="AV293" s="293"/>
      <c r="AW293" s="293"/>
      <c r="AX293" s="293"/>
      <c r="AY293" s="293"/>
      <c r="AZ293" s="293"/>
      <c r="BA293" s="293"/>
      <c r="BB293" s="293"/>
      <c r="BC293" s="293"/>
      <c r="BD293" s="293"/>
      <c r="BE293" s="293"/>
      <c r="BF293" s="293"/>
      <c r="BG293" s="293"/>
      <c r="BH293" s="293"/>
      <c r="BI293" s="293"/>
      <c r="BJ293" s="293"/>
      <c r="BK293" s="293"/>
      <c r="BL293" s="293"/>
      <c r="BM293" s="293"/>
      <c r="BN293" s="293"/>
      <c r="BO293" s="293"/>
      <c r="BP293" s="293"/>
      <c r="BQ293" s="293"/>
      <c r="BR293" s="293"/>
      <c r="BS293" s="293"/>
      <c r="BT293" s="293"/>
      <c r="BU293" s="293"/>
      <c r="BV293" s="293"/>
      <c r="BW293" s="293"/>
      <c r="BX293" s="293"/>
      <c r="BY293" s="293"/>
      <c r="BZ293" s="293"/>
    </row>
    <row r="294" spans="1:78" s="295" customFormat="1" ht="12.75" x14ac:dyDescent="0.2">
      <c r="A294" s="307"/>
      <c r="B294" s="307"/>
      <c r="C294" s="308"/>
      <c r="D294" s="308"/>
      <c r="E294" s="309"/>
      <c r="F294" s="309"/>
      <c r="G294" s="309"/>
      <c r="H294" s="314"/>
      <c r="I294" s="312"/>
      <c r="J294" s="312"/>
      <c r="T294" s="313"/>
      <c r="U294" s="312"/>
      <c r="AT294" s="293"/>
      <c r="AU294" s="293"/>
      <c r="AV294" s="293"/>
      <c r="AW294" s="293"/>
      <c r="AX294" s="293"/>
      <c r="AY294" s="293"/>
      <c r="AZ294" s="293"/>
      <c r="BA294" s="293"/>
      <c r="BB294" s="293"/>
      <c r="BC294" s="293"/>
      <c r="BD294" s="293"/>
      <c r="BE294" s="293"/>
      <c r="BF294" s="293"/>
      <c r="BG294" s="293"/>
      <c r="BH294" s="293"/>
      <c r="BI294" s="293"/>
      <c r="BJ294" s="293"/>
      <c r="BK294" s="293"/>
      <c r="BL294" s="293"/>
      <c r="BM294" s="293"/>
      <c r="BN294" s="293"/>
      <c r="BO294" s="293"/>
      <c r="BP294" s="293"/>
      <c r="BQ294" s="293"/>
      <c r="BR294" s="293"/>
      <c r="BS294" s="293"/>
      <c r="BT294" s="293"/>
      <c r="BU294" s="293"/>
      <c r="BV294" s="293"/>
      <c r="BW294" s="293"/>
      <c r="BX294" s="293"/>
      <c r="BY294" s="293"/>
      <c r="BZ294" s="293"/>
    </row>
    <row r="295" spans="1:78" s="295" customFormat="1" ht="12.75" x14ac:dyDescent="0.2">
      <c r="A295" s="307"/>
      <c r="B295" s="307"/>
      <c r="C295" s="308"/>
      <c r="D295" s="308"/>
      <c r="E295" s="309"/>
      <c r="F295" s="309"/>
      <c r="G295" s="309"/>
      <c r="H295" s="314"/>
      <c r="I295" s="312"/>
      <c r="J295" s="312"/>
      <c r="T295" s="313"/>
      <c r="U295" s="312"/>
      <c r="AT295" s="293"/>
      <c r="AU295" s="293"/>
      <c r="AV295" s="293"/>
      <c r="AW295" s="293"/>
      <c r="AX295" s="293"/>
      <c r="AY295" s="293"/>
      <c r="AZ295" s="293"/>
      <c r="BA295" s="293"/>
      <c r="BB295" s="293"/>
      <c r="BC295" s="293"/>
      <c r="BD295" s="293"/>
      <c r="BE295" s="293"/>
      <c r="BF295" s="293"/>
      <c r="BG295" s="293"/>
      <c r="BH295" s="293"/>
      <c r="BI295" s="293"/>
      <c r="BJ295" s="293"/>
      <c r="BK295" s="293"/>
      <c r="BL295" s="293"/>
      <c r="BM295" s="293"/>
      <c r="BN295" s="293"/>
      <c r="BO295" s="293"/>
      <c r="BP295" s="293"/>
      <c r="BQ295" s="293"/>
      <c r="BR295" s="293"/>
      <c r="BS295" s="293"/>
      <c r="BT295" s="293"/>
      <c r="BU295" s="293"/>
      <c r="BV295" s="293"/>
      <c r="BW295" s="293"/>
      <c r="BX295" s="293"/>
      <c r="BY295" s="293"/>
      <c r="BZ295" s="293"/>
    </row>
    <row r="296" spans="1:78" s="295" customFormat="1" ht="1.5" customHeight="1" x14ac:dyDescent="0.2">
      <c r="A296" s="307"/>
      <c r="B296" s="307"/>
      <c r="C296" s="308"/>
      <c r="D296" s="308"/>
      <c r="E296" s="309"/>
      <c r="F296" s="309"/>
      <c r="G296" s="309"/>
      <c r="H296" s="314"/>
      <c r="I296" s="312"/>
      <c r="J296" s="312"/>
      <c r="T296" s="313"/>
      <c r="U296" s="312"/>
      <c r="AT296" s="293"/>
      <c r="AU296" s="293"/>
      <c r="AV296" s="293"/>
      <c r="AW296" s="293"/>
      <c r="AX296" s="293"/>
      <c r="AY296" s="293"/>
      <c r="AZ296" s="293"/>
      <c r="BA296" s="293"/>
      <c r="BB296" s="293"/>
      <c r="BC296" s="293"/>
      <c r="BD296" s="293"/>
      <c r="BE296" s="293"/>
      <c r="BF296" s="293"/>
      <c r="BG296" s="293"/>
      <c r="BH296" s="293"/>
      <c r="BI296" s="293"/>
      <c r="BJ296" s="293"/>
      <c r="BK296" s="293"/>
      <c r="BL296" s="293"/>
      <c r="BM296" s="293"/>
      <c r="BN296" s="293"/>
      <c r="BO296" s="293"/>
      <c r="BP296" s="293"/>
      <c r="BQ296" s="293"/>
      <c r="BR296" s="293"/>
      <c r="BS296" s="293"/>
      <c r="BT296" s="293"/>
      <c r="BU296" s="293"/>
      <c r="BV296" s="293"/>
      <c r="BW296" s="293"/>
      <c r="BX296" s="293"/>
      <c r="BY296" s="293"/>
      <c r="BZ296" s="293"/>
    </row>
    <row r="297" spans="1:78" s="295" customFormat="1" ht="12.75" x14ac:dyDescent="0.2">
      <c r="A297" s="307"/>
      <c r="B297" s="307"/>
      <c r="C297" s="308"/>
      <c r="D297" s="308"/>
      <c r="E297" s="309"/>
      <c r="F297" s="309"/>
      <c r="G297" s="309"/>
      <c r="H297" s="314"/>
      <c r="I297" s="312"/>
      <c r="J297" s="312"/>
      <c r="T297" s="313"/>
      <c r="U297" s="312"/>
      <c r="AT297" s="293"/>
      <c r="AU297" s="293"/>
      <c r="AV297" s="293"/>
      <c r="AW297" s="293"/>
      <c r="AX297" s="293"/>
      <c r="AY297" s="293"/>
      <c r="AZ297" s="293"/>
      <c r="BA297" s="293"/>
      <c r="BB297" s="293"/>
      <c r="BC297" s="293"/>
      <c r="BD297" s="293"/>
      <c r="BE297" s="293"/>
      <c r="BF297" s="293"/>
      <c r="BG297" s="293"/>
      <c r="BH297" s="293"/>
      <c r="BI297" s="293"/>
      <c r="BJ297" s="293"/>
      <c r="BK297" s="293"/>
      <c r="BL297" s="293"/>
      <c r="BM297" s="293"/>
      <c r="BN297" s="293"/>
      <c r="BO297" s="293"/>
      <c r="BP297" s="293"/>
      <c r="BQ297" s="293"/>
      <c r="BR297" s="293"/>
      <c r="BS297" s="293"/>
      <c r="BT297" s="293"/>
      <c r="BU297" s="293"/>
      <c r="BV297" s="293"/>
      <c r="BW297" s="293"/>
      <c r="BX297" s="293"/>
      <c r="BY297" s="293"/>
      <c r="BZ297" s="293"/>
    </row>
    <row r="298" spans="1:78" s="295" customFormat="1" ht="12.75" x14ac:dyDescent="0.2">
      <c r="A298" s="307"/>
      <c r="B298" s="307"/>
      <c r="C298" s="308"/>
      <c r="D298" s="308"/>
      <c r="E298" s="309"/>
      <c r="F298" s="309"/>
      <c r="G298" s="309"/>
      <c r="H298" s="314"/>
      <c r="I298" s="312"/>
      <c r="J298" s="312"/>
      <c r="T298" s="313"/>
      <c r="U298" s="312"/>
      <c r="AT298" s="293"/>
      <c r="AU298" s="293"/>
      <c r="AV298" s="293"/>
      <c r="AW298" s="293"/>
      <c r="AX298" s="293"/>
      <c r="AY298" s="293"/>
      <c r="AZ298" s="293"/>
      <c r="BA298" s="293"/>
      <c r="BB298" s="293"/>
      <c r="BC298" s="293"/>
      <c r="BD298" s="293"/>
      <c r="BE298" s="293"/>
      <c r="BF298" s="293"/>
      <c r="BG298" s="293"/>
      <c r="BH298" s="293"/>
      <c r="BI298" s="293"/>
      <c r="BJ298" s="293"/>
      <c r="BK298" s="293"/>
      <c r="BL298" s="293"/>
      <c r="BM298" s="293"/>
      <c r="BN298" s="293"/>
      <c r="BO298" s="293"/>
      <c r="BP298" s="293"/>
      <c r="BQ298" s="293"/>
      <c r="BR298" s="293"/>
      <c r="BS298" s="293"/>
      <c r="BT298" s="293"/>
      <c r="BU298" s="293"/>
      <c r="BV298" s="293"/>
      <c r="BW298" s="293"/>
      <c r="BX298" s="293"/>
      <c r="BY298" s="293"/>
      <c r="BZ298" s="293"/>
    </row>
    <row r="299" spans="1:78" s="295" customFormat="1" ht="12.75" x14ac:dyDescent="0.2">
      <c r="A299" s="307"/>
      <c r="B299" s="307"/>
      <c r="C299" s="308"/>
      <c r="D299" s="308"/>
      <c r="E299" s="309"/>
      <c r="F299" s="309"/>
      <c r="G299" s="309"/>
      <c r="H299" s="314"/>
      <c r="I299" s="312"/>
      <c r="J299" s="312"/>
      <c r="T299" s="313"/>
      <c r="U299" s="312"/>
      <c r="AT299" s="293"/>
      <c r="AU299" s="293"/>
      <c r="AV299" s="293"/>
      <c r="AW299" s="293"/>
      <c r="AX299" s="293"/>
      <c r="AY299" s="293"/>
      <c r="AZ299" s="293"/>
      <c r="BA299" s="293"/>
      <c r="BB299" s="293"/>
      <c r="BC299" s="293"/>
      <c r="BD299" s="293"/>
      <c r="BE299" s="293"/>
      <c r="BF299" s="293"/>
      <c r="BG299" s="293"/>
      <c r="BH299" s="293"/>
      <c r="BI299" s="293"/>
      <c r="BJ299" s="293"/>
      <c r="BK299" s="293"/>
      <c r="BL299" s="293"/>
      <c r="BM299" s="293"/>
      <c r="BN299" s="293"/>
      <c r="BO299" s="293"/>
      <c r="BP299" s="293"/>
      <c r="BQ299" s="293"/>
      <c r="BR299" s="293"/>
      <c r="BS299" s="293"/>
      <c r="BT299" s="293"/>
      <c r="BU299" s="293"/>
      <c r="BV299" s="293"/>
      <c r="BW299" s="293"/>
      <c r="BX299" s="293"/>
      <c r="BY299" s="293"/>
      <c r="BZ299" s="293"/>
    </row>
    <row r="300" spans="1:78" s="295" customFormat="1" ht="12.75" x14ac:dyDescent="0.2">
      <c r="A300" s="307"/>
      <c r="B300" s="307"/>
      <c r="C300" s="308"/>
      <c r="D300" s="308"/>
      <c r="E300" s="309"/>
      <c r="F300" s="309"/>
      <c r="G300" s="309"/>
      <c r="H300" s="314"/>
      <c r="I300" s="312"/>
      <c r="J300" s="312"/>
      <c r="T300" s="313"/>
      <c r="U300" s="312"/>
      <c r="AT300" s="293"/>
      <c r="AU300" s="293"/>
      <c r="AV300" s="293"/>
      <c r="AW300" s="293"/>
      <c r="AX300" s="293"/>
      <c r="AY300" s="293"/>
      <c r="AZ300" s="293"/>
      <c r="BA300" s="293"/>
      <c r="BB300" s="293"/>
      <c r="BC300" s="293"/>
      <c r="BD300" s="293"/>
      <c r="BE300" s="293"/>
      <c r="BF300" s="293"/>
      <c r="BG300" s="293"/>
      <c r="BH300" s="293"/>
      <c r="BI300" s="293"/>
      <c r="BJ300" s="293"/>
      <c r="BK300" s="293"/>
      <c r="BL300" s="293"/>
      <c r="BM300" s="293"/>
      <c r="BN300" s="293"/>
      <c r="BO300" s="293"/>
      <c r="BP300" s="293"/>
      <c r="BQ300" s="293"/>
      <c r="BR300" s="293"/>
      <c r="BS300" s="293"/>
      <c r="BT300" s="293"/>
      <c r="BU300" s="293"/>
      <c r="BV300" s="293"/>
      <c r="BW300" s="293"/>
      <c r="BX300" s="293"/>
      <c r="BY300" s="293"/>
      <c r="BZ300" s="293"/>
    </row>
    <row r="301" spans="1:78" s="295" customFormat="1" ht="12.75" x14ac:dyDescent="0.2">
      <c r="A301" s="307"/>
      <c r="B301" s="307"/>
      <c r="C301" s="308"/>
      <c r="D301" s="308"/>
      <c r="E301" s="309"/>
      <c r="F301" s="309"/>
      <c r="G301" s="309"/>
      <c r="H301" s="314"/>
      <c r="I301" s="312"/>
      <c r="J301" s="312"/>
      <c r="T301" s="313"/>
      <c r="U301" s="312"/>
      <c r="AT301" s="293"/>
      <c r="AU301" s="293"/>
      <c r="AV301" s="293"/>
      <c r="AW301" s="293"/>
      <c r="AX301" s="293"/>
      <c r="AY301" s="293"/>
      <c r="AZ301" s="293"/>
      <c r="BA301" s="293"/>
      <c r="BB301" s="293"/>
      <c r="BC301" s="293"/>
      <c r="BD301" s="293"/>
      <c r="BE301" s="293"/>
      <c r="BF301" s="293"/>
      <c r="BG301" s="293"/>
      <c r="BH301" s="293"/>
      <c r="BI301" s="293"/>
      <c r="BJ301" s="293"/>
      <c r="BK301" s="293"/>
      <c r="BL301" s="293"/>
      <c r="BM301" s="293"/>
      <c r="BN301" s="293"/>
      <c r="BO301" s="293"/>
      <c r="BP301" s="293"/>
      <c r="BQ301" s="293"/>
      <c r="BR301" s="293"/>
      <c r="BS301" s="293"/>
      <c r="BT301" s="293"/>
      <c r="BU301" s="293"/>
      <c r="BV301" s="293"/>
      <c r="BW301" s="293"/>
      <c r="BX301" s="293"/>
      <c r="BY301" s="293"/>
      <c r="BZ301" s="293"/>
    </row>
    <row r="302" spans="1:78" s="295" customFormat="1" ht="12.75" x14ac:dyDescent="0.2">
      <c r="A302" s="307"/>
      <c r="B302" s="307"/>
      <c r="C302" s="308"/>
      <c r="D302" s="308"/>
      <c r="E302" s="309"/>
      <c r="F302" s="309"/>
      <c r="G302" s="309"/>
      <c r="H302" s="314"/>
      <c r="I302" s="312"/>
      <c r="J302" s="312"/>
      <c r="T302" s="313"/>
      <c r="U302" s="312"/>
      <c r="AT302" s="293"/>
      <c r="AU302" s="293"/>
      <c r="AV302" s="293"/>
      <c r="AW302" s="293"/>
      <c r="AX302" s="293"/>
      <c r="AY302" s="293"/>
      <c r="AZ302" s="293"/>
      <c r="BA302" s="293"/>
      <c r="BB302" s="293"/>
      <c r="BC302" s="293"/>
      <c r="BD302" s="293"/>
      <c r="BE302" s="293"/>
      <c r="BF302" s="293"/>
      <c r="BG302" s="293"/>
      <c r="BH302" s="293"/>
      <c r="BI302" s="293"/>
      <c r="BJ302" s="293"/>
      <c r="BK302" s="293"/>
      <c r="BL302" s="293"/>
      <c r="BM302" s="293"/>
      <c r="BN302" s="293"/>
      <c r="BO302" s="293"/>
      <c r="BP302" s="293"/>
      <c r="BQ302" s="293"/>
      <c r="BR302" s="293"/>
      <c r="BS302" s="293"/>
      <c r="BT302" s="293"/>
      <c r="BU302" s="293"/>
      <c r="BV302" s="293"/>
      <c r="BW302" s="293"/>
      <c r="BX302" s="293"/>
      <c r="BY302" s="293"/>
      <c r="BZ302" s="293"/>
    </row>
    <row r="303" spans="1:78" s="295" customFormat="1" ht="12.75" x14ac:dyDescent="0.2">
      <c r="A303" s="307"/>
      <c r="B303" s="307"/>
      <c r="C303" s="308"/>
      <c r="D303" s="308"/>
      <c r="E303" s="309"/>
      <c r="F303" s="309"/>
      <c r="G303" s="309"/>
      <c r="H303" s="314"/>
      <c r="I303" s="312"/>
      <c r="J303" s="312"/>
      <c r="T303" s="313"/>
      <c r="U303" s="312"/>
      <c r="AT303" s="293"/>
      <c r="AU303" s="293"/>
      <c r="AV303" s="293"/>
      <c r="AW303" s="293"/>
      <c r="AX303" s="293"/>
      <c r="AY303" s="293"/>
      <c r="AZ303" s="293"/>
      <c r="BA303" s="293"/>
      <c r="BB303" s="293"/>
      <c r="BC303" s="293"/>
      <c r="BD303" s="293"/>
      <c r="BE303" s="293"/>
      <c r="BF303" s="293"/>
      <c r="BG303" s="293"/>
      <c r="BH303" s="293"/>
      <c r="BI303" s="293"/>
      <c r="BJ303" s="293"/>
      <c r="BK303" s="293"/>
      <c r="BL303" s="293"/>
      <c r="BM303" s="293"/>
      <c r="BN303" s="293"/>
      <c r="BO303" s="293"/>
      <c r="BP303" s="293"/>
      <c r="BQ303" s="293"/>
      <c r="BR303" s="293"/>
      <c r="BS303" s="293"/>
      <c r="BT303" s="293"/>
      <c r="BU303" s="293"/>
      <c r="BV303" s="293"/>
      <c r="BW303" s="293"/>
      <c r="BX303" s="293"/>
      <c r="BY303" s="293"/>
      <c r="BZ303" s="293"/>
    </row>
    <row r="304" spans="1:78" s="295" customFormat="1" ht="12.75" x14ac:dyDescent="0.2">
      <c r="A304" s="307"/>
      <c r="B304" s="307"/>
      <c r="C304" s="308"/>
      <c r="D304" s="308"/>
      <c r="E304" s="309"/>
      <c r="F304" s="309"/>
      <c r="G304" s="309"/>
      <c r="H304" s="314"/>
      <c r="I304" s="312"/>
      <c r="J304" s="312"/>
      <c r="T304" s="313"/>
      <c r="U304" s="312"/>
      <c r="AT304" s="293"/>
      <c r="AU304" s="293"/>
      <c r="AV304" s="293"/>
      <c r="AW304" s="293"/>
      <c r="AX304" s="293"/>
      <c r="AY304" s="293"/>
      <c r="AZ304" s="293"/>
      <c r="BA304" s="293"/>
      <c r="BB304" s="293"/>
      <c r="BC304" s="293"/>
      <c r="BD304" s="293"/>
      <c r="BE304" s="293"/>
      <c r="BF304" s="293"/>
      <c r="BG304" s="293"/>
      <c r="BH304" s="293"/>
      <c r="BI304" s="293"/>
      <c r="BJ304" s="293"/>
      <c r="BK304" s="293"/>
      <c r="BL304" s="293"/>
      <c r="BM304" s="293"/>
      <c r="BN304" s="293"/>
      <c r="BO304" s="293"/>
      <c r="BP304" s="293"/>
      <c r="BQ304" s="293"/>
      <c r="BR304" s="293"/>
      <c r="BS304" s="293"/>
      <c r="BT304" s="293"/>
      <c r="BU304" s="293"/>
      <c r="BV304" s="293"/>
      <c r="BW304" s="293"/>
      <c r="BX304" s="293"/>
      <c r="BY304" s="293"/>
      <c r="BZ304" s="293"/>
    </row>
    <row r="305" spans="1:78" s="295" customFormat="1" ht="12.75" x14ac:dyDescent="0.2">
      <c r="A305" s="307"/>
      <c r="B305" s="307"/>
      <c r="C305" s="308"/>
      <c r="D305" s="308"/>
      <c r="E305" s="309"/>
      <c r="F305" s="309"/>
      <c r="G305" s="309"/>
      <c r="H305" s="314"/>
      <c r="I305" s="312"/>
      <c r="J305" s="312"/>
      <c r="T305" s="313"/>
      <c r="U305" s="312"/>
      <c r="AT305" s="293"/>
      <c r="AU305" s="293"/>
      <c r="AV305" s="293"/>
      <c r="AW305" s="293"/>
      <c r="AX305" s="293"/>
      <c r="AY305" s="293"/>
      <c r="AZ305" s="293"/>
      <c r="BA305" s="293"/>
      <c r="BB305" s="293"/>
      <c r="BC305" s="293"/>
      <c r="BD305" s="293"/>
      <c r="BE305" s="293"/>
      <c r="BF305" s="293"/>
      <c r="BG305" s="293"/>
      <c r="BH305" s="293"/>
      <c r="BI305" s="293"/>
      <c r="BJ305" s="293"/>
      <c r="BK305" s="293"/>
      <c r="BL305" s="293"/>
      <c r="BM305" s="293"/>
      <c r="BN305" s="293"/>
      <c r="BO305" s="293"/>
      <c r="BP305" s="293"/>
      <c r="BQ305" s="293"/>
      <c r="BR305" s="293"/>
      <c r="BS305" s="293"/>
      <c r="BT305" s="293"/>
      <c r="BU305" s="293"/>
      <c r="BV305" s="293"/>
      <c r="BW305" s="293"/>
      <c r="BX305" s="293"/>
      <c r="BY305" s="293"/>
      <c r="BZ305" s="293"/>
    </row>
    <row r="306" spans="1:78" s="295" customFormat="1" ht="12.75" x14ac:dyDescent="0.2">
      <c r="A306" s="307"/>
      <c r="B306" s="307"/>
      <c r="C306" s="308"/>
      <c r="D306" s="308"/>
      <c r="E306" s="309"/>
      <c r="F306" s="309"/>
      <c r="G306" s="309"/>
      <c r="H306" s="314"/>
      <c r="I306" s="312"/>
      <c r="J306" s="312"/>
      <c r="T306" s="313"/>
      <c r="U306" s="312"/>
      <c r="AT306" s="293"/>
      <c r="AU306" s="293"/>
      <c r="AV306" s="293"/>
      <c r="AW306" s="293"/>
      <c r="AX306" s="293"/>
      <c r="AY306" s="293"/>
      <c r="AZ306" s="293"/>
      <c r="BA306" s="293"/>
      <c r="BB306" s="293"/>
      <c r="BC306" s="293"/>
      <c r="BD306" s="293"/>
      <c r="BE306" s="293"/>
      <c r="BF306" s="293"/>
      <c r="BG306" s="293"/>
      <c r="BH306" s="293"/>
      <c r="BI306" s="293"/>
      <c r="BJ306" s="293"/>
      <c r="BK306" s="293"/>
      <c r="BL306" s="293"/>
      <c r="BM306" s="293"/>
      <c r="BN306" s="293"/>
      <c r="BO306" s="293"/>
      <c r="BP306" s="293"/>
      <c r="BQ306" s="293"/>
      <c r="BR306" s="293"/>
      <c r="BS306" s="293"/>
      <c r="BT306" s="293"/>
      <c r="BU306" s="293"/>
      <c r="BV306" s="293"/>
      <c r="BW306" s="293"/>
      <c r="BX306" s="293"/>
      <c r="BY306" s="293"/>
      <c r="BZ306" s="293"/>
    </row>
    <row r="307" spans="1:78" s="295" customFormat="1" ht="12.75" x14ac:dyDescent="0.2">
      <c r="A307" s="307"/>
      <c r="B307" s="307"/>
      <c r="C307" s="308"/>
      <c r="D307" s="308"/>
      <c r="E307" s="309"/>
      <c r="F307" s="309"/>
      <c r="G307" s="309"/>
      <c r="H307" s="314"/>
      <c r="I307" s="312"/>
      <c r="J307" s="312"/>
      <c r="T307" s="313"/>
      <c r="U307" s="312"/>
      <c r="AT307" s="293"/>
      <c r="AU307" s="293"/>
      <c r="AV307" s="293"/>
      <c r="AW307" s="293"/>
      <c r="AX307" s="293"/>
      <c r="AY307" s="293"/>
      <c r="AZ307" s="293"/>
      <c r="BA307" s="293"/>
      <c r="BB307" s="293"/>
      <c r="BC307" s="293"/>
      <c r="BD307" s="293"/>
      <c r="BE307" s="293"/>
      <c r="BF307" s="293"/>
      <c r="BG307" s="293"/>
      <c r="BH307" s="293"/>
      <c r="BI307" s="293"/>
      <c r="BJ307" s="293"/>
      <c r="BK307" s="293"/>
      <c r="BL307" s="293"/>
      <c r="BM307" s="293"/>
      <c r="BN307" s="293"/>
      <c r="BO307" s="293"/>
      <c r="BP307" s="293"/>
      <c r="BQ307" s="293"/>
      <c r="BR307" s="293"/>
      <c r="BS307" s="293"/>
      <c r="BT307" s="293"/>
      <c r="BU307" s="293"/>
      <c r="BV307" s="293"/>
      <c r="BW307" s="293"/>
      <c r="BX307" s="293"/>
      <c r="BY307" s="293"/>
      <c r="BZ307" s="293"/>
    </row>
    <row r="308" spans="1:78" s="295" customFormat="1" ht="12.75" x14ac:dyDescent="0.2">
      <c r="A308" s="307"/>
      <c r="B308" s="307"/>
      <c r="C308" s="308"/>
      <c r="D308" s="308"/>
      <c r="E308" s="309"/>
      <c r="F308" s="309"/>
      <c r="G308" s="309"/>
      <c r="H308" s="314"/>
      <c r="I308" s="312"/>
      <c r="J308" s="312"/>
      <c r="T308" s="313"/>
      <c r="U308" s="312"/>
      <c r="AT308" s="293"/>
      <c r="AU308" s="293"/>
      <c r="AV308" s="293"/>
      <c r="AW308" s="293"/>
      <c r="AX308" s="293"/>
      <c r="AY308" s="293"/>
      <c r="AZ308" s="293"/>
      <c r="BA308" s="293"/>
      <c r="BB308" s="293"/>
      <c r="BC308" s="293"/>
      <c r="BD308" s="293"/>
      <c r="BE308" s="293"/>
      <c r="BF308" s="293"/>
      <c r="BG308" s="293"/>
      <c r="BH308" s="293"/>
      <c r="BI308" s="293"/>
      <c r="BJ308" s="293"/>
      <c r="BK308" s="293"/>
      <c r="BL308" s="293"/>
      <c r="BM308" s="293"/>
      <c r="BN308" s="293"/>
      <c r="BO308" s="293"/>
      <c r="BP308" s="293"/>
      <c r="BQ308" s="293"/>
      <c r="BR308" s="293"/>
      <c r="BS308" s="293"/>
      <c r="BT308" s="293"/>
      <c r="BU308" s="293"/>
      <c r="BV308" s="293"/>
      <c r="BW308" s="293"/>
      <c r="BX308" s="293"/>
      <c r="BY308" s="293"/>
      <c r="BZ308" s="293"/>
    </row>
    <row r="309" spans="1:78" s="295" customFormat="1" ht="12.75" x14ac:dyDescent="0.2">
      <c r="A309" s="307"/>
      <c r="B309" s="307"/>
      <c r="C309" s="308"/>
      <c r="D309" s="308"/>
      <c r="E309" s="309"/>
      <c r="F309" s="309"/>
      <c r="G309" s="309"/>
      <c r="H309" s="314"/>
      <c r="I309" s="312"/>
      <c r="J309" s="312"/>
      <c r="T309" s="313"/>
      <c r="U309" s="312"/>
      <c r="AT309" s="293"/>
      <c r="AU309" s="293"/>
      <c r="AV309" s="293"/>
      <c r="AW309" s="293"/>
      <c r="AX309" s="293"/>
      <c r="AY309" s="293"/>
      <c r="AZ309" s="293"/>
      <c r="BA309" s="293"/>
      <c r="BB309" s="293"/>
      <c r="BC309" s="293"/>
      <c r="BD309" s="293"/>
      <c r="BE309" s="293"/>
      <c r="BF309" s="293"/>
      <c r="BG309" s="293"/>
      <c r="BH309" s="293"/>
      <c r="BI309" s="293"/>
      <c r="BJ309" s="293"/>
      <c r="BK309" s="293"/>
      <c r="BL309" s="293"/>
      <c r="BM309" s="293"/>
      <c r="BN309" s="293"/>
      <c r="BO309" s="293"/>
      <c r="BP309" s="293"/>
      <c r="BQ309" s="293"/>
      <c r="BR309" s="293"/>
      <c r="BS309" s="293"/>
      <c r="BT309" s="293"/>
      <c r="BU309" s="293"/>
      <c r="BV309" s="293"/>
      <c r="BW309" s="293"/>
      <c r="BX309" s="293"/>
      <c r="BY309" s="293"/>
      <c r="BZ309" s="293"/>
    </row>
    <row r="310" spans="1:78" s="295" customFormat="1" ht="12.75" x14ac:dyDescent="0.2">
      <c r="A310" s="307"/>
      <c r="B310" s="307"/>
      <c r="C310" s="308"/>
      <c r="D310" s="308"/>
      <c r="E310" s="309"/>
      <c r="F310" s="309"/>
      <c r="G310" s="309"/>
      <c r="H310" s="314"/>
      <c r="I310" s="312"/>
      <c r="J310" s="312"/>
      <c r="T310" s="313"/>
      <c r="U310" s="312"/>
      <c r="AT310" s="293"/>
      <c r="AU310" s="293"/>
      <c r="AV310" s="293"/>
      <c r="AW310" s="293"/>
      <c r="AX310" s="293"/>
      <c r="AY310" s="293"/>
      <c r="AZ310" s="293"/>
      <c r="BA310" s="293"/>
      <c r="BB310" s="293"/>
      <c r="BC310" s="293"/>
      <c r="BD310" s="293"/>
      <c r="BE310" s="293"/>
      <c r="BF310" s="293"/>
      <c r="BG310" s="293"/>
      <c r="BH310" s="293"/>
      <c r="BI310" s="293"/>
      <c r="BJ310" s="293"/>
      <c r="BK310" s="293"/>
      <c r="BL310" s="293"/>
      <c r="BM310" s="293"/>
      <c r="BN310" s="293"/>
      <c r="BO310" s="293"/>
      <c r="BP310" s="293"/>
      <c r="BQ310" s="293"/>
      <c r="BR310" s="293"/>
      <c r="BS310" s="293"/>
      <c r="BT310" s="293"/>
      <c r="BU310" s="293"/>
      <c r="BV310" s="293"/>
      <c r="BW310" s="293"/>
      <c r="BX310" s="293"/>
      <c r="BY310" s="293"/>
      <c r="BZ310" s="293"/>
    </row>
    <row r="311" spans="1:78" s="295" customFormat="1" ht="12.75" x14ac:dyDescent="0.2">
      <c r="A311" s="307"/>
      <c r="B311" s="307"/>
      <c r="C311" s="308"/>
      <c r="D311" s="308"/>
      <c r="E311" s="309"/>
      <c r="F311" s="309"/>
      <c r="G311" s="309"/>
      <c r="H311" s="314"/>
      <c r="I311" s="312"/>
      <c r="J311" s="312"/>
      <c r="T311" s="313"/>
      <c r="U311" s="312"/>
      <c r="AT311" s="293"/>
      <c r="AU311" s="293"/>
      <c r="AV311" s="293"/>
      <c r="AW311" s="293"/>
      <c r="AX311" s="293"/>
      <c r="AY311" s="293"/>
      <c r="AZ311" s="293"/>
      <c r="BA311" s="293"/>
      <c r="BB311" s="293"/>
      <c r="BC311" s="293"/>
      <c r="BD311" s="293"/>
      <c r="BE311" s="293"/>
      <c r="BF311" s="293"/>
      <c r="BG311" s="293"/>
      <c r="BH311" s="293"/>
      <c r="BI311" s="293"/>
      <c r="BJ311" s="293"/>
      <c r="BK311" s="293"/>
      <c r="BL311" s="293"/>
      <c r="BM311" s="293"/>
      <c r="BN311" s="293"/>
      <c r="BO311" s="293"/>
      <c r="BP311" s="293"/>
      <c r="BQ311" s="293"/>
      <c r="BR311" s="293"/>
      <c r="BS311" s="293"/>
      <c r="BT311" s="293"/>
      <c r="BU311" s="293"/>
      <c r="BV311" s="293"/>
      <c r="BW311" s="293"/>
      <c r="BX311" s="293"/>
      <c r="BY311" s="293"/>
      <c r="BZ311" s="293"/>
    </row>
    <row r="312" spans="1:78" s="295" customFormat="1" ht="12.75" x14ac:dyDescent="0.2">
      <c r="A312" s="307"/>
      <c r="B312" s="307"/>
      <c r="C312" s="308"/>
      <c r="D312" s="308"/>
      <c r="E312" s="309"/>
      <c r="F312" s="309"/>
      <c r="G312" s="309"/>
      <c r="H312" s="314"/>
      <c r="I312" s="312"/>
      <c r="J312" s="312"/>
      <c r="T312" s="313"/>
      <c r="U312" s="312"/>
      <c r="AT312" s="293"/>
      <c r="AU312" s="293"/>
      <c r="AV312" s="293"/>
      <c r="AW312" s="293"/>
      <c r="AX312" s="293"/>
      <c r="AY312" s="293"/>
      <c r="AZ312" s="293"/>
      <c r="BA312" s="293"/>
      <c r="BB312" s="293"/>
      <c r="BC312" s="293"/>
      <c r="BD312" s="293"/>
      <c r="BE312" s="293"/>
      <c r="BF312" s="293"/>
      <c r="BG312" s="293"/>
      <c r="BH312" s="293"/>
      <c r="BI312" s="293"/>
      <c r="BJ312" s="293"/>
      <c r="BK312" s="293"/>
      <c r="BL312" s="293"/>
      <c r="BM312" s="293"/>
      <c r="BN312" s="293"/>
      <c r="BO312" s="293"/>
      <c r="BP312" s="293"/>
      <c r="BQ312" s="293"/>
      <c r="BR312" s="293"/>
      <c r="BS312" s="293"/>
      <c r="BT312" s="293"/>
      <c r="BU312" s="293"/>
      <c r="BV312" s="293"/>
      <c r="BW312" s="293"/>
      <c r="BX312" s="293"/>
      <c r="BY312" s="293"/>
      <c r="BZ312" s="293"/>
    </row>
    <row r="313" spans="1:78" s="295" customFormat="1" ht="12.75" x14ac:dyDescent="0.2">
      <c r="A313" s="307"/>
      <c r="B313" s="307"/>
      <c r="C313" s="308"/>
      <c r="D313" s="308"/>
      <c r="E313" s="309"/>
      <c r="F313" s="309"/>
      <c r="G313" s="309"/>
      <c r="H313" s="314"/>
      <c r="I313" s="312"/>
      <c r="J313" s="312"/>
      <c r="T313" s="313"/>
      <c r="U313" s="312"/>
      <c r="AT313" s="293"/>
      <c r="AU313" s="293"/>
      <c r="AV313" s="293"/>
      <c r="AW313" s="293"/>
      <c r="AX313" s="293"/>
      <c r="AY313" s="293"/>
      <c r="AZ313" s="293"/>
      <c r="BA313" s="293"/>
      <c r="BB313" s="293"/>
      <c r="BC313" s="293"/>
      <c r="BD313" s="293"/>
      <c r="BE313" s="293"/>
      <c r="BF313" s="293"/>
      <c r="BG313" s="293"/>
      <c r="BH313" s="293"/>
      <c r="BI313" s="293"/>
      <c r="BJ313" s="293"/>
      <c r="BK313" s="293"/>
      <c r="BL313" s="293"/>
      <c r="BM313" s="293"/>
      <c r="BN313" s="293"/>
      <c r="BO313" s="293"/>
      <c r="BP313" s="293"/>
      <c r="BQ313" s="293"/>
      <c r="BR313" s="293"/>
      <c r="BS313" s="293"/>
      <c r="BT313" s="293"/>
      <c r="BU313" s="293"/>
      <c r="BV313" s="293"/>
      <c r="BW313" s="293"/>
      <c r="BX313" s="293"/>
      <c r="BY313" s="293"/>
      <c r="BZ313" s="293"/>
    </row>
    <row r="314" spans="1:78" s="295" customFormat="1" ht="12.75" x14ac:dyDescent="0.2">
      <c r="A314" s="307"/>
      <c r="B314" s="307"/>
      <c r="C314" s="308"/>
      <c r="D314" s="308"/>
      <c r="E314" s="309"/>
      <c r="F314" s="309"/>
      <c r="G314" s="309"/>
      <c r="H314" s="314"/>
      <c r="I314" s="312"/>
      <c r="J314" s="312"/>
      <c r="T314" s="313"/>
      <c r="U314" s="312"/>
      <c r="AT314" s="293"/>
      <c r="AU314" s="293"/>
      <c r="AV314" s="293"/>
      <c r="AW314" s="293"/>
      <c r="AX314" s="293"/>
      <c r="AY314" s="293"/>
      <c r="AZ314" s="293"/>
      <c r="BA314" s="293"/>
      <c r="BB314" s="293"/>
      <c r="BC314" s="293"/>
      <c r="BD314" s="293"/>
      <c r="BE314" s="293"/>
      <c r="BF314" s="293"/>
      <c r="BG314" s="293"/>
      <c r="BH314" s="293"/>
      <c r="BI314" s="293"/>
      <c r="BJ314" s="293"/>
      <c r="BK314" s="293"/>
      <c r="BL314" s="293"/>
      <c r="BM314" s="293"/>
      <c r="BN314" s="293"/>
      <c r="BO314" s="293"/>
      <c r="BP314" s="293"/>
      <c r="BQ314" s="293"/>
      <c r="BR314" s="293"/>
      <c r="BS314" s="293"/>
      <c r="BT314" s="293"/>
      <c r="BU314" s="293"/>
      <c r="BV314" s="293"/>
      <c r="BW314" s="293"/>
      <c r="BX314" s="293"/>
      <c r="BY314" s="293"/>
      <c r="BZ314" s="293"/>
    </row>
    <row r="315" spans="1:78" s="295" customFormat="1" ht="12.75" x14ac:dyDescent="0.2">
      <c r="A315" s="307"/>
      <c r="B315" s="307"/>
      <c r="C315" s="308"/>
      <c r="D315" s="308"/>
      <c r="E315" s="309"/>
      <c r="F315" s="309"/>
      <c r="G315" s="309"/>
      <c r="H315" s="314"/>
      <c r="I315" s="312"/>
      <c r="J315" s="312"/>
      <c r="T315" s="313"/>
      <c r="U315" s="312"/>
      <c r="AT315" s="293"/>
      <c r="AU315" s="293"/>
      <c r="AV315" s="293"/>
      <c r="AW315" s="293"/>
      <c r="AX315" s="293"/>
      <c r="AY315" s="293"/>
      <c r="AZ315" s="293"/>
      <c r="BA315" s="293"/>
      <c r="BB315" s="293"/>
      <c r="BC315" s="293"/>
      <c r="BD315" s="293"/>
      <c r="BE315" s="293"/>
      <c r="BF315" s="293"/>
      <c r="BG315" s="293"/>
      <c r="BH315" s="293"/>
      <c r="BI315" s="293"/>
      <c r="BJ315" s="293"/>
      <c r="BK315" s="293"/>
      <c r="BL315" s="293"/>
      <c r="BM315" s="293"/>
      <c r="BN315" s="293"/>
      <c r="BO315" s="293"/>
      <c r="BP315" s="293"/>
      <c r="BQ315" s="293"/>
      <c r="BR315" s="293"/>
      <c r="BS315" s="293"/>
      <c r="BT315" s="293"/>
      <c r="BU315" s="293"/>
      <c r="BV315" s="293"/>
      <c r="BW315" s="293"/>
      <c r="BX315" s="293"/>
      <c r="BY315" s="293"/>
      <c r="BZ315" s="293"/>
    </row>
    <row r="316" spans="1:78" s="295" customFormat="1" ht="12.75" x14ac:dyDescent="0.2">
      <c r="A316" s="307"/>
      <c r="B316" s="307"/>
      <c r="C316" s="308"/>
      <c r="D316" s="308"/>
      <c r="E316" s="309"/>
      <c r="F316" s="309"/>
      <c r="G316" s="309"/>
      <c r="H316" s="314"/>
      <c r="I316" s="312"/>
      <c r="J316" s="312"/>
      <c r="T316" s="313"/>
      <c r="U316" s="312"/>
      <c r="AT316" s="293"/>
      <c r="AU316" s="293"/>
      <c r="AV316" s="293"/>
      <c r="AW316" s="293"/>
      <c r="AX316" s="293"/>
      <c r="AY316" s="293"/>
      <c r="AZ316" s="293"/>
      <c r="BA316" s="293"/>
      <c r="BB316" s="293"/>
      <c r="BC316" s="293"/>
      <c r="BD316" s="293"/>
      <c r="BE316" s="293"/>
      <c r="BF316" s="293"/>
      <c r="BG316" s="293"/>
      <c r="BH316" s="293"/>
      <c r="BI316" s="293"/>
      <c r="BJ316" s="293"/>
      <c r="BK316" s="293"/>
      <c r="BL316" s="293"/>
      <c r="BM316" s="293"/>
      <c r="BN316" s="293"/>
      <c r="BO316" s="293"/>
      <c r="BP316" s="293"/>
      <c r="BQ316" s="293"/>
      <c r="BR316" s="293"/>
      <c r="BS316" s="293"/>
      <c r="BT316" s="293"/>
      <c r="BU316" s="293"/>
      <c r="BV316" s="293"/>
      <c r="BW316" s="293"/>
      <c r="BX316" s="293"/>
      <c r="BY316" s="293"/>
      <c r="BZ316" s="293"/>
    </row>
    <row r="317" spans="1:78" s="295" customFormat="1" ht="12.75" x14ac:dyDescent="0.2">
      <c r="A317" s="307"/>
      <c r="B317" s="307"/>
      <c r="C317" s="308"/>
      <c r="D317" s="308"/>
      <c r="E317" s="309"/>
      <c r="F317" s="309"/>
      <c r="G317" s="309"/>
      <c r="H317" s="314"/>
      <c r="I317" s="312"/>
      <c r="J317" s="312"/>
      <c r="T317" s="313"/>
      <c r="U317" s="312"/>
      <c r="AT317" s="293"/>
      <c r="AU317" s="293"/>
      <c r="AV317" s="293"/>
      <c r="AW317" s="293"/>
      <c r="AX317" s="293"/>
      <c r="AY317" s="293"/>
      <c r="AZ317" s="293"/>
      <c r="BA317" s="293"/>
      <c r="BB317" s="293"/>
      <c r="BC317" s="293"/>
      <c r="BD317" s="293"/>
      <c r="BE317" s="293"/>
      <c r="BF317" s="293"/>
      <c r="BG317" s="293"/>
      <c r="BH317" s="293"/>
      <c r="BI317" s="293"/>
      <c r="BJ317" s="293"/>
      <c r="BK317" s="293"/>
      <c r="BL317" s="293"/>
      <c r="BM317" s="293"/>
      <c r="BN317" s="293"/>
      <c r="BO317" s="293"/>
      <c r="BP317" s="293"/>
      <c r="BQ317" s="293"/>
      <c r="BR317" s="293"/>
      <c r="BS317" s="293"/>
      <c r="BT317" s="293"/>
      <c r="BU317" s="293"/>
      <c r="BV317" s="293"/>
      <c r="BW317" s="293"/>
      <c r="BX317" s="293"/>
      <c r="BY317" s="293"/>
      <c r="BZ317" s="293"/>
    </row>
    <row r="318" spans="1:78" s="295" customFormat="1" ht="12.75" x14ac:dyDescent="0.2">
      <c r="A318" s="307"/>
      <c r="B318" s="307"/>
      <c r="C318" s="308"/>
      <c r="D318" s="308"/>
      <c r="E318" s="309"/>
      <c r="F318" s="309"/>
      <c r="G318" s="309"/>
      <c r="H318" s="314"/>
      <c r="I318" s="312"/>
      <c r="J318" s="312"/>
      <c r="T318" s="313"/>
      <c r="U318" s="312"/>
      <c r="AT318" s="293"/>
      <c r="AU318" s="293"/>
      <c r="AV318" s="293"/>
      <c r="AW318" s="293"/>
      <c r="AX318" s="293"/>
      <c r="AY318" s="293"/>
      <c r="AZ318" s="293"/>
      <c r="BA318" s="293"/>
      <c r="BB318" s="293"/>
      <c r="BC318" s="293"/>
      <c r="BD318" s="293"/>
      <c r="BE318" s="293"/>
      <c r="BF318" s="293"/>
      <c r="BG318" s="293"/>
      <c r="BH318" s="293"/>
      <c r="BI318" s="293"/>
      <c r="BJ318" s="293"/>
      <c r="BK318" s="293"/>
      <c r="BL318" s="293"/>
      <c r="BM318" s="293"/>
      <c r="BN318" s="293"/>
      <c r="BO318" s="293"/>
      <c r="BP318" s="293"/>
      <c r="BQ318" s="293"/>
      <c r="BR318" s="293"/>
      <c r="BS318" s="293"/>
      <c r="BT318" s="293"/>
      <c r="BU318" s="293"/>
      <c r="BV318" s="293"/>
      <c r="BW318" s="293"/>
      <c r="BX318" s="293"/>
      <c r="BY318" s="293"/>
      <c r="BZ318" s="293"/>
    </row>
    <row r="319" spans="1:78" s="295" customFormat="1" ht="12.75" x14ac:dyDescent="0.2">
      <c r="A319" s="307"/>
      <c r="B319" s="307"/>
      <c r="C319" s="308"/>
      <c r="D319" s="308"/>
      <c r="E319" s="309"/>
      <c r="F319" s="309"/>
      <c r="G319" s="309"/>
      <c r="H319" s="314"/>
      <c r="I319" s="312"/>
      <c r="J319" s="312"/>
      <c r="T319" s="313"/>
      <c r="U319" s="312"/>
      <c r="AT319" s="293"/>
      <c r="AU319" s="293"/>
      <c r="AV319" s="293"/>
      <c r="AW319" s="293"/>
      <c r="AX319" s="293"/>
      <c r="AY319" s="293"/>
      <c r="AZ319" s="293"/>
      <c r="BA319" s="293"/>
      <c r="BB319" s="293"/>
      <c r="BC319" s="293"/>
      <c r="BD319" s="293"/>
      <c r="BE319" s="293"/>
      <c r="BF319" s="293"/>
      <c r="BG319" s="293"/>
      <c r="BH319" s="293"/>
      <c r="BI319" s="293"/>
      <c r="BJ319" s="293"/>
      <c r="BK319" s="293"/>
      <c r="BL319" s="293"/>
      <c r="BM319" s="293"/>
      <c r="BN319" s="293"/>
      <c r="BO319" s="293"/>
      <c r="BP319" s="293"/>
      <c r="BQ319" s="293"/>
      <c r="BR319" s="293"/>
      <c r="BS319" s="293"/>
      <c r="BT319" s="293"/>
      <c r="BU319" s="293"/>
      <c r="BV319" s="293"/>
      <c r="BW319" s="293"/>
      <c r="BX319" s="293"/>
      <c r="BY319" s="293"/>
      <c r="BZ319" s="293"/>
    </row>
    <row r="320" spans="1:78" s="295" customFormat="1" ht="12.75" x14ac:dyDescent="0.2">
      <c r="A320" s="307"/>
      <c r="B320" s="307"/>
      <c r="C320" s="308"/>
      <c r="D320" s="308"/>
      <c r="E320" s="309"/>
      <c r="F320" s="309"/>
      <c r="G320" s="309"/>
      <c r="H320" s="314"/>
      <c r="I320" s="312"/>
      <c r="J320" s="312"/>
      <c r="T320" s="313"/>
      <c r="U320" s="312"/>
      <c r="AT320" s="293"/>
      <c r="AU320" s="293"/>
      <c r="AV320" s="293"/>
      <c r="AW320" s="293"/>
      <c r="AX320" s="293"/>
      <c r="AY320" s="293"/>
      <c r="AZ320" s="293"/>
      <c r="BA320" s="293"/>
      <c r="BB320" s="293"/>
      <c r="BC320" s="293"/>
      <c r="BD320" s="293"/>
      <c r="BE320" s="293"/>
      <c r="BF320" s="293"/>
      <c r="BG320" s="293"/>
      <c r="BH320" s="293"/>
      <c r="BI320" s="293"/>
      <c r="BJ320" s="293"/>
      <c r="BK320" s="293"/>
      <c r="BL320" s="293"/>
      <c r="BM320" s="293"/>
      <c r="BN320" s="293"/>
      <c r="BO320" s="293"/>
      <c r="BP320" s="293"/>
      <c r="BQ320" s="293"/>
      <c r="BR320" s="293"/>
      <c r="BS320" s="293"/>
      <c r="BT320" s="293"/>
      <c r="BU320" s="293"/>
      <c r="BV320" s="293"/>
      <c r="BW320" s="293"/>
      <c r="BX320" s="293"/>
      <c r="BY320" s="293"/>
      <c r="BZ320" s="293"/>
    </row>
    <row r="321" spans="1:78" s="295" customFormat="1" ht="12.75" x14ac:dyDescent="0.2">
      <c r="A321" s="307"/>
      <c r="B321" s="307"/>
      <c r="C321" s="308"/>
      <c r="D321" s="308"/>
      <c r="E321" s="309"/>
      <c r="F321" s="309"/>
      <c r="G321" s="309"/>
      <c r="H321" s="314"/>
      <c r="I321" s="312"/>
      <c r="J321" s="312"/>
      <c r="T321" s="313"/>
      <c r="U321" s="312"/>
      <c r="AT321" s="293"/>
      <c r="AU321" s="293"/>
      <c r="AV321" s="293"/>
      <c r="AW321" s="293"/>
      <c r="AX321" s="293"/>
      <c r="AY321" s="293"/>
      <c r="AZ321" s="293"/>
      <c r="BA321" s="293"/>
      <c r="BB321" s="293"/>
      <c r="BC321" s="293"/>
      <c r="BD321" s="293"/>
      <c r="BE321" s="293"/>
      <c r="BF321" s="293"/>
      <c r="BG321" s="293"/>
      <c r="BH321" s="293"/>
      <c r="BI321" s="293"/>
      <c r="BJ321" s="293"/>
      <c r="BK321" s="293"/>
      <c r="BL321" s="293"/>
      <c r="BM321" s="293"/>
      <c r="BN321" s="293"/>
      <c r="BO321" s="293"/>
      <c r="BP321" s="293"/>
      <c r="BQ321" s="293"/>
      <c r="BR321" s="293"/>
      <c r="BS321" s="293"/>
      <c r="BT321" s="293"/>
      <c r="BU321" s="293"/>
      <c r="BV321" s="293"/>
      <c r="BW321" s="293"/>
      <c r="BX321" s="293"/>
      <c r="BY321" s="293"/>
      <c r="BZ321" s="293"/>
    </row>
    <row r="322" spans="1:78" s="295" customFormat="1" ht="12.75" x14ac:dyDescent="0.2">
      <c r="A322" s="307"/>
      <c r="B322" s="307"/>
      <c r="C322" s="308"/>
      <c r="D322" s="308"/>
      <c r="E322" s="309"/>
      <c r="F322" s="309"/>
      <c r="G322" s="309"/>
      <c r="H322" s="314"/>
      <c r="I322" s="312"/>
      <c r="J322" s="312"/>
      <c r="T322" s="313"/>
      <c r="U322" s="312"/>
      <c r="AT322" s="293"/>
      <c r="AU322" s="293"/>
      <c r="AV322" s="293"/>
      <c r="AW322" s="293"/>
      <c r="AX322" s="293"/>
      <c r="AY322" s="293"/>
      <c r="AZ322" s="293"/>
      <c r="BA322" s="293"/>
      <c r="BB322" s="293"/>
      <c r="BC322" s="293"/>
      <c r="BD322" s="293"/>
      <c r="BE322" s="293"/>
      <c r="BF322" s="293"/>
      <c r="BG322" s="293"/>
      <c r="BH322" s="293"/>
      <c r="BI322" s="293"/>
      <c r="BJ322" s="293"/>
      <c r="BK322" s="293"/>
      <c r="BL322" s="293"/>
      <c r="BM322" s="293"/>
      <c r="BN322" s="293"/>
      <c r="BO322" s="293"/>
      <c r="BP322" s="293"/>
      <c r="BQ322" s="293"/>
      <c r="BR322" s="293"/>
      <c r="BS322" s="293"/>
      <c r="BT322" s="293"/>
      <c r="BU322" s="293"/>
      <c r="BV322" s="293"/>
      <c r="BW322" s="293"/>
      <c r="BX322" s="293"/>
      <c r="BY322" s="293"/>
      <c r="BZ322" s="293"/>
    </row>
    <row r="323" spans="1:78" s="295" customFormat="1" ht="12.75" x14ac:dyDescent="0.2">
      <c r="A323" s="307"/>
      <c r="B323" s="307"/>
      <c r="C323" s="308"/>
      <c r="D323" s="308"/>
      <c r="E323" s="309"/>
      <c r="F323" s="309"/>
      <c r="G323" s="309"/>
      <c r="H323" s="314"/>
      <c r="I323" s="312"/>
      <c r="J323" s="312"/>
      <c r="T323" s="313"/>
      <c r="U323" s="312"/>
      <c r="AT323" s="293"/>
      <c r="AU323" s="293"/>
      <c r="AV323" s="293"/>
      <c r="AW323" s="293"/>
      <c r="AX323" s="293"/>
      <c r="AY323" s="293"/>
      <c r="AZ323" s="293"/>
      <c r="BA323" s="293"/>
      <c r="BB323" s="293"/>
      <c r="BC323" s="293"/>
      <c r="BD323" s="293"/>
      <c r="BE323" s="293"/>
      <c r="BF323" s="293"/>
      <c r="BG323" s="293"/>
      <c r="BH323" s="293"/>
      <c r="BI323" s="293"/>
      <c r="BJ323" s="293"/>
      <c r="BK323" s="293"/>
      <c r="BL323" s="293"/>
      <c r="BM323" s="293"/>
      <c r="BN323" s="293"/>
      <c r="BO323" s="293"/>
      <c r="BP323" s="293"/>
      <c r="BQ323" s="293"/>
      <c r="BR323" s="293"/>
      <c r="BS323" s="293"/>
      <c r="BT323" s="293"/>
      <c r="BU323" s="293"/>
      <c r="BV323" s="293"/>
      <c r="BW323" s="293"/>
      <c r="BX323" s="293"/>
      <c r="BY323" s="293"/>
      <c r="BZ323" s="293"/>
    </row>
    <row r="324" spans="1:78" s="295" customFormat="1" ht="12.75" x14ac:dyDescent="0.2">
      <c r="A324" s="307"/>
      <c r="B324" s="307"/>
      <c r="C324" s="308"/>
      <c r="D324" s="308"/>
      <c r="E324" s="309"/>
      <c r="F324" s="309"/>
      <c r="G324" s="309"/>
      <c r="H324" s="314"/>
      <c r="I324" s="312"/>
      <c r="J324" s="312"/>
      <c r="T324" s="313"/>
      <c r="U324" s="312"/>
      <c r="AT324" s="293"/>
      <c r="AU324" s="293"/>
      <c r="AV324" s="293"/>
      <c r="AW324" s="293"/>
      <c r="AX324" s="293"/>
      <c r="AY324" s="293"/>
      <c r="AZ324" s="293"/>
      <c r="BA324" s="293"/>
      <c r="BB324" s="293"/>
      <c r="BC324" s="293"/>
      <c r="BD324" s="293"/>
      <c r="BE324" s="293"/>
      <c r="BF324" s="293"/>
      <c r="BG324" s="293"/>
      <c r="BH324" s="293"/>
      <c r="BI324" s="293"/>
      <c r="BJ324" s="293"/>
      <c r="BK324" s="293"/>
      <c r="BL324" s="293"/>
      <c r="BM324" s="293"/>
      <c r="BN324" s="293"/>
      <c r="BO324" s="293"/>
      <c r="BP324" s="293"/>
      <c r="BQ324" s="293"/>
      <c r="BR324" s="293"/>
      <c r="BS324" s="293"/>
      <c r="BT324" s="293"/>
      <c r="BU324" s="293"/>
      <c r="BV324" s="293"/>
      <c r="BW324" s="293"/>
      <c r="BX324" s="293"/>
      <c r="BY324" s="293"/>
      <c r="BZ324" s="293"/>
    </row>
    <row r="325" spans="1:78" s="295" customFormat="1" ht="12.75" x14ac:dyDescent="0.2">
      <c r="A325" s="307"/>
      <c r="B325" s="307"/>
      <c r="C325" s="308"/>
      <c r="D325" s="308"/>
      <c r="E325" s="309"/>
      <c r="F325" s="309"/>
      <c r="G325" s="309"/>
      <c r="H325" s="314"/>
      <c r="I325" s="312"/>
      <c r="J325" s="312"/>
      <c r="T325" s="313"/>
      <c r="U325" s="312"/>
      <c r="AT325" s="293"/>
      <c r="AU325" s="293"/>
      <c r="AV325" s="293"/>
      <c r="AW325" s="293"/>
      <c r="AX325" s="293"/>
      <c r="AY325" s="293"/>
      <c r="AZ325" s="293"/>
      <c r="BA325" s="293"/>
      <c r="BB325" s="293"/>
      <c r="BC325" s="293"/>
      <c r="BD325" s="293"/>
      <c r="BE325" s="293"/>
      <c r="BF325" s="293"/>
      <c r="BG325" s="293"/>
      <c r="BH325" s="293"/>
      <c r="BI325" s="293"/>
      <c r="BJ325" s="293"/>
      <c r="BK325" s="293"/>
      <c r="BL325" s="293"/>
      <c r="BM325" s="293"/>
      <c r="BN325" s="293"/>
      <c r="BO325" s="293"/>
      <c r="BP325" s="293"/>
      <c r="BQ325" s="293"/>
      <c r="BR325" s="293"/>
      <c r="BS325" s="293"/>
      <c r="BT325" s="293"/>
      <c r="BU325" s="293"/>
      <c r="BV325" s="293"/>
      <c r="BW325" s="293"/>
      <c r="BX325" s="293"/>
      <c r="BY325" s="293"/>
      <c r="BZ325" s="293"/>
    </row>
    <row r="326" spans="1:78" s="295" customFormat="1" ht="12.75" x14ac:dyDescent="0.2">
      <c r="A326" s="307"/>
      <c r="B326" s="307"/>
      <c r="C326" s="308"/>
      <c r="D326" s="308"/>
      <c r="E326" s="309"/>
      <c r="F326" s="309"/>
      <c r="G326" s="309"/>
      <c r="H326" s="314"/>
      <c r="I326" s="312"/>
      <c r="J326" s="312"/>
      <c r="T326" s="313"/>
      <c r="U326" s="312"/>
      <c r="AT326" s="293"/>
      <c r="AU326" s="293"/>
      <c r="AV326" s="293"/>
      <c r="AW326" s="293"/>
      <c r="AX326" s="293"/>
      <c r="AY326" s="293"/>
      <c r="AZ326" s="293"/>
      <c r="BA326" s="293"/>
      <c r="BB326" s="293"/>
      <c r="BC326" s="293"/>
      <c r="BD326" s="293"/>
      <c r="BE326" s="293"/>
      <c r="BF326" s="293"/>
      <c r="BG326" s="293"/>
      <c r="BH326" s="293"/>
      <c r="BI326" s="293"/>
      <c r="BJ326" s="293"/>
      <c r="BK326" s="293"/>
      <c r="BL326" s="293"/>
      <c r="BM326" s="293"/>
      <c r="BN326" s="293"/>
      <c r="BO326" s="293"/>
      <c r="BP326" s="293"/>
      <c r="BQ326" s="293"/>
      <c r="BR326" s="293"/>
      <c r="BS326" s="293"/>
      <c r="BT326" s="293"/>
      <c r="BU326" s="293"/>
      <c r="BV326" s="293"/>
      <c r="BW326" s="293"/>
      <c r="BX326" s="293"/>
      <c r="BY326" s="293"/>
      <c r="BZ326" s="293"/>
    </row>
    <row r="327" spans="1:78" s="295" customFormat="1" ht="12.75" x14ac:dyDescent="0.2">
      <c r="A327" s="307"/>
      <c r="B327" s="307"/>
      <c r="C327" s="308"/>
      <c r="D327" s="308"/>
      <c r="E327" s="309"/>
      <c r="F327" s="309"/>
      <c r="G327" s="309"/>
      <c r="H327" s="314"/>
      <c r="I327" s="312"/>
      <c r="J327" s="312"/>
      <c r="T327" s="313"/>
      <c r="U327" s="312"/>
      <c r="AT327" s="293"/>
      <c r="AU327" s="293"/>
      <c r="AV327" s="293"/>
      <c r="AW327" s="293"/>
      <c r="AX327" s="293"/>
      <c r="AY327" s="293"/>
      <c r="AZ327" s="293"/>
      <c r="BA327" s="293"/>
      <c r="BB327" s="293"/>
      <c r="BC327" s="293"/>
      <c r="BD327" s="293"/>
      <c r="BE327" s="293"/>
      <c r="BF327" s="293"/>
      <c r="BG327" s="293"/>
      <c r="BH327" s="293"/>
      <c r="BI327" s="293"/>
      <c r="BJ327" s="293"/>
      <c r="BK327" s="293"/>
      <c r="BL327" s="293"/>
      <c r="BM327" s="293"/>
      <c r="BN327" s="293"/>
      <c r="BO327" s="293"/>
      <c r="BP327" s="293"/>
      <c r="BQ327" s="293"/>
      <c r="BR327" s="293"/>
      <c r="BS327" s="293"/>
      <c r="BT327" s="293"/>
      <c r="BU327" s="293"/>
      <c r="BV327" s="293"/>
      <c r="BW327" s="293"/>
      <c r="BX327" s="293"/>
      <c r="BY327" s="293"/>
      <c r="BZ327" s="293"/>
    </row>
    <row r="328" spans="1:78" s="295" customFormat="1" ht="12.75" x14ac:dyDescent="0.2">
      <c r="A328" s="307"/>
      <c r="B328" s="307"/>
      <c r="C328" s="308"/>
      <c r="D328" s="308"/>
      <c r="E328" s="309"/>
      <c r="F328" s="309"/>
      <c r="G328" s="309"/>
      <c r="H328" s="314"/>
      <c r="I328" s="312"/>
      <c r="J328" s="312"/>
      <c r="T328" s="313"/>
      <c r="U328" s="312"/>
      <c r="AT328" s="293"/>
      <c r="AU328" s="293"/>
      <c r="AV328" s="293"/>
      <c r="AW328" s="293"/>
      <c r="AX328" s="293"/>
      <c r="AY328" s="293"/>
      <c r="AZ328" s="293"/>
      <c r="BA328" s="293"/>
      <c r="BB328" s="293"/>
      <c r="BC328" s="293"/>
      <c r="BD328" s="293"/>
      <c r="BE328" s="293"/>
      <c r="BF328" s="293"/>
      <c r="BG328" s="293"/>
      <c r="BH328" s="293"/>
      <c r="BI328" s="293"/>
      <c r="BJ328" s="293"/>
      <c r="BK328" s="293"/>
      <c r="BL328" s="293"/>
      <c r="BM328" s="293"/>
      <c r="BN328" s="293"/>
      <c r="BO328" s="293"/>
      <c r="BP328" s="293"/>
      <c r="BQ328" s="293"/>
      <c r="BR328" s="293"/>
      <c r="BS328" s="293"/>
      <c r="BT328" s="293"/>
      <c r="BU328" s="293"/>
      <c r="BV328" s="293"/>
      <c r="BW328" s="293"/>
      <c r="BX328" s="293"/>
      <c r="BY328" s="293"/>
      <c r="BZ328" s="293"/>
    </row>
    <row r="329" spans="1:78" s="295" customFormat="1" ht="12.75" x14ac:dyDescent="0.2">
      <c r="A329" s="307"/>
      <c r="B329" s="307"/>
      <c r="C329" s="308"/>
      <c r="D329" s="308"/>
      <c r="E329" s="309"/>
      <c r="F329" s="309"/>
      <c r="G329" s="309"/>
      <c r="H329" s="314"/>
      <c r="I329" s="312"/>
      <c r="J329" s="312"/>
      <c r="T329" s="313"/>
      <c r="U329" s="312"/>
      <c r="AT329" s="293"/>
      <c r="AU329" s="293"/>
      <c r="AV329" s="293"/>
      <c r="AW329" s="293"/>
      <c r="AX329" s="293"/>
      <c r="AY329" s="293"/>
      <c r="AZ329" s="293"/>
      <c r="BA329" s="293"/>
      <c r="BB329" s="293"/>
      <c r="BC329" s="293"/>
      <c r="BD329" s="293"/>
      <c r="BE329" s="293"/>
      <c r="BF329" s="293"/>
      <c r="BG329" s="293"/>
      <c r="BH329" s="293"/>
      <c r="BI329" s="293"/>
      <c r="BJ329" s="293"/>
      <c r="BK329" s="293"/>
      <c r="BL329" s="293"/>
      <c r="BM329" s="293"/>
      <c r="BN329" s="293"/>
      <c r="BO329" s="293"/>
      <c r="BP329" s="293"/>
      <c r="BQ329" s="293"/>
      <c r="BR329" s="293"/>
      <c r="BS329" s="293"/>
      <c r="BT329" s="293"/>
      <c r="BU329" s="293"/>
      <c r="BV329" s="293"/>
      <c r="BW329" s="293"/>
      <c r="BX329" s="293"/>
      <c r="BY329" s="293"/>
      <c r="BZ329" s="293"/>
    </row>
    <row r="330" spans="1:78" s="295" customFormat="1" ht="12.75" x14ac:dyDescent="0.2">
      <c r="A330" s="307"/>
      <c r="B330" s="307"/>
      <c r="C330" s="308"/>
      <c r="D330" s="308"/>
      <c r="E330" s="309"/>
      <c r="F330" s="309"/>
      <c r="G330" s="309"/>
      <c r="H330" s="314"/>
      <c r="I330" s="312"/>
      <c r="J330" s="312"/>
      <c r="T330" s="313"/>
      <c r="U330" s="312"/>
      <c r="AT330" s="293"/>
      <c r="AU330" s="293"/>
      <c r="AV330" s="293"/>
      <c r="AW330" s="293"/>
      <c r="AX330" s="293"/>
      <c r="AY330" s="293"/>
      <c r="AZ330" s="293"/>
      <c r="BA330" s="293"/>
      <c r="BB330" s="293"/>
      <c r="BC330" s="293"/>
      <c r="BD330" s="293"/>
      <c r="BE330" s="293"/>
      <c r="BF330" s="293"/>
      <c r="BG330" s="293"/>
      <c r="BH330" s="293"/>
      <c r="BI330" s="293"/>
      <c r="BJ330" s="293"/>
      <c r="BK330" s="293"/>
      <c r="BL330" s="293"/>
      <c r="BM330" s="293"/>
      <c r="BN330" s="293"/>
      <c r="BO330" s="293"/>
      <c r="BP330" s="293"/>
      <c r="BQ330" s="293"/>
      <c r="BR330" s="293"/>
      <c r="BS330" s="293"/>
      <c r="BT330" s="293"/>
      <c r="BU330" s="293"/>
      <c r="BV330" s="293"/>
      <c r="BW330" s="293"/>
      <c r="BX330" s="293"/>
      <c r="BY330" s="293"/>
      <c r="BZ330" s="293"/>
    </row>
    <row r="331" spans="1:78" s="295" customFormat="1" ht="12.75" x14ac:dyDescent="0.2">
      <c r="A331" s="307"/>
      <c r="B331" s="307"/>
      <c r="C331" s="308"/>
      <c r="D331" s="308"/>
      <c r="E331" s="309"/>
      <c r="F331" s="309"/>
      <c r="G331" s="309"/>
      <c r="H331" s="314"/>
      <c r="I331" s="312"/>
      <c r="J331" s="312"/>
      <c r="T331" s="313"/>
      <c r="U331" s="312"/>
      <c r="AT331" s="293"/>
      <c r="AU331" s="293"/>
      <c r="AV331" s="293"/>
      <c r="AW331" s="293"/>
      <c r="AX331" s="293"/>
      <c r="AY331" s="293"/>
      <c r="AZ331" s="293"/>
      <c r="BA331" s="293"/>
      <c r="BB331" s="293"/>
      <c r="BC331" s="293"/>
      <c r="BD331" s="293"/>
      <c r="BE331" s="293"/>
      <c r="BF331" s="293"/>
      <c r="BG331" s="293"/>
      <c r="BH331" s="293"/>
      <c r="BI331" s="293"/>
      <c r="BJ331" s="293"/>
      <c r="BK331" s="293"/>
      <c r="BL331" s="293"/>
      <c r="BM331" s="293"/>
      <c r="BN331" s="293"/>
      <c r="BO331" s="293"/>
      <c r="BP331" s="293"/>
      <c r="BQ331" s="293"/>
      <c r="BR331" s="293"/>
      <c r="BS331" s="293"/>
      <c r="BT331" s="293"/>
      <c r="BU331" s="293"/>
      <c r="BV331" s="293"/>
      <c r="BW331" s="293"/>
      <c r="BX331" s="293"/>
      <c r="BY331" s="293"/>
      <c r="BZ331" s="293"/>
    </row>
    <row r="332" spans="1:78" s="295" customFormat="1" ht="12.75" x14ac:dyDescent="0.2">
      <c r="A332" s="307"/>
      <c r="B332" s="307"/>
      <c r="C332" s="308"/>
      <c r="D332" s="308"/>
      <c r="E332" s="309"/>
      <c r="F332" s="309"/>
      <c r="G332" s="309"/>
      <c r="H332" s="314"/>
      <c r="I332" s="312"/>
      <c r="J332" s="312"/>
      <c r="T332" s="313"/>
      <c r="U332" s="312"/>
      <c r="AT332" s="293"/>
      <c r="AU332" s="293"/>
      <c r="AV332" s="293"/>
      <c r="AW332" s="293"/>
      <c r="AX332" s="293"/>
      <c r="AY332" s="293"/>
      <c r="AZ332" s="293"/>
      <c r="BA332" s="293"/>
      <c r="BB332" s="293"/>
      <c r="BC332" s="293"/>
      <c r="BD332" s="293"/>
      <c r="BE332" s="293"/>
      <c r="BF332" s="293"/>
      <c r="BG332" s="293"/>
      <c r="BH332" s="293"/>
      <c r="BI332" s="293"/>
      <c r="BJ332" s="293"/>
      <c r="BK332" s="293"/>
      <c r="BL332" s="293"/>
      <c r="BM332" s="293"/>
      <c r="BN332" s="293"/>
      <c r="BO332" s="293"/>
      <c r="BP332" s="293"/>
      <c r="BQ332" s="293"/>
      <c r="BR332" s="293"/>
      <c r="BS332" s="293"/>
      <c r="BT332" s="293"/>
      <c r="BU332" s="293"/>
      <c r="BV332" s="293"/>
      <c r="BW332" s="293"/>
      <c r="BX332" s="293"/>
      <c r="BY332" s="293"/>
      <c r="BZ332" s="293"/>
    </row>
    <row r="333" spans="1:78" s="295" customFormat="1" ht="12.75" x14ac:dyDescent="0.2">
      <c r="A333" s="307"/>
      <c r="B333" s="307"/>
      <c r="C333" s="308"/>
      <c r="D333" s="308"/>
      <c r="E333" s="309"/>
      <c r="F333" s="309"/>
      <c r="G333" s="309"/>
      <c r="H333" s="314"/>
      <c r="I333" s="312"/>
      <c r="J333" s="312"/>
      <c r="T333" s="313"/>
      <c r="U333" s="312"/>
      <c r="AT333" s="293"/>
      <c r="AU333" s="293"/>
      <c r="AV333" s="293"/>
      <c r="AW333" s="293"/>
      <c r="AX333" s="293"/>
      <c r="AY333" s="293"/>
      <c r="AZ333" s="293"/>
      <c r="BA333" s="293"/>
      <c r="BB333" s="293"/>
      <c r="BC333" s="293"/>
      <c r="BD333" s="293"/>
      <c r="BE333" s="293"/>
      <c r="BF333" s="293"/>
      <c r="BG333" s="293"/>
      <c r="BH333" s="293"/>
      <c r="BI333" s="293"/>
      <c r="BJ333" s="293"/>
      <c r="BK333" s="293"/>
      <c r="BL333" s="293"/>
      <c r="BM333" s="293"/>
      <c r="BN333" s="293"/>
      <c r="BO333" s="293"/>
      <c r="BP333" s="293"/>
      <c r="BQ333" s="293"/>
      <c r="BR333" s="293"/>
      <c r="BS333" s="293"/>
      <c r="BT333" s="293"/>
      <c r="BU333" s="293"/>
      <c r="BV333" s="293"/>
      <c r="BW333" s="293"/>
      <c r="BX333" s="293"/>
      <c r="BY333" s="293"/>
      <c r="BZ333" s="293"/>
    </row>
    <row r="334" spans="1:78" s="295" customFormat="1" ht="12.75" x14ac:dyDescent="0.2">
      <c r="A334" s="307"/>
      <c r="B334" s="307"/>
      <c r="C334" s="308"/>
      <c r="D334" s="308"/>
      <c r="E334" s="309"/>
      <c r="F334" s="309"/>
      <c r="G334" s="309"/>
      <c r="H334" s="314"/>
      <c r="I334" s="312"/>
      <c r="J334" s="312"/>
      <c r="T334" s="313"/>
      <c r="U334" s="312"/>
      <c r="AT334" s="293"/>
      <c r="AU334" s="293"/>
      <c r="AV334" s="293"/>
      <c r="AW334" s="293"/>
      <c r="AX334" s="293"/>
      <c r="AY334" s="293"/>
      <c r="AZ334" s="293"/>
      <c r="BA334" s="293"/>
      <c r="BB334" s="293"/>
      <c r="BC334" s="293"/>
      <c r="BD334" s="293"/>
      <c r="BE334" s="293"/>
      <c r="BF334" s="293"/>
      <c r="BG334" s="293"/>
      <c r="BH334" s="293"/>
      <c r="BI334" s="293"/>
      <c r="BJ334" s="293"/>
      <c r="BK334" s="293"/>
      <c r="BL334" s="293"/>
      <c r="BM334" s="293"/>
      <c r="BN334" s="293"/>
      <c r="BO334" s="293"/>
      <c r="BP334" s="293"/>
      <c r="BQ334" s="293"/>
      <c r="BR334" s="293"/>
      <c r="BS334" s="293"/>
      <c r="BT334" s="293"/>
      <c r="BU334" s="293"/>
      <c r="BV334" s="293"/>
      <c r="BW334" s="293"/>
      <c r="BX334" s="293"/>
      <c r="BY334" s="293"/>
      <c r="BZ334" s="293"/>
    </row>
    <row r="335" spans="1:78" s="295" customFormat="1" ht="12.75" x14ac:dyDescent="0.2">
      <c r="A335" s="307"/>
      <c r="B335" s="307"/>
      <c r="C335" s="308"/>
      <c r="D335" s="308"/>
      <c r="E335" s="309"/>
      <c r="F335" s="309"/>
      <c r="G335" s="309"/>
      <c r="H335" s="314"/>
      <c r="I335" s="312"/>
      <c r="J335" s="312"/>
      <c r="T335" s="313"/>
      <c r="U335" s="312"/>
      <c r="AT335" s="293"/>
      <c r="AU335" s="293"/>
      <c r="AV335" s="293"/>
      <c r="AW335" s="293"/>
      <c r="AX335" s="293"/>
      <c r="AY335" s="293"/>
      <c r="AZ335" s="293"/>
      <c r="BA335" s="293"/>
      <c r="BB335" s="293"/>
      <c r="BC335" s="293"/>
      <c r="BD335" s="293"/>
      <c r="BE335" s="293"/>
      <c r="BF335" s="293"/>
      <c r="BG335" s="293"/>
      <c r="BH335" s="293"/>
      <c r="BI335" s="293"/>
      <c r="BJ335" s="293"/>
      <c r="BK335" s="293"/>
      <c r="BL335" s="293"/>
      <c r="BM335" s="293"/>
      <c r="BN335" s="293"/>
      <c r="BO335" s="293"/>
      <c r="BP335" s="293"/>
      <c r="BQ335" s="293"/>
      <c r="BR335" s="293"/>
      <c r="BS335" s="293"/>
      <c r="BT335" s="293"/>
      <c r="BU335" s="293"/>
      <c r="BV335" s="293"/>
      <c r="BW335" s="293"/>
      <c r="BX335" s="293"/>
      <c r="BY335" s="293"/>
      <c r="BZ335" s="293"/>
    </row>
    <row r="336" spans="1:78" s="295" customFormat="1" ht="12.75" x14ac:dyDescent="0.2">
      <c r="A336" s="307"/>
      <c r="B336" s="307"/>
      <c r="C336" s="308"/>
      <c r="D336" s="308"/>
      <c r="E336" s="309"/>
      <c r="F336" s="309"/>
      <c r="G336" s="309"/>
      <c r="H336" s="314"/>
      <c r="I336" s="312"/>
      <c r="J336" s="312"/>
      <c r="T336" s="313"/>
      <c r="U336" s="312"/>
      <c r="AT336" s="293"/>
      <c r="AU336" s="293"/>
      <c r="AV336" s="293"/>
      <c r="AW336" s="293"/>
      <c r="AX336" s="293"/>
      <c r="AY336" s="293"/>
      <c r="AZ336" s="293"/>
      <c r="BA336" s="293"/>
      <c r="BB336" s="293"/>
      <c r="BC336" s="293"/>
      <c r="BD336" s="293"/>
      <c r="BE336" s="293"/>
      <c r="BF336" s="293"/>
      <c r="BG336" s="293"/>
      <c r="BH336" s="293"/>
      <c r="BI336" s="293"/>
      <c r="BJ336" s="293"/>
      <c r="BK336" s="293"/>
      <c r="BL336" s="293"/>
      <c r="BM336" s="293"/>
      <c r="BN336" s="293"/>
      <c r="BO336" s="293"/>
      <c r="BP336" s="293"/>
      <c r="BQ336" s="293"/>
      <c r="BR336" s="293"/>
      <c r="BS336" s="293"/>
      <c r="BT336" s="293"/>
      <c r="BU336" s="293"/>
      <c r="BV336" s="293"/>
      <c r="BW336" s="293"/>
      <c r="BX336" s="293"/>
      <c r="BY336" s="293"/>
      <c r="BZ336" s="293"/>
    </row>
    <row r="337" spans="1:78" s="295" customFormat="1" ht="12.75" x14ac:dyDescent="0.2">
      <c r="A337" s="307"/>
      <c r="B337" s="307"/>
      <c r="C337" s="308"/>
      <c r="D337" s="308"/>
      <c r="E337" s="309"/>
      <c r="F337" s="309"/>
      <c r="G337" s="309"/>
      <c r="H337" s="314"/>
      <c r="I337" s="312"/>
      <c r="J337" s="312"/>
      <c r="T337" s="313"/>
      <c r="U337" s="312"/>
      <c r="AT337" s="293"/>
      <c r="AU337" s="293"/>
      <c r="AV337" s="293"/>
      <c r="AW337" s="293"/>
      <c r="AX337" s="293"/>
      <c r="AY337" s="293"/>
      <c r="AZ337" s="293"/>
      <c r="BA337" s="293"/>
      <c r="BB337" s="293"/>
      <c r="BC337" s="293"/>
      <c r="BD337" s="293"/>
      <c r="BE337" s="293"/>
      <c r="BF337" s="293"/>
      <c r="BG337" s="293"/>
      <c r="BH337" s="293"/>
      <c r="BI337" s="293"/>
      <c r="BJ337" s="293"/>
      <c r="BK337" s="293"/>
      <c r="BL337" s="293"/>
      <c r="BM337" s="293"/>
      <c r="BN337" s="293"/>
      <c r="BO337" s="293"/>
      <c r="BP337" s="293"/>
      <c r="BQ337" s="293"/>
      <c r="BR337" s="293"/>
      <c r="BS337" s="293"/>
      <c r="BT337" s="293"/>
      <c r="BU337" s="293"/>
      <c r="BV337" s="293"/>
      <c r="BW337" s="293"/>
      <c r="BX337" s="293"/>
      <c r="BY337" s="293"/>
      <c r="BZ337" s="293"/>
    </row>
    <row r="338" spans="1:78" s="295" customFormat="1" ht="12.75" x14ac:dyDescent="0.2">
      <c r="A338" s="307"/>
      <c r="B338" s="307"/>
      <c r="C338" s="308"/>
      <c r="D338" s="308"/>
      <c r="E338" s="309"/>
      <c r="F338" s="309"/>
      <c r="G338" s="309"/>
      <c r="H338" s="314"/>
      <c r="I338" s="312"/>
      <c r="J338" s="312"/>
      <c r="T338" s="313"/>
      <c r="U338" s="312"/>
      <c r="AT338" s="293"/>
      <c r="AU338" s="293"/>
      <c r="AV338" s="293"/>
      <c r="AW338" s="293"/>
      <c r="AX338" s="293"/>
      <c r="AY338" s="293"/>
      <c r="AZ338" s="293"/>
      <c r="BA338" s="293"/>
      <c r="BB338" s="293"/>
      <c r="BC338" s="293"/>
      <c r="BD338" s="293"/>
      <c r="BE338" s="293"/>
      <c r="BF338" s="293"/>
      <c r="BG338" s="293"/>
      <c r="BH338" s="293"/>
      <c r="BI338" s="293"/>
      <c r="BJ338" s="293"/>
      <c r="BK338" s="293"/>
      <c r="BL338" s="293"/>
      <c r="BM338" s="293"/>
      <c r="BN338" s="293"/>
      <c r="BO338" s="293"/>
      <c r="BP338" s="293"/>
      <c r="BQ338" s="293"/>
      <c r="BR338" s="293"/>
      <c r="BS338" s="293"/>
      <c r="BT338" s="293"/>
      <c r="BU338" s="293"/>
      <c r="BV338" s="293"/>
      <c r="BW338" s="293"/>
      <c r="BX338" s="293"/>
      <c r="BY338" s="293"/>
      <c r="BZ338" s="293"/>
    </row>
    <row r="339" spans="1:78" s="295" customFormat="1" ht="12.75" x14ac:dyDescent="0.2">
      <c r="A339" s="307"/>
      <c r="B339" s="307"/>
      <c r="C339" s="308"/>
      <c r="D339" s="308"/>
      <c r="E339" s="309"/>
      <c r="F339" s="309"/>
      <c r="G339" s="309"/>
      <c r="H339" s="314"/>
      <c r="I339" s="312"/>
      <c r="J339" s="312"/>
      <c r="T339" s="313"/>
      <c r="U339" s="312"/>
      <c r="AT339" s="293"/>
      <c r="AU339" s="293"/>
      <c r="AV339" s="293"/>
      <c r="AW339" s="293"/>
      <c r="AX339" s="293"/>
      <c r="AY339" s="293"/>
      <c r="AZ339" s="293"/>
      <c r="BA339" s="293"/>
      <c r="BB339" s="293"/>
      <c r="BC339" s="293"/>
      <c r="BD339" s="293"/>
      <c r="BE339" s="293"/>
      <c r="BF339" s="293"/>
      <c r="BG339" s="293"/>
      <c r="BH339" s="293"/>
      <c r="BI339" s="293"/>
      <c r="BJ339" s="293"/>
      <c r="BK339" s="293"/>
      <c r="BL339" s="293"/>
      <c r="BM339" s="293"/>
      <c r="BN339" s="293"/>
      <c r="BO339" s="293"/>
      <c r="BP339" s="293"/>
      <c r="BQ339" s="293"/>
      <c r="BR339" s="293"/>
      <c r="BS339" s="293"/>
      <c r="BT339" s="293"/>
      <c r="BU339" s="293"/>
      <c r="BV339" s="293"/>
      <c r="BW339" s="293"/>
      <c r="BX339" s="293"/>
      <c r="BY339" s="293"/>
      <c r="BZ339" s="293"/>
    </row>
    <row r="340" spans="1:78" s="295" customFormat="1" ht="12.75" x14ac:dyDescent="0.2">
      <c r="A340" s="307"/>
      <c r="B340" s="307"/>
      <c r="C340" s="308"/>
      <c r="D340" s="308"/>
      <c r="E340" s="309"/>
      <c r="F340" s="309"/>
      <c r="G340" s="309"/>
      <c r="H340" s="314"/>
      <c r="I340" s="312"/>
      <c r="J340" s="312"/>
      <c r="T340" s="313"/>
      <c r="U340" s="312"/>
      <c r="AT340" s="293"/>
      <c r="AU340" s="293"/>
      <c r="AV340" s="293"/>
      <c r="AW340" s="293"/>
      <c r="AX340" s="293"/>
      <c r="AY340" s="293"/>
      <c r="AZ340" s="293"/>
      <c r="BA340" s="293"/>
      <c r="BB340" s="293"/>
      <c r="BC340" s="293"/>
      <c r="BD340" s="293"/>
      <c r="BE340" s="293"/>
      <c r="BF340" s="293"/>
      <c r="BG340" s="293"/>
      <c r="BH340" s="293"/>
      <c r="BI340" s="293"/>
      <c r="BJ340" s="293"/>
      <c r="BK340" s="293"/>
      <c r="BL340" s="293"/>
      <c r="BM340" s="293"/>
      <c r="BN340" s="293"/>
      <c r="BO340" s="293"/>
      <c r="BP340" s="293"/>
      <c r="BQ340" s="293"/>
      <c r="BR340" s="293"/>
      <c r="BS340" s="293"/>
      <c r="BT340" s="293"/>
      <c r="BU340" s="293"/>
      <c r="BV340" s="293"/>
      <c r="BW340" s="293"/>
      <c r="BX340" s="293"/>
      <c r="BY340" s="293"/>
      <c r="BZ340" s="293"/>
    </row>
    <row r="341" spans="1:78" s="295" customFormat="1" ht="12.75" x14ac:dyDescent="0.2">
      <c r="A341" s="307"/>
      <c r="B341" s="307"/>
      <c r="C341" s="308"/>
      <c r="D341" s="308"/>
      <c r="E341" s="309"/>
      <c r="F341" s="309"/>
      <c r="G341" s="309"/>
      <c r="H341" s="314"/>
      <c r="I341" s="312"/>
      <c r="J341" s="312"/>
      <c r="T341" s="313"/>
      <c r="U341" s="312"/>
      <c r="AT341" s="293"/>
      <c r="AU341" s="293"/>
      <c r="AV341" s="293"/>
      <c r="AW341" s="293"/>
      <c r="AX341" s="293"/>
      <c r="AY341" s="293"/>
      <c r="AZ341" s="293"/>
      <c r="BA341" s="293"/>
      <c r="BB341" s="293"/>
      <c r="BC341" s="293"/>
      <c r="BD341" s="293"/>
      <c r="BE341" s="293"/>
      <c r="BF341" s="293"/>
      <c r="BG341" s="293"/>
      <c r="BH341" s="293"/>
      <c r="BI341" s="293"/>
      <c r="BJ341" s="293"/>
      <c r="BK341" s="293"/>
      <c r="BL341" s="293"/>
      <c r="BM341" s="293"/>
      <c r="BN341" s="293"/>
      <c r="BO341" s="293"/>
      <c r="BP341" s="293"/>
      <c r="BQ341" s="293"/>
      <c r="BR341" s="293"/>
      <c r="BS341" s="293"/>
      <c r="BT341" s="293"/>
      <c r="BU341" s="293"/>
      <c r="BV341" s="293"/>
      <c r="BW341" s="293"/>
      <c r="BX341" s="293"/>
      <c r="BY341" s="293"/>
      <c r="BZ341" s="293"/>
    </row>
    <row r="342" spans="1:78" s="295" customFormat="1" ht="12.75" x14ac:dyDescent="0.2">
      <c r="A342" s="307"/>
      <c r="B342" s="307"/>
      <c r="C342" s="308"/>
      <c r="D342" s="308"/>
      <c r="E342" s="309"/>
      <c r="F342" s="309"/>
      <c r="G342" s="309"/>
      <c r="H342" s="314"/>
      <c r="I342" s="312"/>
      <c r="J342" s="312"/>
      <c r="T342" s="313"/>
      <c r="U342" s="312"/>
      <c r="AT342" s="293"/>
      <c r="AU342" s="293"/>
      <c r="AV342" s="293"/>
      <c r="AW342" s="293"/>
      <c r="AX342" s="293"/>
      <c r="AY342" s="293"/>
      <c r="AZ342" s="293"/>
      <c r="BA342" s="293"/>
      <c r="BB342" s="293"/>
      <c r="BC342" s="293"/>
      <c r="BD342" s="293"/>
      <c r="BE342" s="293"/>
      <c r="BF342" s="293"/>
      <c r="BG342" s="293"/>
      <c r="BH342" s="293"/>
      <c r="BI342" s="293"/>
      <c r="BJ342" s="293"/>
      <c r="BK342" s="293"/>
      <c r="BL342" s="293"/>
      <c r="BM342" s="293"/>
      <c r="BN342" s="293"/>
      <c r="BO342" s="293"/>
      <c r="BP342" s="293"/>
      <c r="BQ342" s="293"/>
      <c r="BR342" s="293"/>
      <c r="BS342" s="293"/>
      <c r="BT342" s="293"/>
      <c r="BU342" s="293"/>
      <c r="BV342" s="293"/>
      <c r="BW342" s="293"/>
      <c r="BX342" s="293"/>
      <c r="BY342" s="293"/>
      <c r="BZ342" s="293"/>
    </row>
    <row r="343" spans="1:78" s="295" customFormat="1" ht="12.75" x14ac:dyDescent="0.2">
      <c r="A343" s="307"/>
      <c r="B343" s="307"/>
      <c r="C343" s="308"/>
      <c r="D343" s="308"/>
      <c r="E343" s="309"/>
      <c r="F343" s="309"/>
      <c r="G343" s="309"/>
      <c r="H343" s="314"/>
      <c r="I343" s="312"/>
      <c r="J343" s="312"/>
      <c r="T343" s="313"/>
      <c r="U343" s="312"/>
      <c r="AT343" s="293"/>
      <c r="AU343" s="293"/>
      <c r="AV343" s="293"/>
      <c r="AW343" s="293"/>
      <c r="AX343" s="293"/>
      <c r="AY343" s="293"/>
      <c r="AZ343" s="293"/>
      <c r="BA343" s="293"/>
      <c r="BB343" s="293"/>
      <c r="BC343" s="293"/>
      <c r="BD343" s="293"/>
      <c r="BE343" s="293"/>
      <c r="BF343" s="293"/>
      <c r="BG343" s="293"/>
      <c r="BH343" s="293"/>
      <c r="BI343" s="293"/>
      <c r="BJ343" s="293"/>
      <c r="BK343" s="293"/>
      <c r="BL343" s="293"/>
      <c r="BM343" s="293"/>
      <c r="BN343" s="293"/>
      <c r="BO343" s="293"/>
      <c r="BP343" s="293"/>
      <c r="BQ343" s="293"/>
      <c r="BR343" s="293"/>
      <c r="BS343" s="293"/>
      <c r="BT343" s="293"/>
      <c r="BU343" s="293"/>
      <c r="BV343" s="293"/>
      <c r="BW343" s="293"/>
      <c r="BX343" s="293"/>
      <c r="BY343" s="293"/>
      <c r="BZ343" s="293"/>
    </row>
    <row r="344" spans="1:78" s="295" customFormat="1" ht="12.75" x14ac:dyDescent="0.2">
      <c r="A344" s="307"/>
      <c r="B344" s="307"/>
      <c r="C344" s="308"/>
      <c r="D344" s="308"/>
      <c r="E344" s="309"/>
      <c r="F344" s="309"/>
      <c r="G344" s="309"/>
      <c r="H344" s="314"/>
      <c r="I344" s="312"/>
      <c r="J344" s="312"/>
      <c r="T344" s="313"/>
      <c r="U344" s="312"/>
      <c r="AT344" s="293"/>
      <c r="AU344" s="293"/>
      <c r="AV344" s="293"/>
      <c r="AW344" s="293"/>
      <c r="AX344" s="293"/>
      <c r="AY344" s="293"/>
      <c r="AZ344" s="293"/>
      <c r="BA344" s="293"/>
      <c r="BB344" s="293"/>
      <c r="BC344" s="293"/>
      <c r="BD344" s="293"/>
      <c r="BE344" s="293"/>
      <c r="BF344" s="293"/>
      <c r="BG344" s="293"/>
      <c r="BH344" s="293"/>
      <c r="BI344" s="293"/>
      <c r="BJ344" s="293"/>
      <c r="BK344" s="293"/>
      <c r="BL344" s="293"/>
      <c r="BM344" s="293"/>
      <c r="BN344" s="293"/>
      <c r="BO344" s="293"/>
      <c r="BP344" s="293"/>
      <c r="BQ344" s="293"/>
      <c r="BR344" s="293"/>
      <c r="BS344" s="293"/>
      <c r="BT344" s="293"/>
      <c r="BU344" s="293"/>
      <c r="BV344" s="293"/>
      <c r="BW344" s="293"/>
      <c r="BX344" s="293"/>
      <c r="BY344" s="293"/>
      <c r="BZ344" s="293"/>
    </row>
    <row r="345" spans="1:78" s="295" customFormat="1" ht="12.75" x14ac:dyDescent="0.2">
      <c r="A345" s="307"/>
      <c r="B345" s="307"/>
      <c r="C345" s="308"/>
      <c r="D345" s="308"/>
      <c r="E345" s="309"/>
      <c r="F345" s="309"/>
      <c r="G345" s="309"/>
      <c r="H345" s="314"/>
      <c r="I345" s="312"/>
      <c r="J345" s="312"/>
      <c r="T345" s="313"/>
      <c r="U345" s="312"/>
      <c r="AT345" s="293"/>
      <c r="AU345" s="293"/>
      <c r="AV345" s="293"/>
      <c r="AW345" s="293"/>
      <c r="AX345" s="293"/>
      <c r="AY345" s="293"/>
      <c r="AZ345" s="293"/>
      <c r="BA345" s="293"/>
      <c r="BB345" s="293"/>
      <c r="BC345" s="293"/>
      <c r="BD345" s="293"/>
      <c r="BE345" s="293"/>
      <c r="BF345" s="293"/>
      <c r="BG345" s="293"/>
      <c r="BH345" s="293"/>
      <c r="BI345" s="293"/>
      <c r="BJ345" s="293"/>
      <c r="BK345" s="293"/>
      <c r="BL345" s="293"/>
      <c r="BM345" s="293"/>
      <c r="BN345" s="293"/>
      <c r="BO345" s="293"/>
      <c r="BP345" s="293"/>
      <c r="BQ345" s="293"/>
      <c r="BR345" s="293"/>
      <c r="BS345" s="293"/>
      <c r="BT345" s="293"/>
      <c r="BU345" s="293"/>
      <c r="BV345" s="293"/>
      <c r="BW345" s="293"/>
      <c r="BX345" s="293"/>
      <c r="BY345" s="293"/>
      <c r="BZ345" s="293"/>
    </row>
    <row r="346" spans="1:78" s="295" customFormat="1" ht="12.75" x14ac:dyDescent="0.2">
      <c r="A346" s="307"/>
      <c r="B346" s="307"/>
      <c r="C346" s="308"/>
      <c r="D346" s="308"/>
      <c r="E346" s="309"/>
      <c r="F346" s="309"/>
      <c r="G346" s="309"/>
      <c r="H346" s="314"/>
      <c r="I346" s="312"/>
      <c r="J346" s="312"/>
      <c r="T346" s="313"/>
      <c r="U346" s="312"/>
      <c r="AT346" s="293"/>
      <c r="AU346" s="293"/>
      <c r="AV346" s="293"/>
      <c r="AW346" s="293"/>
      <c r="AX346" s="293"/>
      <c r="AY346" s="293"/>
      <c r="AZ346" s="293"/>
      <c r="BA346" s="293"/>
      <c r="BB346" s="293"/>
      <c r="BC346" s="293"/>
      <c r="BD346" s="293"/>
      <c r="BE346" s="293"/>
      <c r="BF346" s="293"/>
      <c r="BG346" s="293"/>
      <c r="BH346" s="293"/>
      <c r="BI346" s="293"/>
      <c r="BJ346" s="293"/>
      <c r="BK346" s="293"/>
      <c r="BL346" s="293"/>
      <c r="BM346" s="293"/>
      <c r="BN346" s="293"/>
      <c r="BO346" s="293"/>
      <c r="BP346" s="293"/>
      <c r="BQ346" s="293"/>
      <c r="BR346" s="293"/>
      <c r="BS346" s="293"/>
      <c r="BT346" s="293"/>
      <c r="BU346" s="293"/>
      <c r="BV346" s="293"/>
      <c r="BW346" s="293"/>
      <c r="BX346" s="293"/>
      <c r="BY346" s="293"/>
      <c r="BZ346" s="293"/>
    </row>
    <row r="347" spans="1:78" s="295" customFormat="1" ht="12.75" x14ac:dyDescent="0.2">
      <c r="A347" s="307"/>
      <c r="B347" s="307"/>
      <c r="C347" s="308"/>
      <c r="D347" s="308"/>
      <c r="E347" s="309"/>
      <c r="F347" s="309"/>
      <c r="G347" s="309"/>
      <c r="H347" s="314"/>
      <c r="I347" s="312"/>
      <c r="J347" s="312"/>
      <c r="T347" s="313"/>
      <c r="U347" s="312"/>
      <c r="AT347" s="293"/>
      <c r="AU347" s="293"/>
      <c r="AV347" s="293"/>
      <c r="AW347" s="293"/>
      <c r="AX347" s="293"/>
      <c r="AY347" s="293"/>
      <c r="AZ347" s="293"/>
      <c r="BA347" s="293"/>
      <c r="BB347" s="293"/>
      <c r="BC347" s="293"/>
      <c r="BD347" s="293"/>
      <c r="BE347" s="293"/>
      <c r="BF347" s="293"/>
      <c r="BG347" s="293"/>
      <c r="BH347" s="293"/>
      <c r="BI347" s="293"/>
      <c r="BJ347" s="293"/>
      <c r="BK347" s="293"/>
      <c r="BL347" s="293"/>
      <c r="BM347" s="293"/>
      <c r="BN347" s="293"/>
      <c r="BO347" s="293"/>
      <c r="BP347" s="293"/>
      <c r="BQ347" s="293"/>
      <c r="BR347" s="293"/>
      <c r="BS347" s="293"/>
      <c r="BT347" s="293"/>
      <c r="BU347" s="293"/>
      <c r="BV347" s="293"/>
      <c r="BW347" s="293"/>
      <c r="BX347" s="293"/>
      <c r="BY347" s="293"/>
      <c r="BZ347" s="293"/>
    </row>
    <row r="348" spans="1:78" s="295" customFormat="1" ht="12.75" x14ac:dyDescent="0.2">
      <c r="A348" s="307"/>
      <c r="B348" s="307"/>
      <c r="C348" s="308"/>
      <c r="D348" s="308"/>
      <c r="E348" s="309"/>
      <c r="F348" s="309"/>
      <c r="G348" s="309"/>
      <c r="H348" s="314"/>
      <c r="I348" s="312"/>
      <c r="J348" s="312"/>
      <c r="T348" s="313"/>
      <c r="U348" s="312"/>
      <c r="AT348" s="293"/>
      <c r="AU348" s="293"/>
      <c r="AV348" s="293"/>
      <c r="AW348" s="293"/>
      <c r="AX348" s="293"/>
      <c r="AY348" s="293"/>
      <c r="AZ348" s="293"/>
      <c r="BA348" s="293"/>
      <c r="BB348" s="293"/>
      <c r="BC348" s="293"/>
      <c r="BD348" s="293"/>
      <c r="BE348" s="293"/>
      <c r="BF348" s="293"/>
      <c r="BG348" s="293"/>
      <c r="BH348" s="293"/>
      <c r="BI348" s="293"/>
      <c r="BJ348" s="293"/>
      <c r="BK348" s="293"/>
      <c r="BL348" s="293"/>
      <c r="BM348" s="293"/>
      <c r="BN348" s="293"/>
      <c r="BO348" s="293"/>
      <c r="BP348" s="293"/>
      <c r="BQ348" s="293"/>
      <c r="BR348" s="293"/>
      <c r="BS348" s="293"/>
      <c r="BT348" s="293"/>
      <c r="BU348" s="293"/>
      <c r="BV348" s="293"/>
      <c r="BW348" s="293"/>
      <c r="BX348" s="293"/>
      <c r="BY348" s="293"/>
      <c r="BZ348" s="293"/>
    </row>
    <row r="349" spans="1:78" s="295" customFormat="1" ht="12.75" x14ac:dyDescent="0.2">
      <c r="A349" s="307"/>
      <c r="B349" s="307"/>
      <c r="C349" s="308"/>
      <c r="D349" s="308"/>
      <c r="E349" s="309"/>
      <c r="F349" s="309"/>
      <c r="G349" s="309"/>
      <c r="H349" s="314"/>
      <c r="I349" s="312"/>
      <c r="J349" s="312"/>
      <c r="T349" s="313"/>
      <c r="U349" s="312"/>
      <c r="AT349" s="293"/>
      <c r="AU349" s="293"/>
      <c r="AV349" s="293"/>
      <c r="AW349" s="293"/>
      <c r="AX349" s="293"/>
      <c r="AY349" s="293"/>
      <c r="AZ349" s="293"/>
      <c r="BA349" s="293"/>
      <c r="BB349" s="293"/>
      <c r="BC349" s="293"/>
      <c r="BD349" s="293"/>
      <c r="BE349" s="293"/>
      <c r="BF349" s="293"/>
      <c r="BG349" s="293"/>
      <c r="BH349" s="293"/>
      <c r="BI349" s="293"/>
      <c r="BJ349" s="293"/>
      <c r="BK349" s="293"/>
      <c r="BL349" s="293"/>
      <c r="BM349" s="293"/>
      <c r="BN349" s="293"/>
      <c r="BO349" s="293"/>
      <c r="BP349" s="293"/>
      <c r="BQ349" s="293"/>
      <c r="BR349" s="293"/>
      <c r="BS349" s="293"/>
      <c r="BT349" s="293"/>
      <c r="BU349" s="293"/>
      <c r="BV349" s="293"/>
      <c r="BW349" s="293"/>
      <c r="BX349" s="293"/>
      <c r="BY349" s="293"/>
      <c r="BZ349" s="293"/>
    </row>
    <row r="350" spans="1:78" s="295" customFormat="1" ht="12.75" x14ac:dyDescent="0.2">
      <c r="A350" s="307"/>
      <c r="B350" s="307"/>
      <c r="C350" s="308"/>
      <c r="D350" s="308"/>
      <c r="E350" s="309"/>
      <c r="F350" s="309"/>
      <c r="G350" s="309"/>
      <c r="H350" s="314"/>
      <c r="I350" s="312"/>
      <c r="J350" s="312"/>
      <c r="T350" s="313"/>
      <c r="U350" s="312"/>
      <c r="AT350" s="293"/>
      <c r="AU350" s="293"/>
      <c r="AV350" s="293"/>
      <c r="AW350" s="293"/>
      <c r="AX350" s="293"/>
      <c r="AY350" s="293"/>
      <c r="AZ350" s="293"/>
      <c r="BA350" s="293"/>
      <c r="BB350" s="293"/>
      <c r="BC350" s="293"/>
      <c r="BD350" s="293"/>
      <c r="BE350" s="293"/>
      <c r="BF350" s="293"/>
      <c r="BG350" s="293"/>
      <c r="BH350" s="293"/>
      <c r="BI350" s="293"/>
      <c r="BJ350" s="293"/>
      <c r="BK350" s="293"/>
      <c r="BL350" s="293"/>
      <c r="BM350" s="293"/>
      <c r="BN350" s="293"/>
      <c r="BO350" s="293"/>
      <c r="BP350" s="293"/>
      <c r="BQ350" s="293"/>
      <c r="BR350" s="293"/>
      <c r="BS350" s="293"/>
      <c r="BT350" s="293"/>
      <c r="BU350" s="293"/>
      <c r="BV350" s="293"/>
      <c r="BW350" s="293"/>
      <c r="BX350" s="293"/>
      <c r="BY350" s="293"/>
      <c r="BZ350" s="293"/>
    </row>
    <row r="351" spans="1:78" s="295" customFormat="1" ht="12.75" x14ac:dyDescent="0.2">
      <c r="A351" s="307"/>
      <c r="B351" s="307"/>
      <c r="C351" s="308"/>
      <c r="D351" s="308"/>
      <c r="E351" s="309"/>
      <c r="F351" s="309"/>
      <c r="G351" s="309"/>
      <c r="H351" s="314"/>
      <c r="I351" s="312"/>
      <c r="J351" s="312"/>
      <c r="T351" s="313"/>
      <c r="U351" s="312"/>
      <c r="AT351" s="293"/>
      <c r="AU351" s="293"/>
      <c r="AV351" s="293"/>
      <c r="AW351" s="293"/>
      <c r="AX351" s="293"/>
      <c r="AY351" s="293"/>
      <c r="AZ351" s="293"/>
      <c r="BA351" s="293"/>
      <c r="BB351" s="293"/>
      <c r="BC351" s="293"/>
      <c r="BD351" s="293"/>
      <c r="BE351" s="293"/>
      <c r="BF351" s="293"/>
      <c r="BG351" s="293"/>
      <c r="BH351" s="293"/>
      <c r="BI351" s="293"/>
      <c r="BJ351" s="293"/>
      <c r="BK351" s="293"/>
      <c r="BL351" s="293"/>
      <c r="BM351" s="293"/>
      <c r="BN351" s="293"/>
      <c r="BO351" s="293"/>
      <c r="BP351" s="293"/>
      <c r="BQ351" s="293"/>
      <c r="BR351" s="293"/>
      <c r="BS351" s="293"/>
      <c r="BT351" s="293"/>
      <c r="BU351" s="293"/>
      <c r="BV351" s="293"/>
      <c r="BW351" s="293"/>
      <c r="BX351" s="293"/>
      <c r="BY351" s="293"/>
      <c r="BZ351" s="293"/>
    </row>
    <row r="352" spans="1:78" s="295" customFormat="1" ht="12.75" x14ac:dyDescent="0.2">
      <c r="A352" s="307"/>
      <c r="B352" s="307"/>
      <c r="C352" s="308"/>
      <c r="D352" s="308"/>
      <c r="E352" s="309"/>
      <c r="F352" s="309"/>
      <c r="G352" s="309"/>
      <c r="H352" s="314"/>
      <c r="I352" s="312"/>
      <c r="J352" s="312"/>
      <c r="T352" s="313"/>
      <c r="U352" s="312"/>
      <c r="AT352" s="293"/>
      <c r="AU352" s="293"/>
      <c r="AV352" s="293"/>
      <c r="AW352" s="293"/>
      <c r="AX352" s="293"/>
      <c r="AY352" s="293"/>
      <c r="AZ352" s="293"/>
      <c r="BA352" s="293"/>
      <c r="BB352" s="293"/>
      <c r="BC352" s="293"/>
      <c r="BD352" s="293"/>
      <c r="BE352" s="293"/>
      <c r="BF352" s="293"/>
      <c r="BG352" s="293"/>
      <c r="BH352" s="293"/>
      <c r="BI352" s="293"/>
      <c r="BJ352" s="293"/>
      <c r="BK352" s="293"/>
      <c r="BL352" s="293"/>
      <c r="BM352" s="293"/>
      <c r="BN352" s="293"/>
      <c r="BO352" s="293"/>
      <c r="BP352" s="293"/>
      <c r="BQ352" s="293"/>
      <c r="BR352" s="293"/>
      <c r="BS352" s="293"/>
      <c r="BT352" s="293"/>
      <c r="BU352" s="293"/>
      <c r="BV352" s="293"/>
      <c r="BW352" s="293"/>
      <c r="BX352" s="293"/>
      <c r="BY352" s="293"/>
      <c r="BZ352" s="293"/>
    </row>
    <row r="353" spans="1:78" s="295" customFormat="1" ht="12.75" x14ac:dyDescent="0.2">
      <c r="A353" s="307"/>
      <c r="B353" s="307"/>
      <c r="C353" s="308"/>
      <c r="D353" s="308"/>
      <c r="E353" s="309"/>
      <c r="F353" s="309"/>
      <c r="G353" s="309"/>
      <c r="H353" s="314"/>
      <c r="I353" s="312"/>
      <c r="J353" s="312"/>
      <c r="T353" s="313"/>
      <c r="U353" s="312"/>
      <c r="AT353" s="293"/>
      <c r="AU353" s="293"/>
      <c r="AV353" s="293"/>
      <c r="AW353" s="293"/>
      <c r="AX353" s="293"/>
      <c r="AY353" s="293"/>
      <c r="AZ353" s="293"/>
      <c r="BA353" s="293"/>
      <c r="BB353" s="293"/>
      <c r="BC353" s="293"/>
      <c r="BD353" s="293"/>
      <c r="BE353" s="293"/>
      <c r="BF353" s="293"/>
      <c r="BG353" s="293"/>
      <c r="BH353" s="293"/>
      <c r="BI353" s="293"/>
      <c r="BJ353" s="293"/>
      <c r="BK353" s="293"/>
      <c r="BL353" s="293"/>
      <c r="BM353" s="293"/>
      <c r="BN353" s="293"/>
      <c r="BO353" s="293"/>
      <c r="BP353" s="293"/>
      <c r="BQ353" s="293"/>
      <c r="BR353" s="293"/>
      <c r="BS353" s="293"/>
      <c r="BT353" s="293"/>
      <c r="BU353" s="293"/>
      <c r="BV353" s="293"/>
      <c r="BW353" s="293"/>
      <c r="BX353" s="293"/>
      <c r="BY353" s="293"/>
      <c r="BZ353" s="293"/>
    </row>
    <row r="354" spans="1:78" s="295" customFormat="1" ht="12.75" x14ac:dyDescent="0.2">
      <c r="A354" s="307"/>
      <c r="B354" s="307"/>
      <c r="C354" s="308"/>
      <c r="D354" s="308"/>
      <c r="E354" s="309"/>
      <c r="F354" s="309"/>
      <c r="G354" s="309"/>
      <c r="H354" s="314"/>
      <c r="I354" s="312"/>
      <c r="J354" s="312"/>
      <c r="T354" s="313"/>
      <c r="U354" s="312"/>
      <c r="AT354" s="293"/>
      <c r="AU354" s="293"/>
      <c r="AV354" s="293"/>
      <c r="AW354" s="293"/>
      <c r="AX354" s="293"/>
      <c r="AY354" s="293"/>
      <c r="AZ354" s="293"/>
      <c r="BA354" s="293"/>
      <c r="BB354" s="293"/>
      <c r="BC354" s="293"/>
      <c r="BD354" s="293"/>
      <c r="BE354" s="293"/>
      <c r="BF354" s="293"/>
      <c r="BG354" s="293"/>
      <c r="BH354" s="293"/>
      <c r="BI354" s="293"/>
      <c r="BJ354" s="293"/>
      <c r="BK354" s="293"/>
      <c r="BL354" s="293"/>
      <c r="BM354" s="293"/>
      <c r="BN354" s="293"/>
      <c r="BO354" s="293"/>
      <c r="BP354" s="293"/>
      <c r="BQ354" s="293"/>
      <c r="BR354" s="293"/>
      <c r="BS354" s="293"/>
      <c r="BT354" s="293"/>
      <c r="BU354" s="293"/>
      <c r="BV354" s="293"/>
      <c r="BW354" s="293"/>
      <c r="BX354" s="293"/>
      <c r="BY354" s="293"/>
      <c r="BZ354" s="293"/>
    </row>
    <row r="355" spans="1:78" s="295" customFormat="1" ht="12.75" x14ac:dyDescent="0.2">
      <c r="A355" s="307"/>
      <c r="B355" s="307"/>
      <c r="C355" s="308"/>
      <c r="D355" s="308"/>
      <c r="E355" s="309"/>
      <c r="F355" s="309"/>
      <c r="G355" s="309"/>
      <c r="H355" s="314"/>
      <c r="I355" s="312"/>
      <c r="J355" s="312"/>
      <c r="T355" s="313"/>
      <c r="U355" s="312"/>
      <c r="AT355" s="293"/>
      <c r="AU355" s="293"/>
      <c r="AV355" s="293"/>
      <c r="AW355" s="293"/>
      <c r="AX355" s="293"/>
      <c r="AY355" s="293"/>
      <c r="AZ355" s="293"/>
      <c r="BA355" s="293"/>
      <c r="BB355" s="293"/>
      <c r="BC355" s="293"/>
      <c r="BD355" s="293"/>
      <c r="BE355" s="293"/>
      <c r="BF355" s="293"/>
      <c r="BG355" s="293"/>
      <c r="BH355" s="293"/>
      <c r="BI355" s="293"/>
      <c r="BJ355" s="293"/>
      <c r="BK355" s="293"/>
      <c r="BL355" s="293"/>
      <c r="BM355" s="293"/>
      <c r="BN355" s="293"/>
      <c r="BO355" s="293"/>
      <c r="BP355" s="293"/>
      <c r="BQ355" s="293"/>
      <c r="BR355" s="293"/>
      <c r="BS355" s="293"/>
      <c r="BT355" s="293"/>
      <c r="BU355" s="293"/>
      <c r="BV355" s="293"/>
      <c r="BW355" s="293"/>
      <c r="BX355" s="293"/>
      <c r="BY355" s="293"/>
      <c r="BZ355" s="293"/>
    </row>
    <row r="356" spans="1:78" s="295" customFormat="1" ht="12.75" x14ac:dyDescent="0.2">
      <c r="A356" s="307"/>
      <c r="B356" s="307"/>
      <c r="C356" s="308"/>
      <c r="D356" s="308"/>
      <c r="E356" s="309"/>
      <c r="F356" s="309"/>
      <c r="G356" s="309"/>
      <c r="H356" s="314"/>
      <c r="I356" s="312"/>
      <c r="J356" s="312"/>
      <c r="T356" s="313"/>
      <c r="U356" s="312"/>
      <c r="AT356" s="293"/>
      <c r="AU356" s="293"/>
      <c r="AV356" s="293"/>
      <c r="AW356" s="293"/>
      <c r="AX356" s="293"/>
      <c r="AY356" s="293"/>
      <c r="AZ356" s="293"/>
      <c r="BA356" s="293"/>
      <c r="BB356" s="293"/>
      <c r="BC356" s="293"/>
      <c r="BD356" s="293"/>
      <c r="BE356" s="293"/>
      <c r="BF356" s="293"/>
      <c r="BG356" s="293"/>
      <c r="BH356" s="293"/>
      <c r="BI356" s="293"/>
      <c r="BJ356" s="293"/>
      <c r="BK356" s="293"/>
      <c r="BL356" s="293"/>
      <c r="BM356" s="293"/>
      <c r="BN356" s="293"/>
      <c r="BO356" s="293"/>
      <c r="BP356" s="293"/>
      <c r="BQ356" s="293"/>
      <c r="BR356" s="293"/>
      <c r="BS356" s="293"/>
      <c r="BT356" s="293"/>
      <c r="BU356" s="293"/>
      <c r="BV356" s="293"/>
      <c r="BW356" s="293"/>
      <c r="BX356" s="293"/>
      <c r="BY356" s="293"/>
      <c r="BZ356" s="293"/>
    </row>
    <row r="357" spans="1:78" s="295" customFormat="1" ht="12.75" x14ac:dyDescent="0.2">
      <c r="A357" s="307"/>
      <c r="B357" s="307"/>
      <c r="C357" s="308"/>
      <c r="D357" s="308"/>
      <c r="E357" s="309"/>
      <c r="F357" s="309"/>
      <c r="G357" s="309"/>
      <c r="H357" s="314"/>
      <c r="I357" s="312"/>
      <c r="J357" s="312"/>
      <c r="T357" s="313"/>
      <c r="U357" s="312"/>
      <c r="AT357" s="293"/>
      <c r="AU357" s="293"/>
      <c r="AV357" s="293"/>
      <c r="AW357" s="293"/>
      <c r="AX357" s="293"/>
      <c r="AY357" s="293"/>
      <c r="AZ357" s="293"/>
      <c r="BA357" s="293"/>
      <c r="BB357" s="293"/>
      <c r="BC357" s="293"/>
      <c r="BD357" s="293"/>
      <c r="BE357" s="293"/>
      <c r="BF357" s="293"/>
      <c r="BG357" s="293"/>
      <c r="BH357" s="293"/>
      <c r="BI357" s="293"/>
      <c r="BJ357" s="293"/>
      <c r="BK357" s="293"/>
      <c r="BL357" s="293"/>
      <c r="BM357" s="293"/>
      <c r="BN357" s="293"/>
      <c r="BO357" s="293"/>
      <c r="BP357" s="293"/>
      <c r="BQ357" s="293"/>
      <c r="BR357" s="293"/>
      <c r="BS357" s="293"/>
      <c r="BT357" s="293"/>
      <c r="BU357" s="293"/>
      <c r="BV357" s="293"/>
      <c r="BW357" s="293"/>
      <c r="BX357" s="293"/>
      <c r="BY357" s="293"/>
      <c r="BZ357" s="293"/>
    </row>
    <row r="358" spans="1:78" s="295" customFormat="1" ht="12.75" x14ac:dyDescent="0.2">
      <c r="A358" s="307"/>
      <c r="B358" s="307"/>
      <c r="C358" s="308"/>
      <c r="D358" s="308"/>
      <c r="E358" s="309"/>
      <c r="F358" s="309"/>
      <c r="G358" s="309"/>
      <c r="H358" s="314"/>
      <c r="I358" s="312"/>
      <c r="J358" s="312"/>
      <c r="T358" s="313"/>
      <c r="U358" s="312"/>
      <c r="AT358" s="293"/>
      <c r="AU358" s="293"/>
      <c r="AV358" s="293"/>
      <c r="AW358" s="293"/>
      <c r="AX358" s="293"/>
      <c r="AY358" s="293"/>
      <c r="AZ358" s="293"/>
      <c r="BA358" s="293"/>
      <c r="BB358" s="293"/>
      <c r="BC358" s="293"/>
      <c r="BD358" s="293"/>
      <c r="BE358" s="293"/>
      <c r="BF358" s="293"/>
      <c r="BG358" s="293"/>
      <c r="BH358" s="293"/>
      <c r="BI358" s="293"/>
      <c r="BJ358" s="293"/>
      <c r="BK358" s="293"/>
      <c r="BL358" s="293"/>
      <c r="BM358" s="293"/>
      <c r="BN358" s="293"/>
      <c r="BO358" s="293"/>
      <c r="BP358" s="293"/>
      <c r="BQ358" s="293"/>
      <c r="BR358" s="293"/>
      <c r="BS358" s="293"/>
      <c r="BT358" s="293"/>
      <c r="BU358" s="293"/>
      <c r="BV358" s="293"/>
      <c r="BW358" s="293"/>
      <c r="BX358" s="293"/>
      <c r="BY358" s="293"/>
      <c r="BZ358" s="293"/>
    </row>
    <row r="359" spans="1:78" s="295" customFormat="1" ht="12.75" x14ac:dyDescent="0.2">
      <c r="A359" s="307"/>
      <c r="B359" s="307"/>
      <c r="C359" s="308"/>
      <c r="D359" s="308"/>
      <c r="E359" s="309"/>
      <c r="F359" s="309"/>
      <c r="G359" s="309"/>
      <c r="H359" s="314"/>
      <c r="I359" s="312"/>
      <c r="J359" s="312"/>
      <c r="T359" s="313"/>
      <c r="U359" s="312"/>
      <c r="AT359" s="293"/>
      <c r="AU359" s="293"/>
      <c r="AV359" s="293"/>
      <c r="AW359" s="293"/>
      <c r="AX359" s="293"/>
      <c r="AY359" s="293"/>
      <c r="AZ359" s="293"/>
      <c r="BA359" s="293"/>
      <c r="BB359" s="293"/>
      <c r="BC359" s="293"/>
      <c r="BD359" s="293"/>
      <c r="BE359" s="293"/>
      <c r="BF359" s="293"/>
      <c r="BG359" s="293"/>
      <c r="BH359" s="293"/>
      <c r="BI359" s="293"/>
      <c r="BJ359" s="293"/>
      <c r="BK359" s="293"/>
      <c r="BL359" s="293"/>
      <c r="BM359" s="293"/>
      <c r="BN359" s="293"/>
      <c r="BO359" s="293"/>
      <c r="BP359" s="293"/>
      <c r="BQ359" s="293"/>
      <c r="BR359" s="293"/>
      <c r="BS359" s="293"/>
      <c r="BT359" s="293"/>
      <c r="BU359" s="293"/>
      <c r="BV359" s="293"/>
      <c r="BW359" s="293"/>
      <c r="BX359" s="293"/>
      <c r="BY359" s="293"/>
      <c r="BZ359" s="293"/>
    </row>
    <row r="360" spans="1:78" s="295" customFormat="1" ht="12.75" x14ac:dyDescent="0.2">
      <c r="A360" s="307"/>
      <c r="B360" s="307"/>
      <c r="C360" s="308"/>
      <c r="D360" s="308"/>
      <c r="E360" s="309"/>
      <c r="F360" s="309"/>
      <c r="G360" s="309"/>
      <c r="H360" s="314"/>
      <c r="I360" s="312"/>
      <c r="J360" s="312"/>
      <c r="T360" s="313"/>
      <c r="U360" s="312"/>
      <c r="AT360" s="293"/>
      <c r="AU360" s="293"/>
      <c r="AV360" s="293"/>
      <c r="AW360" s="293"/>
      <c r="AX360" s="293"/>
      <c r="AY360" s="293"/>
      <c r="AZ360" s="293"/>
      <c r="BA360" s="293"/>
      <c r="BB360" s="293"/>
      <c r="BC360" s="293"/>
      <c r="BD360" s="293"/>
      <c r="BE360" s="293"/>
      <c r="BF360" s="293"/>
      <c r="BG360" s="293"/>
      <c r="BH360" s="293"/>
      <c r="BI360" s="293"/>
      <c r="BJ360" s="293"/>
      <c r="BK360" s="293"/>
      <c r="BL360" s="293"/>
      <c r="BM360" s="293"/>
      <c r="BN360" s="293"/>
      <c r="BO360" s="293"/>
      <c r="BP360" s="293"/>
      <c r="BQ360" s="293"/>
      <c r="BR360" s="293"/>
      <c r="BS360" s="293"/>
      <c r="BT360" s="293"/>
      <c r="BU360" s="293"/>
      <c r="BV360" s="293"/>
      <c r="BW360" s="293"/>
      <c r="BX360" s="293"/>
      <c r="BY360" s="293"/>
      <c r="BZ360" s="293"/>
    </row>
    <row r="361" spans="1:78" s="295" customFormat="1" ht="12.75" x14ac:dyDescent="0.2">
      <c r="A361" s="307"/>
      <c r="B361" s="307"/>
      <c r="C361" s="308"/>
      <c r="D361" s="308"/>
      <c r="E361" s="309"/>
      <c r="F361" s="309"/>
      <c r="G361" s="309"/>
      <c r="H361" s="314"/>
      <c r="I361" s="312"/>
      <c r="J361" s="312"/>
      <c r="T361" s="313"/>
      <c r="U361" s="312"/>
      <c r="AT361" s="293"/>
      <c r="AU361" s="293"/>
      <c r="AV361" s="293"/>
      <c r="AW361" s="293"/>
      <c r="AX361" s="293"/>
      <c r="AY361" s="293"/>
      <c r="AZ361" s="293"/>
      <c r="BA361" s="293"/>
      <c r="BB361" s="293"/>
      <c r="BC361" s="293"/>
      <c r="BD361" s="293"/>
      <c r="BE361" s="293"/>
      <c r="BF361" s="293"/>
      <c r="BG361" s="293"/>
      <c r="BH361" s="293"/>
      <c r="BI361" s="293"/>
      <c r="BJ361" s="293"/>
      <c r="BK361" s="293"/>
      <c r="BL361" s="293"/>
      <c r="BM361" s="293"/>
      <c r="BN361" s="293"/>
      <c r="BO361" s="293"/>
      <c r="BP361" s="293"/>
      <c r="BQ361" s="293"/>
      <c r="BR361" s="293"/>
      <c r="BS361" s="293"/>
      <c r="BT361" s="293"/>
      <c r="BU361" s="293"/>
      <c r="BV361" s="293"/>
      <c r="BW361" s="293"/>
      <c r="BX361" s="293"/>
      <c r="BY361" s="293"/>
      <c r="BZ361" s="293"/>
    </row>
    <row r="362" spans="1:78" s="295" customFormat="1" ht="12.75" x14ac:dyDescent="0.2">
      <c r="A362" s="307"/>
      <c r="B362" s="307"/>
      <c r="C362" s="308"/>
      <c r="D362" s="308"/>
      <c r="E362" s="309"/>
      <c r="F362" s="309"/>
      <c r="G362" s="309"/>
      <c r="H362" s="314"/>
      <c r="I362" s="312"/>
      <c r="J362" s="312"/>
      <c r="T362" s="313"/>
      <c r="U362" s="312"/>
      <c r="AT362" s="293"/>
      <c r="AU362" s="293"/>
      <c r="AV362" s="293"/>
      <c r="AW362" s="293"/>
      <c r="AX362" s="293"/>
      <c r="AY362" s="293"/>
      <c r="AZ362" s="293"/>
      <c r="BA362" s="293"/>
      <c r="BB362" s="293"/>
      <c r="BC362" s="293"/>
      <c r="BD362" s="293"/>
      <c r="BE362" s="293"/>
      <c r="BF362" s="293"/>
      <c r="BG362" s="293"/>
      <c r="BH362" s="293"/>
      <c r="BI362" s="293"/>
      <c r="BJ362" s="293"/>
      <c r="BK362" s="293"/>
      <c r="BL362" s="293"/>
      <c r="BM362" s="293"/>
      <c r="BN362" s="293"/>
      <c r="BO362" s="293"/>
      <c r="BP362" s="293"/>
      <c r="BQ362" s="293"/>
      <c r="BR362" s="293"/>
      <c r="BS362" s="293"/>
      <c r="BT362" s="293"/>
      <c r="BU362" s="293"/>
      <c r="BV362" s="293"/>
      <c r="BW362" s="293"/>
      <c r="BX362" s="293"/>
      <c r="BY362" s="293"/>
      <c r="BZ362" s="293"/>
    </row>
    <row r="363" spans="1:78" s="295" customFormat="1" ht="12.75" x14ac:dyDescent="0.2">
      <c r="A363" s="307"/>
      <c r="B363" s="307"/>
      <c r="C363" s="308"/>
      <c r="D363" s="308"/>
      <c r="E363" s="309"/>
      <c r="F363" s="309"/>
      <c r="G363" s="309"/>
      <c r="H363" s="314"/>
      <c r="I363" s="312"/>
      <c r="J363" s="312"/>
      <c r="T363" s="313"/>
      <c r="U363" s="312"/>
      <c r="AT363" s="293"/>
      <c r="AU363" s="293"/>
      <c r="AV363" s="293"/>
      <c r="AW363" s="293"/>
      <c r="AX363" s="293"/>
      <c r="AY363" s="293"/>
      <c r="AZ363" s="293"/>
      <c r="BA363" s="293"/>
      <c r="BB363" s="293"/>
      <c r="BC363" s="293"/>
      <c r="BD363" s="293"/>
      <c r="BE363" s="293"/>
      <c r="BF363" s="293"/>
      <c r="BG363" s="293"/>
      <c r="BH363" s="293"/>
      <c r="BI363" s="293"/>
      <c r="BJ363" s="293"/>
      <c r="BK363" s="293"/>
      <c r="BL363" s="293"/>
      <c r="BM363" s="293"/>
      <c r="BN363" s="293"/>
      <c r="BO363" s="293"/>
      <c r="BP363" s="293"/>
      <c r="BQ363" s="293"/>
      <c r="BR363" s="293"/>
      <c r="BS363" s="293"/>
      <c r="BT363" s="293"/>
      <c r="BU363" s="293"/>
      <c r="BV363" s="293"/>
      <c r="BW363" s="293"/>
      <c r="BX363" s="293"/>
      <c r="BY363" s="293"/>
      <c r="BZ363" s="293"/>
    </row>
    <row r="364" spans="1:78" s="295" customFormat="1" ht="12.75" x14ac:dyDescent="0.2">
      <c r="A364" s="307"/>
      <c r="B364" s="307"/>
      <c r="C364" s="308"/>
      <c r="D364" s="308"/>
      <c r="E364" s="309"/>
      <c r="F364" s="309"/>
      <c r="G364" s="309"/>
      <c r="H364" s="314"/>
      <c r="I364" s="312"/>
      <c r="J364" s="312"/>
      <c r="T364" s="313"/>
      <c r="U364" s="312"/>
      <c r="AT364" s="293"/>
      <c r="AU364" s="293"/>
      <c r="AV364" s="293"/>
      <c r="AW364" s="293"/>
      <c r="AX364" s="293"/>
      <c r="AY364" s="293"/>
      <c r="AZ364" s="293"/>
      <c r="BA364" s="293"/>
      <c r="BB364" s="293"/>
      <c r="BC364" s="293"/>
      <c r="BD364" s="293"/>
      <c r="BE364" s="293"/>
      <c r="BF364" s="293"/>
      <c r="BG364" s="293"/>
      <c r="BH364" s="293"/>
      <c r="BI364" s="293"/>
      <c r="BJ364" s="293"/>
      <c r="BK364" s="293"/>
      <c r="BL364" s="293"/>
      <c r="BM364" s="293"/>
      <c r="BN364" s="293"/>
      <c r="BO364" s="293"/>
      <c r="BP364" s="293"/>
      <c r="BQ364" s="293"/>
      <c r="BR364" s="293"/>
      <c r="BS364" s="293"/>
      <c r="BT364" s="293"/>
      <c r="BU364" s="293"/>
      <c r="BV364" s="293"/>
      <c r="BW364" s="293"/>
      <c r="BX364" s="293"/>
      <c r="BY364" s="293"/>
      <c r="BZ364" s="293"/>
    </row>
    <row r="365" spans="1:78" s="295" customFormat="1" ht="12.75" x14ac:dyDescent="0.2">
      <c r="A365" s="307"/>
      <c r="B365" s="307"/>
      <c r="C365" s="308"/>
      <c r="D365" s="308"/>
      <c r="E365" s="309"/>
      <c r="F365" s="309"/>
      <c r="G365" s="309"/>
      <c r="H365" s="314"/>
      <c r="I365" s="312"/>
      <c r="J365" s="312"/>
      <c r="T365" s="313"/>
      <c r="U365" s="312"/>
      <c r="AT365" s="293"/>
      <c r="AU365" s="293"/>
      <c r="AV365" s="293"/>
      <c r="AW365" s="293"/>
      <c r="AX365" s="293"/>
      <c r="AY365" s="293"/>
      <c r="AZ365" s="293"/>
      <c r="BA365" s="293"/>
      <c r="BB365" s="293"/>
      <c r="BC365" s="293"/>
      <c r="BD365" s="293"/>
      <c r="BE365" s="293"/>
      <c r="BF365" s="293"/>
      <c r="BG365" s="293"/>
      <c r="BH365" s="293"/>
      <c r="BI365" s="293"/>
      <c r="BJ365" s="293"/>
      <c r="BK365" s="293"/>
      <c r="BL365" s="293"/>
      <c r="BM365" s="293"/>
      <c r="BN365" s="293"/>
      <c r="BO365" s="293"/>
      <c r="BP365" s="293"/>
      <c r="BQ365" s="293"/>
      <c r="BR365" s="293"/>
      <c r="BS365" s="293"/>
      <c r="BT365" s="293"/>
      <c r="BU365" s="293"/>
      <c r="BV365" s="293"/>
      <c r="BW365" s="293"/>
      <c r="BX365" s="293"/>
      <c r="BY365" s="293"/>
      <c r="BZ365" s="293"/>
    </row>
    <row r="366" spans="1:78" s="295" customFormat="1" ht="12.75" x14ac:dyDescent="0.2">
      <c r="A366" s="307"/>
      <c r="B366" s="307"/>
      <c r="C366" s="308"/>
      <c r="D366" s="308"/>
      <c r="E366" s="309"/>
      <c r="F366" s="309"/>
      <c r="G366" s="309"/>
      <c r="H366" s="314"/>
      <c r="I366" s="312"/>
      <c r="J366" s="312"/>
      <c r="T366" s="313"/>
      <c r="U366" s="312"/>
      <c r="AT366" s="293"/>
      <c r="AU366" s="293"/>
      <c r="AV366" s="293"/>
      <c r="AW366" s="293"/>
      <c r="AX366" s="293"/>
      <c r="AY366" s="293"/>
      <c r="AZ366" s="293"/>
      <c r="BA366" s="293"/>
      <c r="BB366" s="293"/>
      <c r="BC366" s="293"/>
      <c r="BD366" s="293"/>
      <c r="BE366" s="293"/>
      <c r="BF366" s="293"/>
      <c r="BG366" s="293"/>
      <c r="BH366" s="293"/>
      <c r="BI366" s="293"/>
      <c r="BJ366" s="293"/>
      <c r="BK366" s="293"/>
      <c r="BL366" s="293"/>
      <c r="BM366" s="293"/>
      <c r="BN366" s="293"/>
      <c r="BO366" s="293"/>
      <c r="BP366" s="293"/>
      <c r="BQ366" s="293"/>
      <c r="BR366" s="293"/>
      <c r="BS366" s="293"/>
      <c r="BT366" s="293"/>
      <c r="BU366" s="293"/>
      <c r="BV366" s="293"/>
      <c r="BW366" s="293"/>
      <c r="BX366" s="293"/>
      <c r="BY366" s="293"/>
      <c r="BZ366" s="293"/>
    </row>
    <row r="367" spans="1:78" s="295" customFormat="1" ht="12.75" x14ac:dyDescent="0.2">
      <c r="A367" s="307"/>
      <c r="B367" s="307"/>
      <c r="C367" s="308"/>
      <c r="D367" s="308"/>
      <c r="E367" s="309"/>
      <c r="F367" s="309"/>
      <c r="G367" s="309"/>
      <c r="H367" s="314"/>
      <c r="I367" s="312"/>
      <c r="J367" s="312"/>
      <c r="T367" s="313"/>
      <c r="U367" s="312"/>
      <c r="AT367" s="293"/>
      <c r="AU367" s="293"/>
      <c r="AV367" s="293"/>
      <c r="AW367" s="293"/>
      <c r="AX367" s="293"/>
      <c r="AY367" s="293"/>
      <c r="AZ367" s="293"/>
      <c r="BA367" s="293"/>
      <c r="BB367" s="293"/>
      <c r="BC367" s="293"/>
      <c r="BD367" s="293"/>
      <c r="BE367" s="293"/>
      <c r="BF367" s="293"/>
      <c r="BG367" s="293"/>
      <c r="BH367" s="293"/>
      <c r="BI367" s="293"/>
      <c r="BJ367" s="293"/>
      <c r="BK367" s="293"/>
      <c r="BL367" s="293"/>
      <c r="BM367" s="293"/>
      <c r="BN367" s="293"/>
      <c r="BO367" s="293"/>
      <c r="BP367" s="293"/>
      <c r="BQ367" s="293"/>
      <c r="BR367" s="293"/>
      <c r="BS367" s="293"/>
      <c r="BT367" s="293"/>
      <c r="BU367" s="293"/>
      <c r="BV367" s="293"/>
      <c r="BW367" s="293"/>
      <c r="BX367" s="293"/>
      <c r="BY367" s="293"/>
      <c r="BZ367" s="293"/>
    </row>
    <row r="368" spans="1:78" s="295" customFormat="1" ht="12.75" x14ac:dyDescent="0.2">
      <c r="A368" s="307"/>
      <c r="B368" s="307"/>
      <c r="C368" s="308"/>
      <c r="D368" s="308"/>
      <c r="E368" s="309"/>
      <c r="F368" s="309"/>
      <c r="G368" s="309"/>
      <c r="H368" s="314"/>
      <c r="I368" s="312"/>
      <c r="J368" s="312"/>
      <c r="T368" s="313"/>
      <c r="U368" s="312"/>
      <c r="AT368" s="293"/>
      <c r="AU368" s="293"/>
      <c r="AV368" s="293"/>
      <c r="AW368" s="293"/>
      <c r="AX368" s="293"/>
      <c r="AY368" s="293"/>
      <c r="AZ368" s="293"/>
      <c r="BA368" s="293"/>
      <c r="BB368" s="293"/>
      <c r="BC368" s="293"/>
      <c r="BD368" s="293"/>
      <c r="BE368" s="293"/>
      <c r="BF368" s="293"/>
      <c r="BG368" s="293"/>
      <c r="BH368" s="293"/>
      <c r="BI368" s="293"/>
      <c r="BJ368" s="293"/>
      <c r="BK368" s="293"/>
      <c r="BL368" s="293"/>
      <c r="BM368" s="293"/>
      <c r="BN368" s="293"/>
      <c r="BO368" s="293"/>
      <c r="BP368" s="293"/>
      <c r="BQ368" s="293"/>
      <c r="BR368" s="293"/>
      <c r="BS368" s="293"/>
      <c r="BT368" s="293"/>
      <c r="BU368" s="293"/>
      <c r="BV368" s="293"/>
      <c r="BW368" s="293"/>
      <c r="BX368" s="293"/>
      <c r="BY368" s="293"/>
      <c r="BZ368" s="293"/>
    </row>
    <row r="369" spans="1:78" s="295" customFormat="1" ht="12.75" x14ac:dyDescent="0.2">
      <c r="A369" s="307"/>
      <c r="B369" s="307"/>
      <c r="C369" s="308"/>
      <c r="D369" s="308"/>
      <c r="E369" s="309"/>
      <c r="F369" s="309"/>
      <c r="G369" s="309"/>
      <c r="H369" s="314"/>
      <c r="I369" s="312"/>
      <c r="J369" s="312"/>
      <c r="T369" s="313"/>
      <c r="U369" s="312"/>
      <c r="AT369" s="293"/>
      <c r="AU369" s="293"/>
      <c r="AV369" s="293"/>
      <c r="AW369" s="293"/>
      <c r="AX369" s="293"/>
      <c r="AY369" s="293"/>
      <c r="AZ369" s="293"/>
      <c r="BA369" s="293"/>
      <c r="BB369" s="293"/>
      <c r="BC369" s="293"/>
      <c r="BD369" s="293"/>
      <c r="BE369" s="293"/>
      <c r="BF369" s="293"/>
      <c r="BG369" s="293"/>
      <c r="BH369" s="293"/>
      <c r="BI369" s="293"/>
      <c r="BJ369" s="293"/>
      <c r="BK369" s="293"/>
      <c r="BL369" s="293"/>
      <c r="BM369" s="293"/>
      <c r="BN369" s="293"/>
      <c r="BO369" s="293"/>
      <c r="BP369" s="293"/>
      <c r="BQ369" s="293"/>
      <c r="BR369" s="293"/>
      <c r="BS369" s="293"/>
      <c r="BT369" s="293"/>
      <c r="BU369" s="293"/>
      <c r="BV369" s="293"/>
      <c r="BW369" s="293"/>
      <c r="BX369" s="293"/>
      <c r="BY369" s="293"/>
      <c r="BZ369" s="293"/>
    </row>
    <row r="370" spans="1:78" s="295" customFormat="1" ht="12.75" x14ac:dyDescent="0.2">
      <c r="A370" s="307"/>
      <c r="B370" s="307"/>
      <c r="C370" s="308"/>
      <c r="D370" s="308"/>
      <c r="E370" s="309"/>
      <c r="F370" s="309"/>
      <c r="G370" s="309"/>
      <c r="H370" s="314"/>
      <c r="I370" s="312"/>
      <c r="J370" s="312"/>
      <c r="T370" s="313"/>
      <c r="U370" s="312"/>
      <c r="AT370" s="293"/>
      <c r="AU370" s="293"/>
      <c r="AV370" s="293"/>
      <c r="AW370" s="293"/>
      <c r="AX370" s="293"/>
      <c r="AY370" s="293"/>
      <c r="AZ370" s="293"/>
      <c r="BA370" s="293"/>
      <c r="BB370" s="293"/>
      <c r="BC370" s="293"/>
      <c r="BD370" s="293"/>
      <c r="BE370" s="293"/>
      <c r="BF370" s="293"/>
      <c r="BG370" s="293"/>
      <c r="BH370" s="293"/>
      <c r="BI370" s="293"/>
      <c r="BJ370" s="293"/>
      <c r="BK370" s="293"/>
      <c r="BL370" s="293"/>
      <c r="BM370" s="293"/>
      <c r="BN370" s="293"/>
      <c r="BO370" s="293"/>
      <c r="BP370" s="293"/>
      <c r="BQ370" s="293"/>
      <c r="BR370" s="293"/>
      <c r="BS370" s="293"/>
      <c r="BT370" s="293"/>
      <c r="BU370" s="293"/>
      <c r="BV370" s="293"/>
      <c r="BW370" s="293"/>
      <c r="BX370" s="293"/>
      <c r="BY370" s="293"/>
      <c r="BZ370" s="293"/>
    </row>
    <row r="371" spans="1:78" s="295" customFormat="1" ht="12.75" x14ac:dyDescent="0.2">
      <c r="A371" s="307"/>
      <c r="B371" s="307"/>
      <c r="C371" s="308"/>
      <c r="D371" s="308"/>
      <c r="E371" s="309"/>
      <c r="F371" s="309"/>
      <c r="G371" s="309"/>
      <c r="H371" s="314"/>
      <c r="I371" s="312"/>
      <c r="J371" s="312"/>
      <c r="T371" s="313"/>
      <c r="U371" s="312"/>
      <c r="AT371" s="293"/>
      <c r="AU371" s="293"/>
      <c r="AV371" s="293"/>
      <c r="AW371" s="293"/>
      <c r="AX371" s="293"/>
      <c r="AY371" s="293"/>
      <c r="AZ371" s="293"/>
      <c r="BA371" s="293"/>
      <c r="BB371" s="293"/>
      <c r="BC371" s="293"/>
      <c r="BD371" s="293"/>
      <c r="BE371" s="293"/>
      <c r="BF371" s="293"/>
      <c r="BG371" s="293"/>
      <c r="BH371" s="293"/>
      <c r="BI371" s="293"/>
      <c r="BJ371" s="293"/>
      <c r="BK371" s="293"/>
      <c r="BL371" s="293"/>
      <c r="BM371" s="293"/>
      <c r="BN371" s="293"/>
      <c r="BO371" s="293"/>
      <c r="BP371" s="293"/>
      <c r="BQ371" s="293"/>
      <c r="BR371" s="293"/>
      <c r="BS371" s="293"/>
      <c r="BT371" s="293"/>
      <c r="BU371" s="293"/>
      <c r="BV371" s="293"/>
      <c r="BW371" s="293"/>
      <c r="BX371" s="293"/>
      <c r="BY371" s="293"/>
      <c r="BZ371" s="293"/>
    </row>
    <row r="372" spans="1:78" s="295" customFormat="1" ht="12.75" x14ac:dyDescent="0.2">
      <c r="A372" s="307"/>
      <c r="B372" s="307"/>
      <c r="C372" s="308"/>
      <c r="D372" s="308"/>
      <c r="E372" s="309"/>
      <c r="F372" s="309"/>
      <c r="G372" s="309"/>
      <c r="H372" s="314"/>
      <c r="I372" s="312"/>
      <c r="J372" s="312"/>
      <c r="T372" s="313"/>
      <c r="U372" s="312"/>
      <c r="AT372" s="293"/>
      <c r="AU372" s="293"/>
      <c r="AV372" s="293"/>
      <c r="AW372" s="293"/>
      <c r="AX372" s="293"/>
      <c r="AY372" s="293"/>
      <c r="AZ372" s="293"/>
      <c r="BA372" s="293"/>
      <c r="BB372" s="293"/>
      <c r="BC372" s="293"/>
      <c r="BD372" s="293"/>
      <c r="BE372" s="293"/>
      <c r="BF372" s="293"/>
      <c r="BG372" s="293"/>
      <c r="BH372" s="293"/>
      <c r="BI372" s="293"/>
      <c r="BJ372" s="293"/>
      <c r="BK372" s="293"/>
      <c r="BL372" s="293"/>
      <c r="BM372" s="293"/>
      <c r="BN372" s="293"/>
      <c r="BO372" s="293"/>
      <c r="BP372" s="293"/>
      <c r="BQ372" s="293"/>
      <c r="BR372" s="293"/>
      <c r="BS372" s="293"/>
      <c r="BT372" s="293"/>
      <c r="BU372" s="293"/>
      <c r="BV372" s="293"/>
      <c r="BW372" s="293"/>
      <c r="BX372" s="293"/>
      <c r="BY372" s="293"/>
      <c r="BZ372" s="293"/>
    </row>
    <row r="373" spans="1:78" s="295" customFormat="1" ht="12.75" x14ac:dyDescent="0.2">
      <c r="A373" s="307"/>
      <c r="B373" s="307"/>
      <c r="C373" s="308"/>
      <c r="D373" s="308"/>
      <c r="E373" s="309"/>
      <c r="F373" s="309"/>
      <c r="G373" s="309"/>
      <c r="H373" s="314"/>
      <c r="I373" s="312"/>
      <c r="J373" s="312"/>
      <c r="T373" s="313"/>
      <c r="U373" s="312"/>
      <c r="AT373" s="293"/>
      <c r="AU373" s="293"/>
      <c r="AV373" s="293"/>
      <c r="AW373" s="293"/>
      <c r="AX373" s="293"/>
      <c r="AY373" s="293"/>
      <c r="AZ373" s="293"/>
      <c r="BA373" s="293"/>
      <c r="BB373" s="293"/>
      <c r="BC373" s="293"/>
      <c r="BD373" s="293"/>
      <c r="BE373" s="293"/>
      <c r="BF373" s="293"/>
      <c r="BG373" s="293"/>
      <c r="BH373" s="293"/>
      <c r="BI373" s="293"/>
      <c r="BJ373" s="293"/>
      <c r="BK373" s="293"/>
      <c r="BL373" s="293"/>
      <c r="BM373" s="293"/>
      <c r="BN373" s="293"/>
      <c r="BO373" s="293"/>
      <c r="BP373" s="293"/>
      <c r="BQ373" s="293"/>
      <c r="BR373" s="293"/>
      <c r="BS373" s="293"/>
      <c r="BT373" s="293"/>
      <c r="BU373" s="293"/>
      <c r="BV373" s="293"/>
      <c r="BW373" s="293"/>
      <c r="BX373" s="293"/>
      <c r="BY373" s="293"/>
      <c r="BZ373" s="293"/>
    </row>
    <row r="374" spans="1:78" s="295" customFormat="1" ht="12.75" x14ac:dyDescent="0.2">
      <c r="A374" s="307"/>
      <c r="B374" s="307"/>
      <c r="C374" s="308"/>
      <c r="D374" s="308"/>
      <c r="E374" s="309"/>
      <c r="F374" s="309"/>
      <c r="G374" s="309"/>
      <c r="H374" s="314"/>
      <c r="I374" s="312"/>
      <c r="J374" s="312"/>
      <c r="T374" s="313"/>
      <c r="U374" s="312"/>
      <c r="AT374" s="293"/>
      <c r="AU374" s="293"/>
      <c r="AV374" s="293"/>
      <c r="AW374" s="293"/>
      <c r="AX374" s="293"/>
      <c r="AY374" s="293"/>
      <c r="AZ374" s="293"/>
      <c r="BA374" s="293"/>
      <c r="BB374" s="293"/>
      <c r="BC374" s="293"/>
      <c r="BD374" s="293"/>
      <c r="BE374" s="293"/>
      <c r="BF374" s="293"/>
      <c r="BG374" s="293"/>
      <c r="BH374" s="293"/>
      <c r="BI374" s="293"/>
      <c r="BJ374" s="293"/>
      <c r="BK374" s="293"/>
      <c r="BL374" s="293"/>
      <c r="BM374" s="293"/>
      <c r="BN374" s="293"/>
      <c r="BO374" s="293"/>
      <c r="BP374" s="293"/>
      <c r="BQ374" s="293"/>
      <c r="BR374" s="293"/>
      <c r="BS374" s="293"/>
      <c r="BT374" s="293"/>
      <c r="BU374" s="293"/>
      <c r="BV374" s="293"/>
      <c r="BW374" s="293"/>
      <c r="BX374" s="293"/>
      <c r="BY374" s="293"/>
      <c r="BZ374" s="293"/>
    </row>
    <row r="375" spans="1:78" s="295" customFormat="1" ht="12.75" x14ac:dyDescent="0.2">
      <c r="A375" s="307"/>
      <c r="B375" s="307"/>
      <c r="C375" s="308"/>
      <c r="D375" s="308"/>
      <c r="E375" s="309"/>
      <c r="F375" s="309"/>
      <c r="G375" s="309"/>
      <c r="H375" s="314"/>
      <c r="I375" s="312"/>
      <c r="J375" s="312"/>
      <c r="T375" s="313"/>
      <c r="U375" s="312"/>
      <c r="AT375" s="293"/>
      <c r="AU375" s="293"/>
      <c r="AV375" s="293"/>
      <c r="AW375" s="293"/>
      <c r="AX375" s="293"/>
      <c r="AY375" s="293"/>
      <c r="AZ375" s="293"/>
      <c r="BA375" s="293"/>
      <c r="BB375" s="293"/>
      <c r="BC375" s="293"/>
      <c r="BD375" s="293"/>
      <c r="BE375" s="293"/>
      <c r="BF375" s="293"/>
      <c r="BG375" s="293"/>
      <c r="BH375" s="293"/>
      <c r="BI375" s="293"/>
      <c r="BJ375" s="293"/>
      <c r="BK375" s="293"/>
      <c r="BL375" s="293"/>
      <c r="BM375" s="293"/>
      <c r="BN375" s="293"/>
      <c r="BO375" s="293"/>
      <c r="BP375" s="293"/>
      <c r="BQ375" s="293"/>
      <c r="BR375" s="293"/>
      <c r="BS375" s="293"/>
      <c r="BT375" s="293"/>
      <c r="BU375" s="293"/>
      <c r="BV375" s="293"/>
      <c r="BW375" s="293"/>
      <c r="BX375" s="293"/>
      <c r="BY375" s="293"/>
      <c r="BZ375" s="293"/>
    </row>
    <row r="376" spans="1:78" s="295" customFormat="1" ht="12.75" x14ac:dyDescent="0.2">
      <c r="A376" s="307"/>
      <c r="B376" s="307"/>
      <c r="C376" s="308"/>
      <c r="D376" s="308"/>
      <c r="E376" s="309"/>
      <c r="F376" s="309"/>
      <c r="G376" s="309"/>
      <c r="H376" s="314"/>
      <c r="I376" s="312"/>
      <c r="J376" s="312"/>
      <c r="T376" s="313"/>
      <c r="U376" s="312"/>
      <c r="AT376" s="293"/>
      <c r="AU376" s="293"/>
      <c r="AV376" s="293"/>
      <c r="AW376" s="293"/>
      <c r="AX376" s="293"/>
      <c r="AY376" s="293"/>
      <c r="AZ376" s="293"/>
      <c r="BA376" s="293"/>
      <c r="BB376" s="293"/>
      <c r="BC376" s="293"/>
      <c r="BD376" s="293"/>
      <c r="BE376" s="293"/>
      <c r="BF376" s="293"/>
      <c r="BG376" s="293"/>
      <c r="BH376" s="293"/>
      <c r="BI376" s="293"/>
      <c r="BJ376" s="293"/>
      <c r="BK376" s="293"/>
      <c r="BL376" s="293"/>
      <c r="BM376" s="293"/>
      <c r="BN376" s="293"/>
      <c r="BO376" s="293"/>
      <c r="BP376" s="293"/>
      <c r="BQ376" s="293"/>
      <c r="BR376" s="293"/>
      <c r="BS376" s="293"/>
      <c r="BT376" s="293"/>
      <c r="BU376" s="293"/>
      <c r="BV376" s="293"/>
      <c r="BW376" s="293"/>
      <c r="BX376" s="293"/>
      <c r="BY376" s="293"/>
      <c r="BZ376" s="293"/>
    </row>
    <row r="377" spans="1:78" s="295" customFormat="1" ht="12.75" x14ac:dyDescent="0.2">
      <c r="A377" s="307"/>
      <c r="B377" s="307"/>
      <c r="C377" s="308"/>
      <c r="D377" s="308"/>
      <c r="E377" s="309"/>
      <c r="F377" s="309"/>
      <c r="G377" s="309"/>
      <c r="H377" s="314"/>
      <c r="I377" s="312"/>
      <c r="J377" s="312"/>
      <c r="T377" s="313"/>
      <c r="U377" s="312"/>
      <c r="AT377" s="293"/>
      <c r="AU377" s="293"/>
      <c r="AV377" s="293"/>
      <c r="AW377" s="293"/>
      <c r="AX377" s="293"/>
      <c r="AY377" s="293"/>
      <c r="AZ377" s="293"/>
      <c r="BA377" s="293"/>
      <c r="BB377" s="293"/>
      <c r="BC377" s="293"/>
      <c r="BD377" s="293"/>
      <c r="BE377" s="293"/>
      <c r="BF377" s="293"/>
      <c r="BG377" s="293"/>
      <c r="BH377" s="293"/>
      <c r="BI377" s="293"/>
      <c r="BJ377" s="293"/>
      <c r="BK377" s="293"/>
      <c r="BL377" s="293"/>
      <c r="BM377" s="293"/>
      <c r="BN377" s="293"/>
      <c r="BO377" s="293"/>
      <c r="BP377" s="293"/>
      <c r="BQ377" s="293"/>
      <c r="BR377" s="293"/>
      <c r="BS377" s="293"/>
      <c r="BT377" s="293"/>
      <c r="BU377" s="293"/>
      <c r="BV377" s="293"/>
      <c r="BW377" s="293"/>
      <c r="BX377" s="293"/>
      <c r="BY377" s="293"/>
      <c r="BZ377" s="293"/>
    </row>
    <row r="378" spans="1:78" s="295" customFormat="1" ht="12.75" x14ac:dyDescent="0.2">
      <c r="A378" s="307"/>
      <c r="B378" s="307"/>
      <c r="C378" s="308"/>
      <c r="D378" s="308"/>
      <c r="E378" s="309"/>
      <c r="F378" s="309"/>
      <c r="G378" s="309"/>
      <c r="H378" s="314"/>
      <c r="I378" s="312"/>
      <c r="J378" s="312"/>
      <c r="T378" s="313"/>
      <c r="U378" s="312"/>
      <c r="AT378" s="293"/>
      <c r="AU378" s="293"/>
      <c r="AV378" s="293"/>
      <c r="AW378" s="293"/>
      <c r="AX378" s="293"/>
      <c r="AY378" s="293"/>
      <c r="AZ378" s="293"/>
      <c r="BA378" s="293"/>
      <c r="BB378" s="293"/>
      <c r="BC378" s="293"/>
      <c r="BD378" s="293"/>
      <c r="BE378" s="293"/>
      <c r="BF378" s="293"/>
      <c r="BG378" s="293"/>
      <c r="BH378" s="293"/>
      <c r="BI378" s="293"/>
      <c r="BJ378" s="293"/>
      <c r="BK378" s="293"/>
      <c r="BL378" s="293"/>
      <c r="BM378" s="293"/>
      <c r="BN378" s="293"/>
      <c r="BO378" s="293"/>
      <c r="BP378" s="293"/>
      <c r="BQ378" s="293"/>
      <c r="BR378" s="293"/>
      <c r="BS378" s="293"/>
      <c r="BT378" s="293"/>
      <c r="BU378" s="293"/>
      <c r="BV378" s="293"/>
      <c r="BW378" s="293"/>
      <c r="BX378" s="293"/>
      <c r="BY378" s="293"/>
      <c r="BZ378" s="293"/>
    </row>
    <row r="379" spans="1:78" s="295" customFormat="1" ht="12.75" x14ac:dyDescent="0.2">
      <c r="A379" s="307"/>
      <c r="B379" s="307"/>
      <c r="C379" s="308"/>
      <c r="D379" s="308"/>
      <c r="E379" s="309"/>
      <c r="F379" s="309"/>
      <c r="G379" s="309"/>
      <c r="H379" s="314"/>
      <c r="I379" s="312"/>
      <c r="J379" s="312"/>
      <c r="T379" s="313"/>
      <c r="U379" s="312"/>
      <c r="AT379" s="293"/>
      <c r="AU379" s="293"/>
      <c r="AV379" s="293"/>
      <c r="AW379" s="293"/>
      <c r="AX379" s="293"/>
      <c r="AY379" s="293"/>
      <c r="AZ379" s="293"/>
      <c r="BA379" s="293"/>
      <c r="BB379" s="293"/>
      <c r="BC379" s="293"/>
      <c r="BD379" s="293"/>
      <c r="BE379" s="293"/>
      <c r="BF379" s="293"/>
      <c r="BG379" s="293"/>
      <c r="BH379" s="293"/>
      <c r="BI379" s="293"/>
      <c r="BJ379" s="293"/>
      <c r="BK379" s="293"/>
      <c r="BL379" s="293"/>
      <c r="BM379" s="293"/>
      <c r="BN379" s="293"/>
      <c r="BO379" s="293"/>
      <c r="BP379" s="293"/>
      <c r="BQ379" s="293"/>
      <c r="BR379" s="293"/>
      <c r="BS379" s="293"/>
      <c r="BT379" s="293"/>
      <c r="BU379" s="293"/>
      <c r="BV379" s="293"/>
      <c r="BW379" s="293"/>
      <c r="BX379" s="293"/>
      <c r="BY379" s="293"/>
      <c r="BZ379" s="293"/>
    </row>
    <row r="380" spans="1:78" s="295" customFormat="1" ht="12.75" x14ac:dyDescent="0.2">
      <c r="A380" s="307"/>
      <c r="B380" s="307"/>
      <c r="C380" s="308"/>
      <c r="D380" s="308"/>
      <c r="E380" s="309"/>
      <c r="F380" s="309"/>
      <c r="G380" s="309"/>
      <c r="H380" s="314"/>
      <c r="I380" s="312"/>
      <c r="J380" s="312"/>
      <c r="T380" s="313"/>
      <c r="U380" s="312"/>
      <c r="AT380" s="293"/>
      <c r="AU380" s="293"/>
      <c r="AV380" s="293"/>
      <c r="AW380" s="293"/>
      <c r="AX380" s="293"/>
      <c r="AY380" s="293"/>
      <c r="AZ380" s="293"/>
      <c r="BA380" s="293"/>
      <c r="BB380" s="293"/>
      <c r="BC380" s="293"/>
      <c r="BD380" s="293"/>
      <c r="BE380" s="293"/>
      <c r="BF380" s="293"/>
      <c r="BG380" s="293"/>
      <c r="BH380" s="293"/>
      <c r="BI380" s="293"/>
      <c r="BJ380" s="293"/>
      <c r="BK380" s="293"/>
      <c r="BL380" s="293"/>
      <c r="BM380" s="293"/>
      <c r="BN380" s="293"/>
      <c r="BO380" s="293"/>
      <c r="BP380" s="293"/>
      <c r="BQ380" s="293"/>
      <c r="BR380" s="293"/>
      <c r="BS380" s="293"/>
      <c r="BT380" s="293"/>
      <c r="BU380" s="293"/>
      <c r="BV380" s="293"/>
      <c r="BW380" s="293"/>
      <c r="BX380" s="293"/>
      <c r="BY380" s="293"/>
      <c r="BZ380" s="293"/>
    </row>
    <row r="381" spans="1:78" s="295" customFormat="1" ht="12.75" x14ac:dyDescent="0.2">
      <c r="A381" s="307"/>
      <c r="B381" s="307"/>
      <c r="C381" s="308"/>
      <c r="D381" s="308"/>
      <c r="E381" s="309"/>
      <c r="F381" s="309"/>
      <c r="G381" s="309"/>
      <c r="H381" s="314"/>
      <c r="I381" s="312"/>
      <c r="J381" s="312"/>
      <c r="T381" s="313"/>
      <c r="U381" s="312"/>
      <c r="AT381" s="293"/>
      <c r="AU381" s="293"/>
      <c r="AV381" s="293"/>
      <c r="AW381" s="293"/>
      <c r="AX381" s="293"/>
      <c r="AY381" s="293"/>
      <c r="AZ381" s="293"/>
      <c r="BA381" s="293"/>
      <c r="BB381" s="293"/>
      <c r="BC381" s="293"/>
      <c r="BD381" s="293"/>
      <c r="BE381" s="293"/>
      <c r="BF381" s="293"/>
      <c r="BG381" s="293"/>
      <c r="BH381" s="293"/>
      <c r="BI381" s="293"/>
      <c r="BJ381" s="293"/>
      <c r="BK381" s="293"/>
      <c r="BL381" s="293"/>
      <c r="BM381" s="293"/>
      <c r="BN381" s="293"/>
      <c r="BO381" s="293"/>
      <c r="BP381" s="293"/>
      <c r="BQ381" s="293"/>
      <c r="BR381" s="293"/>
      <c r="BS381" s="293"/>
      <c r="BT381" s="293"/>
      <c r="BU381" s="293"/>
      <c r="BV381" s="293"/>
      <c r="BW381" s="293"/>
      <c r="BX381" s="293"/>
      <c r="BY381" s="293"/>
      <c r="BZ381" s="293"/>
    </row>
    <row r="382" spans="1:78" s="295" customFormat="1" ht="12.75" x14ac:dyDescent="0.2">
      <c r="A382" s="307"/>
      <c r="B382" s="307"/>
      <c r="C382" s="308"/>
      <c r="D382" s="308"/>
      <c r="E382" s="309"/>
      <c r="F382" s="309"/>
      <c r="G382" s="309"/>
      <c r="H382" s="314"/>
      <c r="I382" s="312"/>
      <c r="J382" s="312"/>
      <c r="T382" s="313"/>
      <c r="U382" s="312"/>
      <c r="AT382" s="293"/>
      <c r="AU382" s="293"/>
      <c r="AV382" s="293"/>
      <c r="AW382" s="293"/>
      <c r="AX382" s="293"/>
      <c r="AY382" s="293"/>
      <c r="AZ382" s="293"/>
      <c r="BA382" s="293"/>
      <c r="BB382" s="293"/>
      <c r="BC382" s="293"/>
      <c r="BD382" s="293"/>
      <c r="BE382" s="293"/>
      <c r="BF382" s="293"/>
      <c r="BG382" s="293"/>
      <c r="BH382" s="293"/>
      <c r="BI382" s="293"/>
      <c r="BJ382" s="293"/>
      <c r="BK382" s="293"/>
      <c r="BL382" s="293"/>
      <c r="BM382" s="293"/>
      <c r="BN382" s="293"/>
      <c r="BO382" s="293"/>
      <c r="BP382" s="293"/>
      <c r="BQ382" s="293"/>
      <c r="BR382" s="293"/>
      <c r="BS382" s="293"/>
      <c r="BT382" s="293"/>
      <c r="BU382" s="293"/>
      <c r="BV382" s="293"/>
      <c r="BW382" s="293"/>
      <c r="BX382" s="293"/>
      <c r="BY382" s="293"/>
      <c r="BZ382" s="293"/>
    </row>
    <row r="383" spans="1:78" s="295" customFormat="1" ht="12.75" x14ac:dyDescent="0.2">
      <c r="A383" s="307"/>
      <c r="B383" s="307"/>
      <c r="C383" s="308"/>
      <c r="D383" s="308"/>
      <c r="E383" s="309"/>
      <c r="F383" s="309"/>
      <c r="G383" s="309"/>
      <c r="H383" s="314"/>
      <c r="I383" s="312"/>
      <c r="J383" s="312"/>
      <c r="T383" s="313"/>
      <c r="U383" s="312"/>
      <c r="AT383" s="293"/>
      <c r="AU383" s="293"/>
      <c r="AV383" s="293"/>
      <c r="AW383" s="293"/>
      <c r="AX383" s="293"/>
      <c r="AY383" s="293"/>
      <c r="AZ383" s="293"/>
      <c r="BA383" s="293"/>
      <c r="BB383" s="293"/>
      <c r="BC383" s="293"/>
      <c r="BD383" s="293"/>
      <c r="BE383" s="293"/>
      <c r="BF383" s="293"/>
      <c r="BG383" s="293"/>
      <c r="BH383" s="293"/>
      <c r="BI383" s="293"/>
      <c r="BJ383" s="293"/>
      <c r="BK383" s="293"/>
      <c r="BL383" s="293"/>
      <c r="BM383" s="293"/>
      <c r="BN383" s="293"/>
      <c r="BO383" s="293"/>
      <c r="BP383" s="293"/>
      <c r="BQ383" s="293"/>
      <c r="BR383" s="293"/>
      <c r="BS383" s="293"/>
      <c r="BT383" s="293"/>
      <c r="BU383" s="293"/>
      <c r="BV383" s="293"/>
      <c r="BW383" s="293"/>
      <c r="BX383" s="293"/>
      <c r="BY383" s="293"/>
      <c r="BZ383" s="293"/>
    </row>
    <row r="384" spans="1:78" s="295" customFormat="1" ht="12.75" x14ac:dyDescent="0.2">
      <c r="A384" s="307"/>
      <c r="B384" s="307"/>
      <c r="C384" s="308"/>
      <c r="D384" s="308"/>
      <c r="E384" s="309"/>
      <c r="F384" s="309"/>
      <c r="G384" s="309"/>
      <c r="H384" s="314"/>
      <c r="I384" s="312"/>
      <c r="J384" s="312"/>
      <c r="T384" s="313"/>
      <c r="U384" s="312"/>
      <c r="AT384" s="293"/>
      <c r="AU384" s="293"/>
      <c r="AV384" s="293"/>
      <c r="AW384" s="293"/>
      <c r="AX384" s="293"/>
      <c r="AY384" s="293"/>
      <c r="AZ384" s="293"/>
      <c r="BA384" s="293"/>
      <c r="BB384" s="293"/>
      <c r="BC384" s="293"/>
      <c r="BD384" s="293"/>
      <c r="BE384" s="293"/>
      <c r="BF384" s="293"/>
      <c r="BG384" s="293"/>
      <c r="BH384" s="293"/>
      <c r="BI384" s="293"/>
      <c r="BJ384" s="293"/>
      <c r="BK384" s="293"/>
      <c r="BL384" s="293"/>
      <c r="BM384" s="293"/>
      <c r="BN384" s="293"/>
      <c r="BO384" s="293"/>
      <c r="BP384" s="293"/>
      <c r="BQ384" s="293"/>
      <c r="BR384" s="293"/>
      <c r="BS384" s="293"/>
      <c r="BT384" s="293"/>
      <c r="BU384" s="293"/>
      <c r="BV384" s="293"/>
      <c r="BW384" s="293"/>
      <c r="BX384" s="293"/>
      <c r="BY384" s="293"/>
      <c r="BZ384" s="293"/>
    </row>
    <row r="385" spans="1:78" s="295" customFormat="1" ht="12.75" x14ac:dyDescent="0.2">
      <c r="A385" s="307"/>
      <c r="B385" s="307"/>
      <c r="C385" s="308"/>
      <c r="D385" s="308"/>
      <c r="E385" s="309"/>
      <c r="F385" s="309"/>
      <c r="G385" s="309"/>
      <c r="H385" s="314"/>
      <c r="I385" s="312"/>
      <c r="J385" s="312"/>
      <c r="T385" s="313"/>
      <c r="U385" s="312"/>
      <c r="AT385" s="293"/>
      <c r="AU385" s="293"/>
      <c r="AV385" s="293"/>
      <c r="AW385" s="293"/>
      <c r="AX385" s="293"/>
      <c r="AY385" s="293"/>
      <c r="AZ385" s="293"/>
      <c r="BA385" s="293"/>
      <c r="BB385" s="293"/>
      <c r="BC385" s="293"/>
      <c r="BD385" s="293"/>
      <c r="BE385" s="293"/>
      <c r="BF385" s="293"/>
      <c r="BG385" s="293"/>
      <c r="BH385" s="293"/>
      <c r="BI385" s="293"/>
      <c r="BJ385" s="293"/>
      <c r="BK385" s="293"/>
      <c r="BL385" s="293"/>
      <c r="BM385" s="293"/>
      <c r="BN385" s="293"/>
      <c r="BO385" s="293"/>
      <c r="BP385" s="293"/>
      <c r="BQ385" s="293"/>
      <c r="BR385" s="293"/>
      <c r="BS385" s="293"/>
      <c r="BT385" s="293"/>
      <c r="BU385" s="293"/>
      <c r="BV385" s="293"/>
      <c r="BW385" s="293"/>
      <c r="BX385" s="293"/>
      <c r="BY385" s="293"/>
      <c r="BZ385" s="293"/>
    </row>
    <row r="386" spans="1:78" s="295" customFormat="1" ht="12.75" x14ac:dyDescent="0.2">
      <c r="A386" s="307"/>
      <c r="B386" s="307"/>
      <c r="C386" s="308"/>
      <c r="D386" s="308"/>
      <c r="E386" s="309"/>
      <c r="F386" s="309"/>
      <c r="G386" s="309"/>
      <c r="H386" s="314"/>
      <c r="I386" s="312"/>
      <c r="J386" s="312"/>
      <c r="T386" s="313"/>
      <c r="U386" s="312"/>
      <c r="AT386" s="293"/>
      <c r="AU386" s="293"/>
      <c r="AV386" s="293"/>
      <c r="AW386" s="293"/>
      <c r="AX386" s="293"/>
      <c r="AY386" s="293"/>
      <c r="AZ386" s="293"/>
      <c r="BA386" s="293"/>
      <c r="BB386" s="293"/>
      <c r="BC386" s="293"/>
      <c r="BD386" s="293"/>
      <c r="BE386" s="293"/>
      <c r="BF386" s="293"/>
      <c r="BG386" s="293"/>
      <c r="BH386" s="293"/>
      <c r="BI386" s="293"/>
      <c r="BJ386" s="293"/>
      <c r="BK386" s="293"/>
      <c r="BL386" s="293"/>
      <c r="BM386" s="293"/>
      <c r="BN386" s="293"/>
      <c r="BO386" s="293"/>
      <c r="BP386" s="293"/>
      <c r="BQ386" s="293"/>
      <c r="BR386" s="293"/>
      <c r="BS386" s="293"/>
      <c r="BT386" s="293"/>
      <c r="BU386" s="293"/>
      <c r="BV386" s="293"/>
      <c r="BW386" s="293"/>
      <c r="BX386" s="293"/>
      <c r="BY386" s="293"/>
      <c r="BZ386" s="293"/>
    </row>
    <row r="387" spans="1:78" s="295" customFormat="1" ht="12.75" x14ac:dyDescent="0.2">
      <c r="A387" s="307"/>
      <c r="B387" s="307"/>
      <c r="C387" s="308"/>
      <c r="D387" s="308"/>
      <c r="E387" s="309"/>
      <c r="F387" s="309"/>
      <c r="G387" s="309"/>
      <c r="H387" s="314"/>
      <c r="I387" s="312"/>
      <c r="J387" s="312"/>
      <c r="T387" s="313"/>
      <c r="U387" s="312"/>
      <c r="AT387" s="293"/>
      <c r="AU387" s="293"/>
      <c r="AV387" s="293"/>
      <c r="AW387" s="293"/>
      <c r="AX387" s="293"/>
      <c r="AY387" s="293"/>
      <c r="AZ387" s="293"/>
      <c r="BA387" s="293"/>
      <c r="BB387" s="293"/>
      <c r="BC387" s="293"/>
      <c r="BD387" s="293"/>
      <c r="BE387" s="293"/>
      <c r="BF387" s="293"/>
      <c r="BG387" s="293"/>
      <c r="BH387" s="293"/>
      <c r="BI387" s="293"/>
      <c r="BJ387" s="293"/>
      <c r="BK387" s="293"/>
      <c r="BL387" s="293"/>
      <c r="BM387" s="293"/>
      <c r="BN387" s="293"/>
      <c r="BO387" s="293"/>
      <c r="BP387" s="293"/>
      <c r="BQ387" s="293"/>
      <c r="BR387" s="293"/>
      <c r="BS387" s="293"/>
      <c r="BT387" s="293"/>
      <c r="BU387" s="293"/>
      <c r="BV387" s="293"/>
      <c r="BW387" s="293"/>
      <c r="BX387" s="293"/>
      <c r="BY387" s="293"/>
      <c r="BZ387" s="293"/>
    </row>
    <row r="388" spans="1:78" s="295" customFormat="1" ht="12.75" x14ac:dyDescent="0.2">
      <c r="A388" s="307"/>
      <c r="B388" s="307"/>
      <c r="C388" s="308"/>
      <c r="D388" s="308"/>
      <c r="E388" s="309"/>
      <c r="F388" s="309"/>
      <c r="G388" s="309"/>
      <c r="H388" s="314"/>
      <c r="I388" s="312"/>
      <c r="J388" s="312"/>
      <c r="T388" s="313"/>
      <c r="U388" s="312"/>
      <c r="AT388" s="293"/>
      <c r="AU388" s="293"/>
      <c r="AV388" s="293"/>
      <c r="AW388" s="293"/>
      <c r="AX388" s="293"/>
      <c r="AY388" s="293"/>
      <c r="AZ388" s="293"/>
      <c r="BA388" s="293"/>
      <c r="BB388" s="293"/>
      <c r="BC388" s="293"/>
      <c r="BD388" s="293"/>
      <c r="BE388" s="293"/>
      <c r="BF388" s="293"/>
      <c r="BG388" s="293"/>
      <c r="BH388" s="293"/>
      <c r="BI388" s="293"/>
      <c r="BJ388" s="293"/>
      <c r="BK388" s="293"/>
      <c r="BL388" s="293"/>
      <c r="BM388" s="293"/>
      <c r="BN388" s="293"/>
      <c r="BO388" s="293"/>
      <c r="BP388" s="293"/>
      <c r="BQ388" s="293"/>
      <c r="BR388" s="293"/>
      <c r="BS388" s="293"/>
      <c r="BT388" s="293"/>
      <c r="BU388" s="293"/>
      <c r="BV388" s="293"/>
      <c r="BW388" s="293"/>
      <c r="BX388" s="293"/>
      <c r="BY388" s="293"/>
      <c r="BZ388" s="293"/>
    </row>
    <row r="389" spans="1:78" s="295" customFormat="1" ht="12.75" x14ac:dyDescent="0.2">
      <c r="A389" s="307"/>
      <c r="B389" s="307"/>
      <c r="C389" s="308"/>
      <c r="D389" s="308"/>
      <c r="E389" s="309"/>
      <c r="F389" s="309"/>
      <c r="G389" s="309"/>
      <c r="H389" s="314"/>
      <c r="I389" s="312"/>
      <c r="J389" s="312"/>
      <c r="T389" s="313"/>
      <c r="U389" s="312"/>
      <c r="AT389" s="293"/>
      <c r="AU389" s="293"/>
      <c r="AV389" s="293"/>
      <c r="AW389" s="293"/>
      <c r="AX389" s="293"/>
      <c r="AY389" s="293"/>
      <c r="AZ389" s="293"/>
      <c r="BA389" s="293"/>
      <c r="BB389" s="293"/>
      <c r="BC389" s="293"/>
      <c r="BD389" s="293"/>
      <c r="BE389" s="293"/>
      <c r="BF389" s="293"/>
      <c r="BG389" s="293"/>
      <c r="BH389" s="293"/>
      <c r="BI389" s="293"/>
      <c r="BJ389" s="293"/>
      <c r="BK389" s="293"/>
      <c r="BL389" s="293"/>
      <c r="BM389" s="293"/>
      <c r="BN389" s="293"/>
      <c r="BO389" s="293"/>
      <c r="BP389" s="293"/>
      <c r="BQ389" s="293"/>
      <c r="BR389" s="293"/>
      <c r="BS389" s="293"/>
      <c r="BT389" s="293"/>
      <c r="BU389" s="293"/>
      <c r="BV389" s="293"/>
      <c r="BW389" s="293"/>
      <c r="BX389" s="293"/>
      <c r="BY389" s="293"/>
      <c r="BZ389" s="293"/>
    </row>
    <row r="390" spans="1:78" s="295" customFormat="1" ht="12.75" x14ac:dyDescent="0.2">
      <c r="A390" s="307"/>
      <c r="B390" s="307"/>
      <c r="C390" s="308"/>
      <c r="D390" s="308"/>
      <c r="E390" s="309"/>
      <c r="F390" s="309"/>
      <c r="G390" s="309"/>
      <c r="H390" s="314"/>
      <c r="I390" s="312"/>
      <c r="J390" s="312"/>
      <c r="T390" s="313"/>
      <c r="U390" s="312"/>
      <c r="AT390" s="293"/>
      <c r="AU390" s="293"/>
      <c r="AV390" s="293"/>
      <c r="AW390" s="293"/>
      <c r="AX390" s="293"/>
      <c r="AY390" s="293"/>
      <c r="AZ390" s="293"/>
      <c r="BA390" s="293"/>
      <c r="BB390" s="293"/>
      <c r="BC390" s="293"/>
      <c r="BD390" s="293"/>
      <c r="BE390" s="293"/>
      <c r="BF390" s="293"/>
      <c r="BG390" s="293"/>
      <c r="BH390" s="293"/>
      <c r="BI390" s="293"/>
      <c r="BJ390" s="293"/>
      <c r="BK390" s="293"/>
      <c r="BL390" s="293"/>
      <c r="BM390" s="293"/>
      <c r="BN390" s="293"/>
      <c r="BO390" s="293"/>
      <c r="BP390" s="293"/>
      <c r="BQ390" s="293"/>
      <c r="BR390" s="293"/>
      <c r="BS390" s="293"/>
      <c r="BT390" s="293"/>
      <c r="BU390" s="293"/>
      <c r="BV390" s="293"/>
      <c r="BW390" s="293"/>
      <c r="BX390" s="293"/>
      <c r="BY390" s="293"/>
      <c r="BZ390" s="293"/>
    </row>
    <row r="391" spans="1:78" s="295" customFormat="1" ht="12.75" x14ac:dyDescent="0.2">
      <c r="A391" s="307"/>
      <c r="B391" s="307"/>
      <c r="C391" s="308"/>
      <c r="D391" s="308"/>
      <c r="E391" s="309"/>
      <c r="F391" s="309"/>
      <c r="G391" s="309"/>
      <c r="H391" s="314"/>
      <c r="I391" s="312"/>
      <c r="J391" s="312"/>
      <c r="T391" s="313"/>
      <c r="U391" s="312"/>
      <c r="AT391" s="293"/>
      <c r="AU391" s="293"/>
      <c r="AV391" s="293"/>
      <c r="AW391" s="293"/>
      <c r="AX391" s="293"/>
      <c r="AY391" s="293"/>
      <c r="AZ391" s="293"/>
      <c r="BA391" s="293"/>
      <c r="BB391" s="293"/>
      <c r="BC391" s="293"/>
      <c r="BD391" s="293"/>
      <c r="BE391" s="293"/>
      <c r="BF391" s="293"/>
      <c r="BG391" s="293"/>
      <c r="BH391" s="293"/>
      <c r="BI391" s="293"/>
      <c r="BJ391" s="293"/>
      <c r="BK391" s="293"/>
      <c r="BL391" s="293"/>
      <c r="BM391" s="293"/>
      <c r="BN391" s="293"/>
      <c r="BO391" s="293"/>
      <c r="BP391" s="293"/>
      <c r="BQ391" s="293"/>
      <c r="BR391" s="293"/>
      <c r="BS391" s="293"/>
      <c r="BT391" s="293"/>
      <c r="BU391" s="293"/>
      <c r="BV391" s="293"/>
      <c r="BW391" s="293"/>
      <c r="BX391" s="293"/>
      <c r="BY391" s="293"/>
      <c r="BZ391" s="293"/>
    </row>
    <row r="392" spans="1:78" s="295" customFormat="1" ht="12.75" x14ac:dyDescent="0.2">
      <c r="A392" s="307"/>
      <c r="B392" s="307"/>
      <c r="C392" s="308"/>
      <c r="D392" s="308"/>
      <c r="E392" s="309"/>
      <c r="F392" s="309"/>
      <c r="G392" s="309"/>
      <c r="H392" s="314"/>
      <c r="I392" s="312"/>
      <c r="J392" s="312"/>
      <c r="T392" s="313"/>
      <c r="U392" s="312"/>
      <c r="AT392" s="293"/>
      <c r="AU392" s="293"/>
      <c r="AV392" s="293"/>
      <c r="AW392" s="293"/>
      <c r="AX392" s="293"/>
      <c r="AY392" s="293"/>
      <c r="AZ392" s="293"/>
      <c r="BA392" s="293"/>
      <c r="BB392" s="293"/>
      <c r="BC392" s="293"/>
      <c r="BD392" s="293"/>
      <c r="BE392" s="293"/>
      <c r="BF392" s="293"/>
      <c r="BG392" s="293"/>
      <c r="BH392" s="293"/>
      <c r="BI392" s="293"/>
      <c r="BJ392" s="293"/>
      <c r="BK392" s="293"/>
      <c r="BL392" s="293"/>
      <c r="BM392" s="293"/>
      <c r="BN392" s="293"/>
      <c r="BO392" s="293"/>
      <c r="BP392" s="293"/>
      <c r="BQ392" s="293"/>
      <c r="BR392" s="293"/>
      <c r="BS392" s="293"/>
      <c r="BT392" s="293"/>
      <c r="BU392" s="293"/>
      <c r="BV392" s="293"/>
      <c r="BW392" s="293"/>
      <c r="BX392" s="293"/>
      <c r="BY392" s="293"/>
      <c r="BZ392" s="293"/>
    </row>
  </sheetData>
  <autoFilter ref="A6:BZ292"/>
  <dataConsolidate/>
  <mergeCells count="883">
    <mergeCell ref="P215:P220"/>
    <mergeCell ref="Q215:Q220"/>
    <mergeCell ref="R215:R220"/>
    <mergeCell ref="A55:A60"/>
    <mergeCell ref="B55:B60"/>
    <mergeCell ref="C55:C60"/>
    <mergeCell ref="D55:D60"/>
    <mergeCell ref="E55:E60"/>
    <mergeCell ref="F55:F60"/>
    <mergeCell ref="G55:G60"/>
    <mergeCell ref="H55:H60"/>
    <mergeCell ref="I55:I60"/>
    <mergeCell ref="J55:J60"/>
    <mergeCell ref="K55:K60"/>
    <mergeCell ref="L55:L60"/>
    <mergeCell ref="M55:M60"/>
    <mergeCell ref="N55:N60"/>
    <mergeCell ref="P55:P60"/>
    <mergeCell ref="Q55:Q60"/>
    <mergeCell ref="A215:A220"/>
    <mergeCell ref="B215:B220"/>
    <mergeCell ref="K215:K220"/>
    <mergeCell ref="L215:L220"/>
    <mergeCell ref="C203:C208"/>
    <mergeCell ref="J31:J36"/>
    <mergeCell ref="K31:K36"/>
    <mergeCell ref="L31:L36"/>
    <mergeCell ref="M31:M36"/>
    <mergeCell ref="N31:N36"/>
    <mergeCell ref="P31:P36"/>
    <mergeCell ref="Q31:Q36"/>
    <mergeCell ref="R31:R36"/>
    <mergeCell ref="N49:N54"/>
    <mergeCell ref="P49:P54"/>
    <mergeCell ref="Q49:Q54"/>
    <mergeCell ref="P43:P48"/>
    <mergeCell ref="Q43:Q48"/>
    <mergeCell ref="R43:R48"/>
    <mergeCell ref="R49:R54"/>
    <mergeCell ref="L37:L42"/>
    <mergeCell ref="M37:M42"/>
    <mergeCell ref="N37:N42"/>
    <mergeCell ref="P37:P42"/>
    <mergeCell ref="Q37:Q42"/>
    <mergeCell ref="R37:R42"/>
    <mergeCell ref="L43:L48"/>
    <mergeCell ref="M43:M48"/>
    <mergeCell ref="R287:R292"/>
    <mergeCell ref="A287:A292"/>
    <mergeCell ref="B287:B292"/>
    <mergeCell ref="C287:C292"/>
    <mergeCell ref="D287:D292"/>
    <mergeCell ref="E287:E292"/>
    <mergeCell ref="F287:F292"/>
    <mergeCell ref="G287:G292"/>
    <mergeCell ref="H287:H292"/>
    <mergeCell ref="I287:I292"/>
    <mergeCell ref="J287:J292"/>
    <mergeCell ref="K287:K292"/>
    <mergeCell ref="L287:L292"/>
    <mergeCell ref="M287:M292"/>
    <mergeCell ref="N287:N292"/>
    <mergeCell ref="O287:O292"/>
    <mergeCell ref="P287:P292"/>
    <mergeCell ref="Q287:Q292"/>
    <mergeCell ref="D203:D208"/>
    <mergeCell ref="E203:E208"/>
    <mergeCell ref="G239:G244"/>
    <mergeCell ref="H239:H244"/>
    <mergeCell ref="F239:F244"/>
    <mergeCell ref="I251:I256"/>
    <mergeCell ref="C251:C256"/>
    <mergeCell ref="D251:D256"/>
    <mergeCell ref="E251:E256"/>
    <mergeCell ref="F251:F256"/>
    <mergeCell ref="F221:F226"/>
    <mergeCell ref="G221:G226"/>
    <mergeCell ref="H221:H226"/>
    <mergeCell ref="F215:F220"/>
    <mergeCell ref="G215:G220"/>
    <mergeCell ref="H215:H220"/>
    <mergeCell ref="I215:I220"/>
    <mergeCell ref="F227:F232"/>
    <mergeCell ref="I221:I226"/>
    <mergeCell ref="P227:P232"/>
    <mergeCell ref="M227:M232"/>
    <mergeCell ref="N239:N244"/>
    <mergeCell ref="O269:O274"/>
    <mergeCell ref="P269:P274"/>
    <mergeCell ref="L263:L268"/>
    <mergeCell ref="F257:F262"/>
    <mergeCell ref="O227:O232"/>
    <mergeCell ref="C215:C220"/>
    <mergeCell ref="D215:D220"/>
    <mergeCell ref="O233:O238"/>
    <mergeCell ref="P233:P238"/>
    <mergeCell ref="P257:P262"/>
    <mergeCell ref="P251:P256"/>
    <mergeCell ref="O239:O244"/>
    <mergeCell ref="P239:P244"/>
    <mergeCell ref="P263:P268"/>
    <mergeCell ref="O257:O262"/>
    <mergeCell ref="M263:M268"/>
    <mergeCell ref="N263:N268"/>
    <mergeCell ref="M257:M262"/>
    <mergeCell ref="N257:N262"/>
    <mergeCell ref="K245:K250"/>
    <mergeCell ref="E221:E226"/>
    <mergeCell ref="A251:A256"/>
    <mergeCell ref="A245:A250"/>
    <mergeCell ref="C245:C250"/>
    <mergeCell ref="A203:A208"/>
    <mergeCell ref="A269:A274"/>
    <mergeCell ref="C269:C274"/>
    <mergeCell ref="D269:D274"/>
    <mergeCell ref="C239:C244"/>
    <mergeCell ref="A257:A262"/>
    <mergeCell ref="A239:A244"/>
    <mergeCell ref="B269:B274"/>
    <mergeCell ref="D221:D226"/>
    <mergeCell ref="A221:A226"/>
    <mergeCell ref="A263:A268"/>
    <mergeCell ref="B263:B268"/>
    <mergeCell ref="B221:B226"/>
    <mergeCell ref="B227:B232"/>
    <mergeCell ref="B233:B238"/>
    <mergeCell ref="C257:C262"/>
    <mergeCell ref="A209:A214"/>
    <mergeCell ref="C209:C214"/>
    <mergeCell ref="A233:A238"/>
    <mergeCell ref="A227:A232"/>
    <mergeCell ref="D227:D232"/>
    <mergeCell ref="J215:J220"/>
    <mergeCell ref="E215:E220"/>
    <mergeCell ref="B251:B256"/>
    <mergeCell ref="C233:C238"/>
    <mergeCell ref="D233:D238"/>
    <mergeCell ref="E245:E250"/>
    <mergeCell ref="F245:F250"/>
    <mergeCell ref="G245:G250"/>
    <mergeCell ref="H245:H250"/>
    <mergeCell ref="I245:I250"/>
    <mergeCell ref="I239:I244"/>
    <mergeCell ref="B239:B244"/>
    <mergeCell ref="B245:B250"/>
    <mergeCell ref="G233:G238"/>
    <mergeCell ref="H233:H238"/>
    <mergeCell ref="K275:K280"/>
    <mergeCell ref="E263:E268"/>
    <mergeCell ref="F263:F268"/>
    <mergeCell ref="G263:G268"/>
    <mergeCell ref="H263:H268"/>
    <mergeCell ref="I263:I268"/>
    <mergeCell ref="J263:J268"/>
    <mergeCell ref="H275:H280"/>
    <mergeCell ref="I275:I280"/>
    <mergeCell ref="J269:J274"/>
    <mergeCell ref="B275:B280"/>
    <mergeCell ref="G203:G208"/>
    <mergeCell ref="H203:H208"/>
    <mergeCell ref="I203:I208"/>
    <mergeCell ref="J203:J208"/>
    <mergeCell ref="B203:B208"/>
    <mergeCell ref="K227:K232"/>
    <mergeCell ref="C227:C232"/>
    <mergeCell ref="E227:E232"/>
    <mergeCell ref="G227:G232"/>
    <mergeCell ref="H227:H232"/>
    <mergeCell ref="I227:I232"/>
    <mergeCell ref="J227:J232"/>
    <mergeCell ref="J221:J226"/>
    <mergeCell ref="K263:K268"/>
    <mergeCell ref="E233:E238"/>
    <mergeCell ref="K209:K214"/>
    <mergeCell ref="J275:J280"/>
    <mergeCell ref="D239:D244"/>
    <mergeCell ref="D245:D250"/>
    <mergeCell ref="F233:F238"/>
    <mergeCell ref="C263:C268"/>
    <mergeCell ref="B257:B262"/>
    <mergeCell ref="C221:C226"/>
    <mergeCell ref="Q203:Q208"/>
    <mergeCell ref="R203:R208"/>
    <mergeCell ref="N191:N196"/>
    <mergeCell ref="P191:P196"/>
    <mergeCell ref="Q191:Q196"/>
    <mergeCell ref="R191:R196"/>
    <mergeCell ref="K191:K196"/>
    <mergeCell ref="N197:N202"/>
    <mergeCell ref="H137:H142"/>
    <mergeCell ref="J143:J148"/>
    <mergeCell ref="K143:K148"/>
    <mergeCell ref="L143:L148"/>
    <mergeCell ref="M143:M148"/>
    <mergeCell ref="N143:N148"/>
    <mergeCell ref="P143:P148"/>
    <mergeCell ref="Q143:Q148"/>
    <mergeCell ref="R137:R142"/>
    <mergeCell ref="H143:H148"/>
    <mergeCell ref="L137:L142"/>
    <mergeCell ref="M137:M142"/>
    <mergeCell ref="N137:N142"/>
    <mergeCell ref="J185:J190"/>
    <mergeCell ref="P185:P190"/>
    <mergeCell ref="Q185:Q190"/>
    <mergeCell ref="A7:A12"/>
    <mergeCell ref="C7:C12"/>
    <mergeCell ref="D7:D12"/>
    <mergeCell ref="E7:E12"/>
    <mergeCell ref="F7:F12"/>
    <mergeCell ref="G7:G12"/>
    <mergeCell ref="H7:H12"/>
    <mergeCell ref="I7:I12"/>
    <mergeCell ref="G131:G136"/>
    <mergeCell ref="H131:H136"/>
    <mergeCell ref="I131:I136"/>
    <mergeCell ref="A25:A30"/>
    <mergeCell ref="A43:A48"/>
    <mergeCell ref="B43:B48"/>
    <mergeCell ref="A67:A72"/>
    <mergeCell ref="A85:A90"/>
    <mergeCell ref="F97:F102"/>
    <mergeCell ref="G97:G102"/>
    <mergeCell ref="A31:A36"/>
    <mergeCell ref="B31:B36"/>
    <mergeCell ref="C31:C36"/>
    <mergeCell ref="D31:D36"/>
    <mergeCell ref="E31:E36"/>
    <mergeCell ref="F31:F36"/>
    <mergeCell ref="B191:B196"/>
    <mergeCell ref="B197:B202"/>
    <mergeCell ref="J131:J136"/>
    <mergeCell ref="J209:J214"/>
    <mergeCell ref="F203:F208"/>
    <mergeCell ref="H67:H72"/>
    <mergeCell ref="C61:C66"/>
    <mergeCell ref="D61:D66"/>
    <mergeCell ref="J97:J102"/>
    <mergeCell ref="F131:F136"/>
    <mergeCell ref="D209:D214"/>
    <mergeCell ref="E209:E214"/>
    <mergeCell ref="F209:F214"/>
    <mergeCell ref="G209:G214"/>
    <mergeCell ref="H209:H214"/>
    <mergeCell ref="B209:B214"/>
    <mergeCell ref="I191:I196"/>
    <mergeCell ref="I209:I214"/>
    <mergeCell ref="J191:J196"/>
    <mergeCell ref="J67:J72"/>
    <mergeCell ref="J91:J96"/>
    <mergeCell ref="B91:B96"/>
    <mergeCell ref="B61:B66"/>
    <mergeCell ref="I91:I96"/>
    <mergeCell ref="J7:J12"/>
    <mergeCell ref="B7:B12"/>
    <mergeCell ref="A197:A202"/>
    <mergeCell ref="C197:C202"/>
    <mergeCell ref="D197:D202"/>
    <mergeCell ref="E197:E202"/>
    <mergeCell ref="F197:F202"/>
    <mergeCell ref="G197:G202"/>
    <mergeCell ref="H197:H202"/>
    <mergeCell ref="I197:I202"/>
    <mergeCell ref="J197:J202"/>
    <mergeCell ref="A191:A196"/>
    <mergeCell ref="C191:C196"/>
    <mergeCell ref="D191:D196"/>
    <mergeCell ref="E191:E196"/>
    <mergeCell ref="F191:F196"/>
    <mergeCell ref="G191:G196"/>
    <mergeCell ref="H191:H196"/>
    <mergeCell ref="E67:E72"/>
    <mergeCell ref="F67:F72"/>
    <mergeCell ref="I67:I72"/>
    <mergeCell ref="A37:A42"/>
    <mergeCell ref="A73:A78"/>
    <mergeCell ref="A79:A84"/>
    <mergeCell ref="F3:G4"/>
    <mergeCell ref="F5:F6"/>
    <mergeCell ref="G5:G6"/>
    <mergeCell ref="D3:D6"/>
    <mergeCell ref="C79:C84"/>
    <mergeCell ref="C25:C30"/>
    <mergeCell ref="D37:D42"/>
    <mergeCell ref="D79:D84"/>
    <mergeCell ref="C73:C78"/>
    <mergeCell ref="D73:D78"/>
    <mergeCell ref="G73:G78"/>
    <mergeCell ref="D25:D30"/>
    <mergeCell ref="C37:C42"/>
    <mergeCell ref="F79:F84"/>
    <mergeCell ref="G67:G72"/>
    <mergeCell ref="G31:G36"/>
    <mergeCell ref="F13:F18"/>
    <mergeCell ref="G13:G18"/>
    <mergeCell ref="E61:E66"/>
    <mergeCell ref="F61:F66"/>
    <mergeCell ref="G61:G66"/>
    <mergeCell ref="C43:C48"/>
    <mergeCell ref="D43:D48"/>
    <mergeCell ref="E43:E48"/>
    <mergeCell ref="AP3:AP6"/>
    <mergeCell ref="AS3:AS6"/>
    <mergeCell ref="AO3:AO6"/>
    <mergeCell ref="AQ3:AQ6"/>
    <mergeCell ref="A19:A24"/>
    <mergeCell ref="C19:C24"/>
    <mergeCell ref="D19:D24"/>
    <mergeCell ref="E19:E24"/>
    <mergeCell ref="F19:F24"/>
    <mergeCell ref="G19:G24"/>
    <mergeCell ref="H19:H24"/>
    <mergeCell ref="I19:I24"/>
    <mergeCell ref="J19:J24"/>
    <mergeCell ref="K19:K24"/>
    <mergeCell ref="L19:L24"/>
    <mergeCell ref="M19:M24"/>
    <mergeCell ref="N19:N24"/>
    <mergeCell ref="O19:O24"/>
    <mergeCell ref="P19:P24"/>
    <mergeCell ref="Q19:Q24"/>
    <mergeCell ref="R19:R24"/>
    <mergeCell ref="C3:C6"/>
    <mergeCell ref="E3:E6"/>
    <mergeCell ref="H3:H6"/>
    <mergeCell ref="L269:L274"/>
    <mergeCell ref="K221:K226"/>
    <mergeCell ref="L221:L226"/>
    <mergeCell ref="M221:M226"/>
    <mergeCell ref="K7:K12"/>
    <mergeCell ref="L7:L12"/>
    <mergeCell ref="M7:M12"/>
    <mergeCell ref="I233:I238"/>
    <mergeCell ref="J233:J238"/>
    <mergeCell ref="I73:I78"/>
    <mergeCell ref="J73:J78"/>
    <mergeCell ref="K119:K124"/>
    <mergeCell ref="I79:I84"/>
    <mergeCell ref="J79:J84"/>
    <mergeCell ref="L67:L72"/>
    <mergeCell ref="M67:M72"/>
    <mergeCell ref="K113:K118"/>
    <mergeCell ref="K179:K184"/>
    <mergeCell ref="L179:L184"/>
    <mergeCell ref="M13:M18"/>
    <mergeCell ref="L191:L196"/>
    <mergeCell ref="K203:K208"/>
    <mergeCell ref="L203:L208"/>
    <mergeCell ref="M203:M208"/>
    <mergeCell ref="Q245:Q250"/>
    <mergeCell ref="R245:R250"/>
    <mergeCell ref="O263:O268"/>
    <mergeCell ref="P245:P250"/>
    <mergeCell ref="I3:I6"/>
    <mergeCell ref="M191:M196"/>
    <mergeCell ref="K251:K256"/>
    <mergeCell ref="L251:L256"/>
    <mergeCell ref="M251:M256"/>
    <mergeCell ref="N7:N12"/>
    <mergeCell ref="O7:O12"/>
    <mergeCell ref="P7:P12"/>
    <mergeCell ref="Q7:Q12"/>
    <mergeCell ref="R7:R12"/>
    <mergeCell ref="R13:R18"/>
    <mergeCell ref="N13:N18"/>
    <mergeCell ref="O13:O18"/>
    <mergeCell ref="P13:P18"/>
    <mergeCell ref="Q13:Q18"/>
    <mergeCell ref="J3:J6"/>
    <mergeCell ref="Q197:Q202"/>
    <mergeCell ref="R197:R202"/>
    <mergeCell ref="N203:N208"/>
    <mergeCell ref="P203:P208"/>
    <mergeCell ref="N251:N256"/>
    <mergeCell ref="K233:K238"/>
    <mergeCell ref="L233:L238"/>
    <mergeCell ref="M233:M238"/>
    <mergeCell ref="O275:O280"/>
    <mergeCell ref="P275:P280"/>
    <mergeCell ref="Q281:Q286"/>
    <mergeCell ref="R281:R286"/>
    <mergeCell ref="Q227:Q232"/>
    <mergeCell ref="R227:R232"/>
    <mergeCell ref="Q269:Q274"/>
    <mergeCell ref="R269:R274"/>
    <mergeCell ref="Q233:Q238"/>
    <mergeCell ref="R233:R238"/>
    <mergeCell ref="Q275:Q280"/>
    <mergeCell ref="R275:R280"/>
    <mergeCell ref="Q263:Q268"/>
    <mergeCell ref="R263:R268"/>
    <mergeCell ref="Q251:Q256"/>
    <mergeCell ref="R251:R256"/>
    <mergeCell ref="Q239:Q244"/>
    <mergeCell ref="R239:R244"/>
    <mergeCell ref="Q257:Q262"/>
    <mergeCell ref="R257:R262"/>
    <mergeCell ref="L227:L232"/>
    <mergeCell ref="M245:M250"/>
    <mergeCell ref="K239:K244"/>
    <mergeCell ref="K257:K262"/>
    <mergeCell ref="I257:I262"/>
    <mergeCell ref="N233:N238"/>
    <mergeCell ref="H269:H274"/>
    <mergeCell ref="I269:I274"/>
    <mergeCell ref="D257:D262"/>
    <mergeCell ref="G251:G256"/>
    <mergeCell ref="H251:H256"/>
    <mergeCell ref="E257:E262"/>
    <mergeCell ref="J251:J256"/>
    <mergeCell ref="J239:J244"/>
    <mergeCell ref="J257:J262"/>
    <mergeCell ref="E239:E244"/>
    <mergeCell ref="D263:D268"/>
    <mergeCell ref="G257:G262"/>
    <mergeCell ref="H257:H262"/>
    <mergeCell ref="L245:L250"/>
    <mergeCell ref="N245:N250"/>
    <mergeCell ref="L239:L244"/>
    <mergeCell ref="M239:M244"/>
    <mergeCell ref="L257:L262"/>
    <mergeCell ref="A281:A286"/>
    <mergeCell ref="M269:M274"/>
    <mergeCell ref="N269:N274"/>
    <mergeCell ref="C275:C280"/>
    <mergeCell ref="D275:D280"/>
    <mergeCell ref="E275:E280"/>
    <mergeCell ref="F275:F280"/>
    <mergeCell ref="G275:G280"/>
    <mergeCell ref="C281:C286"/>
    <mergeCell ref="I281:I286"/>
    <mergeCell ref="F281:F286"/>
    <mergeCell ref="B281:B286"/>
    <mergeCell ref="E269:E274"/>
    <mergeCell ref="F269:F274"/>
    <mergeCell ref="G269:G274"/>
    <mergeCell ref="A275:A280"/>
    <mergeCell ref="N275:N280"/>
    <mergeCell ref="D281:D286"/>
    <mergeCell ref="E281:E286"/>
    <mergeCell ref="G281:G286"/>
    <mergeCell ref="H281:H286"/>
    <mergeCell ref="L275:L280"/>
    <mergeCell ref="M275:M280"/>
    <mergeCell ref="K269:K274"/>
    <mergeCell ref="K3:K6"/>
    <mergeCell ref="P197:P202"/>
    <mergeCell ref="R73:R78"/>
    <mergeCell ref="H73:H78"/>
    <mergeCell ref="E25:E30"/>
    <mergeCell ref="F25:F30"/>
    <mergeCell ref="G25:G30"/>
    <mergeCell ref="H25:H30"/>
    <mergeCell ref="I25:I30"/>
    <mergeCell ref="J25:J30"/>
    <mergeCell ref="K25:K30"/>
    <mergeCell ref="E37:E42"/>
    <mergeCell ref="F37:F42"/>
    <mergeCell ref="G37:G42"/>
    <mergeCell ref="K37:K42"/>
    <mergeCell ref="L73:L78"/>
    <mergeCell ref="Q61:Q66"/>
    <mergeCell ref="H61:H66"/>
    <mergeCell ref="H37:H42"/>
    <mergeCell ref="I37:I42"/>
    <mergeCell ref="J37:J42"/>
    <mergeCell ref="H43:H48"/>
    <mergeCell ref="I43:I48"/>
    <mergeCell ref="J43:J48"/>
    <mergeCell ref="Q79:Q84"/>
    <mergeCell ref="R79:R84"/>
    <mergeCell ref="M85:M90"/>
    <mergeCell ref="Q85:Q90"/>
    <mergeCell ref="R85:R90"/>
    <mergeCell ref="K91:K96"/>
    <mergeCell ref="L91:L96"/>
    <mergeCell ref="M91:M96"/>
    <mergeCell ref="N91:N96"/>
    <mergeCell ref="P91:P96"/>
    <mergeCell ref="Q91:Q96"/>
    <mergeCell ref="R91:R96"/>
    <mergeCell ref="P85:P90"/>
    <mergeCell ref="M79:M84"/>
    <mergeCell ref="K79:K84"/>
    <mergeCell ref="L79:L84"/>
    <mergeCell ref="N79:N84"/>
    <mergeCell ref="P79:P84"/>
    <mergeCell ref="L85:L90"/>
    <mergeCell ref="K85:K90"/>
    <mergeCell ref="N85:N90"/>
    <mergeCell ref="A1:AS1"/>
    <mergeCell ref="AC3:AC6"/>
    <mergeCell ref="AD3:AD6"/>
    <mergeCell ref="AE3:AE6"/>
    <mergeCell ref="AF3:AF6"/>
    <mergeCell ref="AG3:AG6"/>
    <mergeCell ref="Y4:Y6"/>
    <mergeCell ref="Z4:Z6"/>
    <mergeCell ref="AA4:AA6"/>
    <mergeCell ref="AB4:AB6"/>
    <mergeCell ref="AC2:AI2"/>
    <mergeCell ref="A2:K2"/>
    <mergeCell ref="T3:T6"/>
    <mergeCell ref="AH3:AH6"/>
    <mergeCell ref="AI3:AI6"/>
    <mergeCell ref="AR3:AR6"/>
    <mergeCell ref="U3:U6"/>
    <mergeCell ref="AJ3:AJ6"/>
    <mergeCell ref="V3:V6"/>
    <mergeCell ref="R3:R6"/>
    <mergeCell ref="AO2:AS2"/>
    <mergeCell ref="A3:A6"/>
    <mergeCell ref="AJ2:AN2"/>
    <mergeCell ref="AK3:AK6"/>
    <mergeCell ref="AL3:AL6"/>
    <mergeCell ref="W4:W6"/>
    <mergeCell ref="AM3:AM6"/>
    <mergeCell ref="AN3:AN6"/>
    <mergeCell ref="L2:R2"/>
    <mergeCell ref="S2:AB2"/>
    <mergeCell ref="L3:L6"/>
    <mergeCell ref="S3:S6"/>
    <mergeCell ref="W3:AB3"/>
    <mergeCell ref="X4:X6"/>
    <mergeCell ref="M3:M6"/>
    <mergeCell ref="N3:N6"/>
    <mergeCell ref="O3:O6"/>
    <mergeCell ref="P3:P6"/>
    <mergeCell ref="Q3:Q6"/>
    <mergeCell ref="R209:R214"/>
    <mergeCell ref="K197:K202"/>
    <mergeCell ref="L197:L202"/>
    <mergeCell ref="M197:M202"/>
    <mergeCell ref="O281:O286"/>
    <mergeCell ref="P281:P286"/>
    <mergeCell ref="J281:J286"/>
    <mergeCell ref="J245:J250"/>
    <mergeCell ref="M281:M286"/>
    <mergeCell ref="N281:N286"/>
    <mergeCell ref="K281:K286"/>
    <mergeCell ref="L281:L286"/>
    <mergeCell ref="Q221:Q226"/>
    <mergeCell ref="R221:R226"/>
    <mergeCell ref="N221:N226"/>
    <mergeCell ref="P221:P226"/>
    <mergeCell ref="L209:L214"/>
    <mergeCell ref="M209:M214"/>
    <mergeCell ref="N209:N214"/>
    <mergeCell ref="P209:P214"/>
    <mergeCell ref="Q209:Q214"/>
    <mergeCell ref="M215:M220"/>
    <mergeCell ref="N215:N220"/>
    <mergeCell ref="N227:N232"/>
    <mergeCell ref="Q73:Q78"/>
    <mergeCell ref="P67:P72"/>
    <mergeCell ref="Q67:Q72"/>
    <mergeCell ref="L49:L54"/>
    <mergeCell ref="M49:M54"/>
    <mergeCell ref="R67:R72"/>
    <mergeCell ref="K61:K66"/>
    <mergeCell ref="M73:M78"/>
    <mergeCell ref="N73:N78"/>
    <mergeCell ref="P73:P78"/>
    <mergeCell ref="K73:K78"/>
    <mergeCell ref="R61:R66"/>
    <mergeCell ref="R55:R60"/>
    <mergeCell ref="N67:N72"/>
    <mergeCell ref="A61:A66"/>
    <mergeCell ref="B67:B72"/>
    <mergeCell ref="L25:L30"/>
    <mergeCell ref="M25:M30"/>
    <mergeCell ref="N25:N30"/>
    <mergeCell ref="P25:P30"/>
    <mergeCell ref="Q25:Q30"/>
    <mergeCell ref="R25:R30"/>
    <mergeCell ref="A49:A54"/>
    <mergeCell ref="C49:C54"/>
    <mergeCell ref="D49:D54"/>
    <mergeCell ref="E49:E54"/>
    <mergeCell ref="F49:F54"/>
    <mergeCell ref="G49:G54"/>
    <mergeCell ref="H49:H54"/>
    <mergeCell ref="I49:I54"/>
    <mergeCell ref="J49:J54"/>
    <mergeCell ref="K49:K54"/>
    <mergeCell ref="L61:L66"/>
    <mergeCell ref="M61:M66"/>
    <mergeCell ref="N61:N66"/>
    <mergeCell ref="P61:P66"/>
    <mergeCell ref="I61:I66"/>
    <mergeCell ref="J61:J66"/>
    <mergeCell ref="E79:E84"/>
    <mergeCell ref="E73:E78"/>
    <mergeCell ref="F73:F78"/>
    <mergeCell ref="N43:N48"/>
    <mergeCell ref="C85:C90"/>
    <mergeCell ref="D85:D90"/>
    <mergeCell ref="E85:E90"/>
    <mergeCell ref="H85:H90"/>
    <mergeCell ref="I85:I90"/>
    <mergeCell ref="K67:K72"/>
    <mergeCell ref="J85:J90"/>
    <mergeCell ref="K43:K48"/>
    <mergeCell ref="F85:F90"/>
    <mergeCell ref="G85:G90"/>
    <mergeCell ref="G79:G84"/>
    <mergeCell ref="H79:H84"/>
    <mergeCell ref="B73:B78"/>
    <mergeCell ref="C67:C72"/>
    <mergeCell ref="D67:D72"/>
    <mergeCell ref="B79:B84"/>
    <mergeCell ref="B85:B90"/>
    <mergeCell ref="A109:A112"/>
    <mergeCell ref="D103:D108"/>
    <mergeCell ref="A97:A102"/>
    <mergeCell ref="C97:C102"/>
    <mergeCell ref="D97:D102"/>
    <mergeCell ref="B97:B102"/>
    <mergeCell ref="A91:A96"/>
    <mergeCell ref="C91:C96"/>
    <mergeCell ref="D91:D96"/>
    <mergeCell ref="R113:R118"/>
    <mergeCell ref="L109:L112"/>
    <mergeCell ref="K109:K112"/>
    <mergeCell ref="E91:E96"/>
    <mergeCell ref="F91:F96"/>
    <mergeCell ref="G91:G96"/>
    <mergeCell ref="H91:H96"/>
    <mergeCell ref="A113:A118"/>
    <mergeCell ref="C113:C118"/>
    <mergeCell ref="D113:D118"/>
    <mergeCell ref="E113:E118"/>
    <mergeCell ref="F113:F118"/>
    <mergeCell ref="G113:G118"/>
    <mergeCell ref="H113:H118"/>
    <mergeCell ref="C109:C112"/>
    <mergeCell ref="D109:D112"/>
    <mergeCell ref="E109:E112"/>
    <mergeCell ref="G109:G112"/>
    <mergeCell ref="H109:H112"/>
    <mergeCell ref="B113:B118"/>
    <mergeCell ref="F109:F112"/>
    <mergeCell ref="A103:A108"/>
    <mergeCell ref="C103:C108"/>
    <mergeCell ref="B103:B108"/>
    <mergeCell ref="R103:R108"/>
    <mergeCell ref="K97:K102"/>
    <mergeCell ref="L97:L102"/>
    <mergeCell ref="M97:M102"/>
    <mergeCell ref="N97:N102"/>
    <mergeCell ref="P97:P102"/>
    <mergeCell ref="Q97:Q102"/>
    <mergeCell ref="R97:R102"/>
    <mergeCell ref="P109:P112"/>
    <mergeCell ref="Q109:Q112"/>
    <mergeCell ref="R109:R112"/>
    <mergeCell ref="L103:L108"/>
    <mergeCell ref="M103:M108"/>
    <mergeCell ref="N103:N108"/>
    <mergeCell ref="M109:M112"/>
    <mergeCell ref="N109:N112"/>
    <mergeCell ref="P103:P108"/>
    <mergeCell ref="Q103:Q108"/>
    <mergeCell ref="K103:K108"/>
    <mergeCell ref="M113:M118"/>
    <mergeCell ref="N113:N118"/>
    <mergeCell ref="P113:P118"/>
    <mergeCell ref="Q113:Q118"/>
    <mergeCell ref="L113:L118"/>
    <mergeCell ref="B109:B112"/>
    <mergeCell ref="I109:I112"/>
    <mergeCell ref="J109:J112"/>
    <mergeCell ref="Q119:Q124"/>
    <mergeCell ref="I113:I118"/>
    <mergeCell ref="J113:J118"/>
    <mergeCell ref="R119:R124"/>
    <mergeCell ref="A119:A124"/>
    <mergeCell ref="I119:I124"/>
    <mergeCell ref="J119:J124"/>
    <mergeCell ref="B119:B124"/>
    <mergeCell ref="A125:A130"/>
    <mergeCell ref="C125:C130"/>
    <mergeCell ref="D125:D130"/>
    <mergeCell ref="E125:E130"/>
    <mergeCell ref="F125:F130"/>
    <mergeCell ref="G125:G130"/>
    <mergeCell ref="H125:H130"/>
    <mergeCell ref="I125:I130"/>
    <mergeCell ref="J125:J130"/>
    <mergeCell ref="K125:K130"/>
    <mergeCell ref="L125:L130"/>
    <mergeCell ref="M125:M130"/>
    <mergeCell ref="N125:N130"/>
    <mergeCell ref="R125:R130"/>
    <mergeCell ref="B125:B130"/>
    <mergeCell ref="D131:D136"/>
    <mergeCell ref="E131:E136"/>
    <mergeCell ref="K131:K136"/>
    <mergeCell ref="L131:L136"/>
    <mergeCell ref="M131:M136"/>
    <mergeCell ref="N131:N136"/>
    <mergeCell ref="P119:P124"/>
    <mergeCell ref="A143:A148"/>
    <mergeCell ref="J155:J160"/>
    <mergeCell ref="K155:K160"/>
    <mergeCell ref="A137:A142"/>
    <mergeCell ref="C137:C142"/>
    <mergeCell ref="D137:D142"/>
    <mergeCell ref="E137:E142"/>
    <mergeCell ref="F137:F142"/>
    <mergeCell ref="G137:G142"/>
    <mergeCell ref="D149:D154"/>
    <mergeCell ref="P125:P130"/>
    <mergeCell ref="A149:A154"/>
    <mergeCell ref="A131:A136"/>
    <mergeCell ref="C131:C136"/>
    <mergeCell ref="R185:R190"/>
    <mergeCell ref="P179:P184"/>
    <mergeCell ref="Q179:Q184"/>
    <mergeCell ref="R179:R184"/>
    <mergeCell ref="L155:L160"/>
    <mergeCell ref="M155:M160"/>
    <mergeCell ref="R173:R178"/>
    <mergeCell ref="R155:R160"/>
    <mergeCell ref="R131:R136"/>
    <mergeCell ref="P155:P160"/>
    <mergeCell ref="Q155:Q160"/>
    <mergeCell ref="R143:R148"/>
    <mergeCell ref="R167:R172"/>
    <mergeCell ref="R149:R154"/>
    <mergeCell ref="R161:R166"/>
    <mergeCell ref="Q137:Q142"/>
    <mergeCell ref="Q125:Q130"/>
    <mergeCell ref="P131:P136"/>
    <mergeCell ref="Q131:Q136"/>
    <mergeCell ref="P149:P154"/>
    <mergeCell ref="Q149:Q154"/>
    <mergeCell ref="P137:P142"/>
    <mergeCell ref="K185:K190"/>
    <mergeCell ref="L185:L190"/>
    <mergeCell ref="M185:M190"/>
    <mergeCell ref="N185:N190"/>
    <mergeCell ref="M173:M178"/>
    <mergeCell ref="N173:N178"/>
    <mergeCell ref="P173:P178"/>
    <mergeCell ref="Q173:Q178"/>
    <mergeCell ref="M179:M184"/>
    <mergeCell ref="Q161:Q166"/>
    <mergeCell ref="Q167:Q172"/>
    <mergeCell ref="K149:K154"/>
    <mergeCell ref="D161:D166"/>
    <mergeCell ref="L149:L154"/>
    <mergeCell ref="M149:M154"/>
    <mergeCell ref="N149:N154"/>
    <mergeCell ref="A155:A160"/>
    <mergeCell ref="C155:C160"/>
    <mergeCell ref="E149:E154"/>
    <mergeCell ref="N179:N184"/>
    <mergeCell ref="N155:N160"/>
    <mergeCell ref="J179:J184"/>
    <mergeCell ref="I173:I178"/>
    <mergeCell ref="J173:J178"/>
    <mergeCell ref="K173:K178"/>
    <mergeCell ref="C167:C172"/>
    <mergeCell ref="C173:C178"/>
    <mergeCell ref="D173:D178"/>
    <mergeCell ref="E173:E178"/>
    <mergeCell ref="E167:E172"/>
    <mergeCell ref="C161:C166"/>
    <mergeCell ref="E161:E166"/>
    <mergeCell ref="E155:E160"/>
    <mergeCell ref="L173:L178"/>
    <mergeCell ref="P161:P166"/>
    <mergeCell ref="K167:K172"/>
    <mergeCell ref="L167:L172"/>
    <mergeCell ref="M167:M172"/>
    <mergeCell ref="N167:N172"/>
    <mergeCell ref="G161:G166"/>
    <mergeCell ref="H161:H166"/>
    <mergeCell ref="G155:G160"/>
    <mergeCell ref="H155:H160"/>
    <mergeCell ref="G167:G172"/>
    <mergeCell ref="L161:L166"/>
    <mergeCell ref="M161:M166"/>
    <mergeCell ref="N161:N166"/>
    <mergeCell ref="P167:P172"/>
    <mergeCell ref="J167:J172"/>
    <mergeCell ref="A173:A178"/>
    <mergeCell ref="B173:B178"/>
    <mergeCell ref="A179:A184"/>
    <mergeCell ref="C179:C184"/>
    <mergeCell ref="D179:D184"/>
    <mergeCell ref="E179:E184"/>
    <mergeCell ref="F173:F178"/>
    <mergeCell ref="I167:I172"/>
    <mergeCell ref="B179:B184"/>
    <mergeCell ref="G179:G184"/>
    <mergeCell ref="H179:H184"/>
    <mergeCell ref="I179:I184"/>
    <mergeCell ref="G173:G178"/>
    <mergeCell ref="H173:H178"/>
    <mergeCell ref="F179:F184"/>
    <mergeCell ref="A185:A190"/>
    <mergeCell ref="C185:C190"/>
    <mergeCell ref="D185:D190"/>
    <mergeCell ref="E185:E190"/>
    <mergeCell ref="F185:F190"/>
    <mergeCell ref="G185:G190"/>
    <mergeCell ref="H185:H190"/>
    <mergeCell ref="I185:I190"/>
    <mergeCell ref="B185:B190"/>
    <mergeCell ref="A13:A18"/>
    <mergeCell ref="B13:B18"/>
    <mergeCell ref="I161:I166"/>
    <mergeCell ref="J161:J166"/>
    <mergeCell ref="K161:K166"/>
    <mergeCell ref="K13:K18"/>
    <mergeCell ref="B161:B166"/>
    <mergeCell ref="D155:D160"/>
    <mergeCell ref="B167:B172"/>
    <mergeCell ref="B137:B142"/>
    <mergeCell ref="B143:B148"/>
    <mergeCell ref="B149:B154"/>
    <mergeCell ref="B155:B160"/>
    <mergeCell ref="D167:D172"/>
    <mergeCell ref="F167:F172"/>
    <mergeCell ref="H167:H172"/>
    <mergeCell ref="I155:I160"/>
    <mergeCell ref="F149:F154"/>
    <mergeCell ref="G149:G154"/>
    <mergeCell ref="H149:H154"/>
    <mergeCell ref="A167:A172"/>
    <mergeCell ref="F161:F166"/>
    <mergeCell ref="F155:F160"/>
    <mergeCell ref="A161:A166"/>
    <mergeCell ref="L13:L18"/>
    <mergeCell ref="F143:F148"/>
    <mergeCell ref="G143:G148"/>
    <mergeCell ref="E143:E148"/>
    <mergeCell ref="I143:I148"/>
    <mergeCell ref="C149:C154"/>
    <mergeCell ref="H13:H18"/>
    <mergeCell ref="I13:I18"/>
    <mergeCell ref="J13:J18"/>
    <mergeCell ref="I149:I154"/>
    <mergeCell ref="I137:I142"/>
    <mergeCell ref="I97:I102"/>
    <mergeCell ref="K137:K142"/>
    <mergeCell ref="E97:E102"/>
    <mergeCell ref="G103:G108"/>
    <mergeCell ref="H103:H108"/>
    <mergeCell ref="I103:I108"/>
    <mergeCell ref="J103:J108"/>
    <mergeCell ref="E103:E108"/>
    <mergeCell ref="F103:F108"/>
    <mergeCell ref="F43:F48"/>
    <mergeCell ref="G43:G48"/>
    <mergeCell ref="H31:H36"/>
    <mergeCell ref="I31:I36"/>
    <mergeCell ref="O25:O30"/>
    <mergeCell ref="J149:J154"/>
    <mergeCell ref="J137:J142"/>
    <mergeCell ref="M119:M124"/>
    <mergeCell ref="L119:L124"/>
    <mergeCell ref="B3:B6"/>
    <mergeCell ref="B19:B24"/>
    <mergeCell ref="B25:B30"/>
    <mergeCell ref="B37:B42"/>
    <mergeCell ref="B49:B54"/>
    <mergeCell ref="C13:C18"/>
    <mergeCell ref="D13:D18"/>
    <mergeCell ref="E13:E18"/>
    <mergeCell ref="C143:C148"/>
    <mergeCell ref="D143:D148"/>
    <mergeCell ref="C119:C124"/>
    <mergeCell ref="D119:D124"/>
    <mergeCell ref="E119:E124"/>
    <mergeCell ref="B131:B136"/>
    <mergeCell ref="N119:N124"/>
    <mergeCell ref="F119:F124"/>
    <mergeCell ref="G119:G124"/>
    <mergeCell ref="H119:H124"/>
    <mergeCell ref="H97:H102"/>
  </mergeCells>
  <conditionalFormatting sqref="L239 L257 L281 L227 AD109:AD112">
    <cfRule type="cellIs" dxfId="2420" priority="3650" operator="equal">
      <formula>"Muy Alta"</formula>
    </cfRule>
    <cfRule type="cellIs" dxfId="2419" priority="3651" operator="equal">
      <formula>"Alta"</formula>
    </cfRule>
    <cfRule type="cellIs" dxfId="2418" priority="3652" operator="equal">
      <formula>"Media"</formula>
    </cfRule>
    <cfRule type="cellIs" dxfId="2417" priority="3653" operator="equal">
      <formula>"Baja"</formula>
    </cfRule>
    <cfRule type="cellIs" dxfId="2416" priority="3654" operator="equal">
      <formula>"Muy Baja"</formula>
    </cfRule>
  </conditionalFormatting>
  <conditionalFormatting sqref="P239 P257 P281 P227 AF109:AF112">
    <cfRule type="cellIs" dxfId="2415" priority="3645" operator="equal">
      <formula>"Catastrófico"</formula>
    </cfRule>
    <cfRule type="cellIs" dxfId="2414" priority="3646" operator="equal">
      <formula>"Mayor"</formula>
    </cfRule>
    <cfRule type="cellIs" dxfId="2413" priority="3647" operator="equal">
      <formula>"Moderado"</formula>
    </cfRule>
    <cfRule type="cellIs" dxfId="2412" priority="3648" operator="equal">
      <formula>"Menor"</formula>
    </cfRule>
    <cfRule type="cellIs" dxfId="2411" priority="3649" operator="equal">
      <formula>"Leve"</formula>
    </cfRule>
  </conditionalFormatting>
  <conditionalFormatting sqref="AH109:AH112">
    <cfRule type="cellIs" dxfId="2410" priority="3571" operator="equal">
      <formula>"Extremo"</formula>
    </cfRule>
    <cfRule type="cellIs" dxfId="2409" priority="3572" operator="equal">
      <formula>"Alto"</formula>
    </cfRule>
    <cfRule type="cellIs" dxfId="2408" priority="3573" operator="equal">
      <formula>"Moderado"</formula>
    </cfRule>
    <cfRule type="cellIs" dxfId="2407" priority="3574" operator="equal">
      <formula>"Bajo"</formula>
    </cfRule>
  </conditionalFormatting>
  <conditionalFormatting sqref="R239">
    <cfRule type="cellIs" dxfId="2406" priority="3515" operator="equal">
      <formula>"Extremo"</formula>
    </cfRule>
    <cfRule type="cellIs" dxfId="2405" priority="3516" operator="equal">
      <formula>"Alto"</formula>
    </cfRule>
    <cfRule type="cellIs" dxfId="2404" priority="3517" operator="equal">
      <formula>"Moderado"</formula>
    </cfRule>
    <cfRule type="cellIs" dxfId="2403" priority="3518" operator="equal">
      <formula>"Bajo"</formula>
    </cfRule>
  </conditionalFormatting>
  <conditionalFormatting sqref="AD239:AD244">
    <cfRule type="cellIs" dxfId="2402" priority="3510" operator="equal">
      <formula>"Muy Alta"</formula>
    </cfRule>
    <cfRule type="cellIs" dxfId="2401" priority="3511" operator="equal">
      <formula>"Alta"</formula>
    </cfRule>
    <cfRule type="cellIs" dxfId="2400" priority="3512" operator="equal">
      <formula>"Media"</formula>
    </cfRule>
    <cfRule type="cellIs" dxfId="2399" priority="3513" operator="equal">
      <formula>"Baja"</formula>
    </cfRule>
    <cfRule type="cellIs" dxfId="2398" priority="3514" operator="equal">
      <formula>"Muy Baja"</formula>
    </cfRule>
  </conditionalFormatting>
  <conditionalFormatting sqref="AF239:AF244">
    <cfRule type="cellIs" dxfId="2397" priority="3505" operator="equal">
      <formula>"Catastrófico"</formula>
    </cfRule>
    <cfRule type="cellIs" dxfId="2396" priority="3506" operator="equal">
      <formula>"Mayor"</formula>
    </cfRule>
    <cfRule type="cellIs" dxfId="2395" priority="3507" operator="equal">
      <formula>"Moderado"</formula>
    </cfRule>
    <cfRule type="cellIs" dxfId="2394" priority="3508" operator="equal">
      <formula>"Menor"</formula>
    </cfRule>
    <cfRule type="cellIs" dxfId="2393" priority="3509" operator="equal">
      <formula>"Leve"</formula>
    </cfRule>
  </conditionalFormatting>
  <conditionalFormatting sqref="AH239:AH244">
    <cfRule type="cellIs" dxfId="2392" priority="3501" operator="equal">
      <formula>"Extremo"</formula>
    </cfRule>
    <cfRule type="cellIs" dxfId="2391" priority="3502" operator="equal">
      <formula>"Alto"</formula>
    </cfRule>
    <cfRule type="cellIs" dxfId="2390" priority="3503" operator="equal">
      <formula>"Moderado"</formula>
    </cfRule>
    <cfRule type="cellIs" dxfId="2389" priority="3504" operator="equal">
      <formula>"Bajo"</formula>
    </cfRule>
  </conditionalFormatting>
  <conditionalFormatting sqref="R257">
    <cfRule type="cellIs" dxfId="2388" priority="3487" operator="equal">
      <formula>"Extremo"</formula>
    </cfRule>
    <cfRule type="cellIs" dxfId="2387" priority="3488" operator="equal">
      <formula>"Alto"</formula>
    </cfRule>
    <cfRule type="cellIs" dxfId="2386" priority="3489" operator="equal">
      <formula>"Moderado"</formula>
    </cfRule>
    <cfRule type="cellIs" dxfId="2385" priority="3490" operator="equal">
      <formula>"Bajo"</formula>
    </cfRule>
  </conditionalFormatting>
  <conditionalFormatting sqref="AD257:AD262">
    <cfRule type="cellIs" dxfId="2384" priority="3482" operator="equal">
      <formula>"Muy Alta"</formula>
    </cfRule>
    <cfRule type="cellIs" dxfId="2383" priority="3483" operator="equal">
      <formula>"Alta"</formula>
    </cfRule>
    <cfRule type="cellIs" dxfId="2382" priority="3484" operator="equal">
      <formula>"Media"</formula>
    </cfRule>
    <cfRule type="cellIs" dxfId="2381" priority="3485" operator="equal">
      <formula>"Baja"</formula>
    </cfRule>
    <cfRule type="cellIs" dxfId="2380" priority="3486" operator="equal">
      <formula>"Muy Baja"</formula>
    </cfRule>
  </conditionalFormatting>
  <conditionalFormatting sqref="AF257:AF262">
    <cfRule type="cellIs" dxfId="2379" priority="3477" operator="equal">
      <formula>"Catastrófico"</formula>
    </cfRule>
    <cfRule type="cellIs" dxfId="2378" priority="3478" operator="equal">
      <formula>"Mayor"</formula>
    </cfRule>
    <cfRule type="cellIs" dxfId="2377" priority="3479" operator="equal">
      <formula>"Moderado"</formula>
    </cfRule>
    <cfRule type="cellIs" dxfId="2376" priority="3480" operator="equal">
      <formula>"Menor"</formula>
    </cfRule>
    <cfRule type="cellIs" dxfId="2375" priority="3481" operator="equal">
      <formula>"Leve"</formula>
    </cfRule>
  </conditionalFormatting>
  <conditionalFormatting sqref="AH257:AH262">
    <cfRule type="cellIs" dxfId="2374" priority="3473" operator="equal">
      <formula>"Extremo"</formula>
    </cfRule>
    <cfRule type="cellIs" dxfId="2373" priority="3474" operator="equal">
      <formula>"Alto"</formula>
    </cfRule>
    <cfRule type="cellIs" dxfId="2372" priority="3475" operator="equal">
      <formula>"Moderado"</formula>
    </cfRule>
    <cfRule type="cellIs" dxfId="2371" priority="3476" operator="equal">
      <formula>"Bajo"</formula>
    </cfRule>
  </conditionalFormatting>
  <conditionalFormatting sqref="R281">
    <cfRule type="cellIs" dxfId="2370" priority="3403" operator="equal">
      <formula>"Extremo"</formula>
    </cfRule>
    <cfRule type="cellIs" dxfId="2369" priority="3404" operator="equal">
      <formula>"Alto"</formula>
    </cfRule>
    <cfRule type="cellIs" dxfId="2368" priority="3405" operator="equal">
      <formula>"Moderado"</formula>
    </cfRule>
    <cfRule type="cellIs" dxfId="2367" priority="3406" operator="equal">
      <formula>"Bajo"</formula>
    </cfRule>
  </conditionalFormatting>
  <conditionalFormatting sqref="AD281:AD286">
    <cfRule type="cellIs" dxfId="2366" priority="3398" operator="equal">
      <formula>"Muy Alta"</formula>
    </cfRule>
    <cfRule type="cellIs" dxfId="2365" priority="3399" operator="equal">
      <formula>"Alta"</formula>
    </cfRule>
    <cfRule type="cellIs" dxfId="2364" priority="3400" operator="equal">
      <formula>"Media"</formula>
    </cfRule>
    <cfRule type="cellIs" dxfId="2363" priority="3401" operator="equal">
      <formula>"Baja"</formula>
    </cfRule>
    <cfRule type="cellIs" dxfId="2362" priority="3402" operator="equal">
      <formula>"Muy Baja"</formula>
    </cfRule>
  </conditionalFormatting>
  <conditionalFormatting sqref="AF281:AF286">
    <cfRule type="cellIs" dxfId="2361" priority="3393" operator="equal">
      <formula>"Catastrófico"</formula>
    </cfRule>
    <cfRule type="cellIs" dxfId="2360" priority="3394" operator="equal">
      <formula>"Mayor"</formula>
    </cfRule>
    <cfRule type="cellIs" dxfId="2359" priority="3395" operator="equal">
      <formula>"Moderado"</formula>
    </cfRule>
    <cfRule type="cellIs" dxfId="2358" priority="3396" operator="equal">
      <formula>"Menor"</formula>
    </cfRule>
    <cfRule type="cellIs" dxfId="2357" priority="3397" operator="equal">
      <formula>"Leve"</formula>
    </cfRule>
  </conditionalFormatting>
  <conditionalFormatting sqref="AH281:AH286">
    <cfRule type="cellIs" dxfId="2356" priority="3389" operator="equal">
      <formula>"Extremo"</formula>
    </cfRule>
    <cfRule type="cellIs" dxfId="2355" priority="3390" operator="equal">
      <formula>"Alto"</formula>
    </cfRule>
    <cfRule type="cellIs" dxfId="2354" priority="3391" operator="equal">
      <formula>"Moderado"</formula>
    </cfRule>
    <cfRule type="cellIs" dxfId="2353" priority="3392" operator="equal">
      <formula>"Bajo"</formula>
    </cfRule>
  </conditionalFormatting>
  <conditionalFormatting sqref="R227">
    <cfRule type="cellIs" dxfId="2352" priority="3375" operator="equal">
      <formula>"Extremo"</formula>
    </cfRule>
    <cfRule type="cellIs" dxfId="2351" priority="3376" operator="equal">
      <formula>"Alto"</formula>
    </cfRule>
    <cfRule type="cellIs" dxfId="2350" priority="3377" operator="equal">
      <formula>"Moderado"</formula>
    </cfRule>
    <cfRule type="cellIs" dxfId="2349" priority="3378" operator="equal">
      <formula>"Bajo"</formula>
    </cfRule>
  </conditionalFormatting>
  <conditionalFormatting sqref="AD227:AD232">
    <cfRule type="cellIs" dxfId="2348" priority="3370" operator="equal">
      <formula>"Muy Alta"</formula>
    </cfRule>
    <cfRule type="cellIs" dxfId="2347" priority="3371" operator="equal">
      <formula>"Alta"</formula>
    </cfRule>
    <cfRule type="cellIs" dxfId="2346" priority="3372" operator="equal">
      <formula>"Media"</formula>
    </cfRule>
    <cfRule type="cellIs" dxfId="2345" priority="3373" operator="equal">
      <formula>"Baja"</formula>
    </cfRule>
    <cfRule type="cellIs" dxfId="2344" priority="3374" operator="equal">
      <formula>"Muy Baja"</formula>
    </cfRule>
  </conditionalFormatting>
  <conditionalFormatting sqref="AF227:AF232">
    <cfRule type="cellIs" dxfId="2343" priority="3365" operator="equal">
      <formula>"Catastrófico"</formula>
    </cfRule>
    <cfRule type="cellIs" dxfId="2342" priority="3366" operator="equal">
      <formula>"Mayor"</formula>
    </cfRule>
    <cfRule type="cellIs" dxfId="2341" priority="3367" operator="equal">
      <formula>"Moderado"</formula>
    </cfRule>
    <cfRule type="cellIs" dxfId="2340" priority="3368" operator="equal">
      <formula>"Menor"</formula>
    </cfRule>
    <cfRule type="cellIs" dxfId="2339" priority="3369" operator="equal">
      <formula>"Leve"</formula>
    </cfRule>
  </conditionalFormatting>
  <conditionalFormatting sqref="AH227:AH232">
    <cfRule type="cellIs" dxfId="2338" priority="3361" operator="equal">
      <formula>"Extremo"</formula>
    </cfRule>
    <cfRule type="cellIs" dxfId="2337" priority="3362" operator="equal">
      <formula>"Alto"</formula>
    </cfRule>
    <cfRule type="cellIs" dxfId="2336" priority="3363" operator="equal">
      <formula>"Moderado"</formula>
    </cfRule>
    <cfRule type="cellIs" dxfId="2335" priority="3364" operator="equal">
      <formula>"Bajo"</formula>
    </cfRule>
  </conditionalFormatting>
  <conditionalFormatting sqref="R19">
    <cfRule type="cellIs" dxfId="2334" priority="3300" operator="equal">
      <formula>"Extremo"</formula>
    </cfRule>
    <cfRule type="cellIs" dxfId="2333" priority="3301" operator="equal">
      <formula>"Alto"</formula>
    </cfRule>
    <cfRule type="cellIs" dxfId="2332" priority="3302" operator="equal">
      <formula>"Moderado"</formula>
    </cfRule>
    <cfRule type="cellIs" dxfId="2331" priority="3303" operator="equal">
      <formula>"Bajo"</formula>
    </cfRule>
  </conditionalFormatting>
  <conditionalFormatting sqref="AF19:AF24">
    <cfRule type="cellIs" dxfId="2330" priority="3290" operator="equal">
      <formula>"Catastrófico"</formula>
    </cfRule>
    <cfRule type="cellIs" dxfId="2329" priority="3291" operator="equal">
      <formula>"Mayor"</formula>
    </cfRule>
    <cfRule type="cellIs" dxfId="2328" priority="3292" operator="equal">
      <formula>"Moderado"</formula>
    </cfRule>
    <cfRule type="cellIs" dxfId="2327" priority="3293" operator="equal">
      <formula>"Menor"</formula>
    </cfRule>
    <cfRule type="cellIs" dxfId="2326" priority="3294" operator="equal">
      <formula>"Leve"</formula>
    </cfRule>
  </conditionalFormatting>
  <conditionalFormatting sqref="O239:O244 O257:O262 O227:O232 O109:O112 O281:O286">
    <cfRule type="containsText" dxfId="2325" priority="3332" operator="containsText" text="❌">
      <formula>NOT(ISERROR(SEARCH("❌",O109)))</formula>
    </cfRule>
  </conditionalFormatting>
  <conditionalFormatting sqref="C7 C19 C233 C239 C257 C281 C227">
    <cfRule type="cellIs" dxfId="2324" priority="3314" operator="equal">
      <formula>#REF!</formula>
    </cfRule>
    <cfRule type="cellIs" dxfId="2323" priority="3315" operator="equal">
      <formula>#REF!</formula>
    </cfRule>
    <cfRule type="cellIs" dxfId="2322" priority="3316" operator="equal">
      <formula>#REF!</formula>
    </cfRule>
    <cfRule type="cellIs" dxfId="2321" priority="3317" operator="equal">
      <formula>#REF!</formula>
    </cfRule>
    <cfRule type="cellIs" dxfId="2320" priority="3318" operator="equal">
      <formula>#REF!</formula>
    </cfRule>
    <cfRule type="cellIs" dxfId="2319" priority="3319" operator="equal">
      <formula>#REF!</formula>
    </cfRule>
    <cfRule type="cellIs" dxfId="2318" priority="3320" operator="equal">
      <formula>#REF!</formula>
    </cfRule>
    <cfRule type="cellIs" dxfId="2317" priority="3321" operator="equal">
      <formula>#REF!</formula>
    </cfRule>
    <cfRule type="cellIs" dxfId="2316" priority="3322" operator="equal">
      <formula>#REF!</formula>
    </cfRule>
    <cfRule type="cellIs" dxfId="2315" priority="3323" operator="equal">
      <formula>#REF!</formula>
    </cfRule>
    <cfRule type="cellIs" dxfId="2314" priority="3324" operator="equal">
      <formula>#REF!</formula>
    </cfRule>
    <cfRule type="cellIs" dxfId="2313" priority="3325" operator="equal">
      <formula>#REF!</formula>
    </cfRule>
    <cfRule type="cellIs" dxfId="2312" priority="3326" operator="equal">
      <formula>#REF!</formula>
    </cfRule>
    <cfRule type="cellIs" dxfId="2311" priority="3327" operator="equal">
      <formula>#REF!</formula>
    </cfRule>
    <cfRule type="cellIs" dxfId="2310" priority="3328" operator="equal">
      <formula>#REF!</formula>
    </cfRule>
    <cfRule type="cellIs" dxfId="2309" priority="3329" operator="equal">
      <formula>#REF!</formula>
    </cfRule>
    <cfRule type="cellIs" dxfId="2308" priority="3330" operator="equal">
      <formula>#REF!</formula>
    </cfRule>
    <cfRule type="cellIs" dxfId="2307" priority="3331" operator="equal">
      <formula>#REF!</formula>
    </cfRule>
  </conditionalFormatting>
  <conditionalFormatting sqref="L19">
    <cfRule type="cellIs" dxfId="2306" priority="3309" operator="equal">
      <formula>"Muy Alta"</formula>
    </cfRule>
    <cfRule type="cellIs" dxfId="2305" priority="3310" operator="equal">
      <formula>"Alta"</formula>
    </cfRule>
    <cfRule type="cellIs" dxfId="2304" priority="3311" operator="equal">
      <formula>"Media"</formula>
    </cfRule>
    <cfRule type="cellIs" dxfId="2303" priority="3312" operator="equal">
      <formula>"Baja"</formula>
    </cfRule>
    <cfRule type="cellIs" dxfId="2302" priority="3313" operator="equal">
      <formula>"Muy Baja"</formula>
    </cfRule>
  </conditionalFormatting>
  <conditionalFormatting sqref="P19">
    <cfRule type="cellIs" dxfId="2301" priority="3304" operator="equal">
      <formula>"Catastrófico"</formula>
    </cfRule>
    <cfRule type="cellIs" dxfId="2300" priority="3305" operator="equal">
      <formula>"Mayor"</formula>
    </cfRule>
    <cfRule type="cellIs" dxfId="2299" priority="3306" operator="equal">
      <formula>"Moderado"</formula>
    </cfRule>
    <cfRule type="cellIs" dxfId="2298" priority="3307" operator="equal">
      <formula>"Menor"</formula>
    </cfRule>
    <cfRule type="cellIs" dxfId="2297" priority="3308" operator="equal">
      <formula>"Leve"</formula>
    </cfRule>
  </conditionalFormatting>
  <conditionalFormatting sqref="AD19:AD24">
    <cfRule type="cellIs" dxfId="2296" priority="3295" operator="equal">
      <formula>"Muy Alta"</formula>
    </cfRule>
    <cfRule type="cellIs" dxfId="2295" priority="3296" operator="equal">
      <formula>"Alta"</formula>
    </cfRule>
    <cfRule type="cellIs" dxfId="2294" priority="3297" operator="equal">
      <formula>"Media"</formula>
    </cfRule>
    <cfRule type="cellIs" dxfId="2293" priority="3298" operator="equal">
      <formula>"Baja"</formula>
    </cfRule>
    <cfRule type="cellIs" dxfId="2292" priority="3299" operator="equal">
      <formula>"Muy Baja"</formula>
    </cfRule>
  </conditionalFormatting>
  <conditionalFormatting sqref="AH19:AH24">
    <cfRule type="cellIs" dxfId="2291" priority="3286" operator="equal">
      <formula>"Extremo"</formula>
    </cfRule>
    <cfRule type="cellIs" dxfId="2290" priority="3287" operator="equal">
      <formula>"Alto"</formula>
    </cfRule>
    <cfRule type="cellIs" dxfId="2289" priority="3288" operator="equal">
      <formula>"Moderado"</formula>
    </cfRule>
    <cfRule type="cellIs" dxfId="2288" priority="3289" operator="equal">
      <formula>"Bajo"</formula>
    </cfRule>
  </conditionalFormatting>
  <conditionalFormatting sqref="O19:O24">
    <cfRule type="containsText" dxfId="2287" priority="3285" operator="containsText" text="❌">
      <formula>NOT(ISERROR(SEARCH("❌",O19)))</formula>
    </cfRule>
  </conditionalFormatting>
  <conditionalFormatting sqref="L7">
    <cfRule type="cellIs" dxfId="2286" priority="3168" operator="equal">
      <formula>"Muy Alta"</formula>
    </cfRule>
    <cfRule type="cellIs" dxfId="2285" priority="3169" operator="equal">
      <formula>"Alta"</formula>
    </cfRule>
    <cfRule type="cellIs" dxfId="2284" priority="3170" operator="equal">
      <formula>"Media"</formula>
    </cfRule>
    <cfRule type="cellIs" dxfId="2283" priority="3171" operator="equal">
      <formula>"Baja"</formula>
    </cfRule>
    <cfRule type="cellIs" dxfId="2282" priority="3172" operator="equal">
      <formula>"Muy Baja"</formula>
    </cfRule>
  </conditionalFormatting>
  <conditionalFormatting sqref="P7">
    <cfRule type="cellIs" dxfId="2281" priority="3163" operator="equal">
      <formula>"Catastrófico"</formula>
    </cfRule>
    <cfRule type="cellIs" dxfId="2280" priority="3164" operator="equal">
      <formula>"Mayor"</formula>
    </cfRule>
    <cfRule type="cellIs" dxfId="2279" priority="3165" operator="equal">
      <formula>"Moderado"</formula>
    </cfRule>
    <cfRule type="cellIs" dxfId="2278" priority="3166" operator="equal">
      <formula>"Menor"</formula>
    </cfRule>
    <cfRule type="cellIs" dxfId="2277" priority="3167" operator="equal">
      <formula>"Leve"</formula>
    </cfRule>
  </conditionalFormatting>
  <conditionalFormatting sqref="R7">
    <cfRule type="cellIs" dxfId="2276" priority="3159" operator="equal">
      <formula>"Extremo"</formula>
    </cfRule>
    <cfRule type="cellIs" dxfId="2275" priority="3160" operator="equal">
      <formula>"Alto"</formula>
    </cfRule>
    <cfRule type="cellIs" dxfId="2274" priority="3161" operator="equal">
      <formula>"Moderado"</formula>
    </cfRule>
    <cfRule type="cellIs" dxfId="2273" priority="3162" operator="equal">
      <formula>"Bajo"</formula>
    </cfRule>
  </conditionalFormatting>
  <conditionalFormatting sqref="AD7:AD12">
    <cfRule type="cellIs" dxfId="2272" priority="3154" operator="equal">
      <formula>"Muy Alta"</formula>
    </cfRule>
    <cfRule type="cellIs" dxfId="2271" priority="3155" operator="equal">
      <formula>"Alta"</formula>
    </cfRule>
    <cfRule type="cellIs" dxfId="2270" priority="3156" operator="equal">
      <formula>"Media"</formula>
    </cfRule>
    <cfRule type="cellIs" dxfId="2269" priority="3157" operator="equal">
      <formula>"Baja"</formula>
    </cfRule>
    <cfRule type="cellIs" dxfId="2268" priority="3158" operator="equal">
      <formula>"Muy Baja"</formula>
    </cfRule>
  </conditionalFormatting>
  <conditionalFormatting sqref="AF7:AF12">
    <cfRule type="cellIs" dxfId="2267" priority="3149" operator="equal">
      <formula>"Catastrófico"</formula>
    </cfRule>
    <cfRule type="cellIs" dxfId="2266" priority="3150" operator="equal">
      <formula>"Mayor"</formula>
    </cfRule>
    <cfRule type="cellIs" dxfId="2265" priority="3151" operator="equal">
      <formula>"Moderado"</formula>
    </cfRule>
    <cfRule type="cellIs" dxfId="2264" priority="3152" operator="equal">
      <formula>"Menor"</formula>
    </cfRule>
    <cfRule type="cellIs" dxfId="2263" priority="3153" operator="equal">
      <formula>"Leve"</formula>
    </cfRule>
  </conditionalFormatting>
  <conditionalFormatting sqref="AH7:AH12">
    <cfRule type="cellIs" dxfId="2262" priority="3145" operator="equal">
      <formula>"Extremo"</formula>
    </cfRule>
    <cfRule type="cellIs" dxfId="2261" priority="3146" operator="equal">
      <formula>"Alto"</formula>
    </cfRule>
    <cfRule type="cellIs" dxfId="2260" priority="3147" operator="equal">
      <formula>"Moderado"</formula>
    </cfRule>
    <cfRule type="cellIs" dxfId="2259" priority="3148" operator="equal">
      <formula>"Bajo"</formula>
    </cfRule>
  </conditionalFormatting>
  <conditionalFormatting sqref="O7:O12">
    <cfRule type="containsText" dxfId="2258" priority="3144" operator="containsText" text="❌">
      <formula>NOT(ISERROR(SEARCH("❌",O7)))</formula>
    </cfRule>
  </conditionalFormatting>
  <conditionalFormatting sqref="L233">
    <cfRule type="cellIs" dxfId="2257" priority="3074" operator="equal">
      <formula>"Muy Alta"</formula>
    </cfRule>
    <cfRule type="cellIs" dxfId="2256" priority="3075" operator="equal">
      <formula>"Alta"</formula>
    </cfRule>
    <cfRule type="cellIs" dxfId="2255" priority="3076" operator="equal">
      <formula>"Media"</formula>
    </cfRule>
    <cfRule type="cellIs" dxfId="2254" priority="3077" operator="equal">
      <formula>"Baja"</formula>
    </cfRule>
    <cfRule type="cellIs" dxfId="2253" priority="3078" operator="equal">
      <formula>"Muy Baja"</formula>
    </cfRule>
  </conditionalFormatting>
  <conditionalFormatting sqref="P233">
    <cfRule type="cellIs" dxfId="2252" priority="3069" operator="equal">
      <formula>"Catastrófico"</formula>
    </cfRule>
    <cfRule type="cellIs" dxfId="2251" priority="3070" operator="equal">
      <formula>"Mayor"</formula>
    </cfRule>
    <cfRule type="cellIs" dxfId="2250" priority="3071" operator="equal">
      <formula>"Moderado"</formula>
    </cfRule>
    <cfRule type="cellIs" dxfId="2249" priority="3072" operator="equal">
      <formula>"Menor"</formula>
    </cfRule>
    <cfRule type="cellIs" dxfId="2248" priority="3073" operator="equal">
      <formula>"Leve"</formula>
    </cfRule>
  </conditionalFormatting>
  <conditionalFormatting sqref="R233">
    <cfRule type="cellIs" dxfId="2247" priority="3065" operator="equal">
      <formula>"Extremo"</formula>
    </cfRule>
    <cfRule type="cellIs" dxfId="2246" priority="3066" operator="equal">
      <formula>"Alto"</formula>
    </cfRule>
    <cfRule type="cellIs" dxfId="2245" priority="3067" operator="equal">
      <formula>"Moderado"</formula>
    </cfRule>
    <cfRule type="cellIs" dxfId="2244" priority="3068" operator="equal">
      <formula>"Bajo"</formula>
    </cfRule>
  </conditionalFormatting>
  <conditionalFormatting sqref="AD233:AD238">
    <cfRule type="cellIs" dxfId="2243" priority="3060" operator="equal">
      <formula>"Muy Alta"</formula>
    </cfRule>
    <cfRule type="cellIs" dxfId="2242" priority="3061" operator="equal">
      <formula>"Alta"</formula>
    </cfRule>
    <cfRule type="cellIs" dxfId="2241" priority="3062" operator="equal">
      <formula>"Media"</formula>
    </cfRule>
    <cfRule type="cellIs" dxfId="2240" priority="3063" operator="equal">
      <formula>"Baja"</formula>
    </cfRule>
    <cfRule type="cellIs" dxfId="2239" priority="3064" operator="equal">
      <formula>"Muy Baja"</formula>
    </cfRule>
  </conditionalFormatting>
  <conditionalFormatting sqref="AF233:AF238">
    <cfRule type="cellIs" dxfId="2238" priority="3055" operator="equal">
      <formula>"Catastrófico"</formula>
    </cfRule>
    <cfRule type="cellIs" dxfId="2237" priority="3056" operator="equal">
      <formula>"Mayor"</formula>
    </cfRule>
    <cfRule type="cellIs" dxfId="2236" priority="3057" operator="equal">
      <formula>"Moderado"</formula>
    </cfRule>
    <cfRule type="cellIs" dxfId="2235" priority="3058" operator="equal">
      <formula>"Menor"</formula>
    </cfRule>
    <cfRule type="cellIs" dxfId="2234" priority="3059" operator="equal">
      <formula>"Leve"</formula>
    </cfRule>
  </conditionalFormatting>
  <conditionalFormatting sqref="AH233:AH238">
    <cfRule type="cellIs" dxfId="2233" priority="3051" operator="equal">
      <formula>"Extremo"</formula>
    </cfRule>
    <cfRule type="cellIs" dxfId="2232" priority="3052" operator="equal">
      <formula>"Alto"</formula>
    </cfRule>
    <cfRule type="cellIs" dxfId="2231" priority="3053" operator="equal">
      <formula>"Moderado"</formula>
    </cfRule>
    <cfRule type="cellIs" dxfId="2230" priority="3054" operator="equal">
      <formula>"Bajo"</formula>
    </cfRule>
  </conditionalFormatting>
  <conditionalFormatting sqref="O233:O238">
    <cfRule type="containsText" dxfId="2229" priority="3050" operator="containsText" text="❌">
      <formula>NOT(ISERROR(SEARCH("❌",O233)))</formula>
    </cfRule>
  </conditionalFormatting>
  <conditionalFormatting sqref="C221">
    <cfRule type="cellIs" dxfId="2228" priority="2985" operator="equal">
      <formula>#REF!</formula>
    </cfRule>
    <cfRule type="cellIs" dxfId="2227" priority="2986" operator="equal">
      <formula>#REF!</formula>
    </cfRule>
    <cfRule type="cellIs" dxfId="2226" priority="2987" operator="equal">
      <formula>#REF!</formula>
    </cfRule>
    <cfRule type="cellIs" dxfId="2225" priority="2988" operator="equal">
      <formula>#REF!</formula>
    </cfRule>
    <cfRule type="cellIs" dxfId="2224" priority="2989" operator="equal">
      <formula>#REF!</formula>
    </cfRule>
    <cfRule type="cellIs" dxfId="2223" priority="2990" operator="equal">
      <formula>#REF!</formula>
    </cfRule>
    <cfRule type="cellIs" dxfId="2222" priority="2991" operator="equal">
      <formula>#REF!</formula>
    </cfRule>
    <cfRule type="cellIs" dxfId="2221" priority="2992" operator="equal">
      <formula>#REF!</formula>
    </cfRule>
    <cfRule type="cellIs" dxfId="2220" priority="2993" operator="equal">
      <formula>#REF!</formula>
    </cfRule>
    <cfRule type="cellIs" dxfId="2219" priority="2994" operator="equal">
      <formula>#REF!</formula>
    </cfRule>
    <cfRule type="cellIs" dxfId="2218" priority="2995" operator="equal">
      <formula>#REF!</formula>
    </cfRule>
    <cfRule type="cellIs" dxfId="2217" priority="2996" operator="equal">
      <formula>#REF!</formula>
    </cfRule>
    <cfRule type="cellIs" dxfId="2216" priority="2997" operator="equal">
      <formula>#REF!</formula>
    </cfRule>
    <cfRule type="cellIs" dxfId="2215" priority="2998" operator="equal">
      <formula>#REF!</formula>
    </cfRule>
    <cfRule type="cellIs" dxfId="2214" priority="2999" operator="equal">
      <formula>#REF!</formula>
    </cfRule>
    <cfRule type="cellIs" dxfId="2213" priority="3000" operator="equal">
      <formula>#REF!</formula>
    </cfRule>
    <cfRule type="cellIs" dxfId="2212" priority="3001" operator="equal">
      <formula>#REF!</formula>
    </cfRule>
    <cfRule type="cellIs" dxfId="2211" priority="3002" operator="equal">
      <formula>#REF!</formula>
    </cfRule>
  </conditionalFormatting>
  <conditionalFormatting sqref="L221">
    <cfRule type="cellIs" dxfId="2210" priority="3027" operator="equal">
      <formula>"Muy Alta"</formula>
    </cfRule>
    <cfRule type="cellIs" dxfId="2209" priority="3028" operator="equal">
      <formula>"Alta"</formula>
    </cfRule>
    <cfRule type="cellIs" dxfId="2208" priority="3029" operator="equal">
      <formula>"Media"</formula>
    </cfRule>
    <cfRule type="cellIs" dxfId="2207" priority="3030" operator="equal">
      <formula>"Baja"</formula>
    </cfRule>
    <cfRule type="cellIs" dxfId="2206" priority="3031" operator="equal">
      <formula>"Muy Baja"</formula>
    </cfRule>
  </conditionalFormatting>
  <conditionalFormatting sqref="P221">
    <cfRule type="cellIs" dxfId="2205" priority="3022" operator="equal">
      <formula>"Catastrófico"</formula>
    </cfRule>
    <cfRule type="cellIs" dxfId="2204" priority="3023" operator="equal">
      <formula>"Mayor"</formula>
    </cfRule>
    <cfRule type="cellIs" dxfId="2203" priority="3024" operator="equal">
      <formula>"Moderado"</formula>
    </cfRule>
    <cfRule type="cellIs" dxfId="2202" priority="3025" operator="equal">
      <formula>"Menor"</formula>
    </cfRule>
    <cfRule type="cellIs" dxfId="2201" priority="3026" operator="equal">
      <formula>"Leve"</formula>
    </cfRule>
  </conditionalFormatting>
  <conditionalFormatting sqref="R221">
    <cfRule type="cellIs" dxfId="2200" priority="3018" operator="equal">
      <formula>"Extremo"</formula>
    </cfRule>
    <cfRule type="cellIs" dxfId="2199" priority="3019" operator="equal">
      <formula>"Alto"</formula>
    </cfRule>
    <cfRule type="cellIs" dxfId="2198" priority="3020" operator="equal">
      <formula>"Moderado"</formula>
    </cfRule>
    <cfRule type="cellIs" dxfId="2197" priority="3021" operator="equal">
      <formula>"Bajo"</formula>
    </cfRule>
  </conditionalFormatting>
  <conditionalFormatting sqref="AD221:AD226">
    <cfRule type="cellIs" dxfId="2196" priority="3013" operator="equal">
      <formula>"Muy Alta"</formula>
    </cfRule>
    <cfRule type="cellIs" dxfId="2195" priority="3014" operator="equal">
      <formula>"Alta"</formula>
    </cfRule>
    <cfRule type="cellIs" dxfId="2194" priority="3015" operator="equal">
      <formula>"Media"</formula>
    </cfRule>
    <cfRule type="cellIs" dxfId="2193" priority="3016" operator="equal">
      <formula>"Baja"</formula>
    </cfRule>
    <cfRule type="cellIs" dxfId="2192" priority="3017" operator="equal">
      <formula>"Muy Baja"</formula>
    </cfRule>
  </conditionalFormatting>
  <conditionalFormatting sqref="AF221:AF226">
    <cfRule type="cellIs" dxfId="2191" priority="3008" operator="equal">
      <formula>"Catastrófico"</formula>
    </cfRule>
    <cfRule type="cellIs" dxfId="2190" priority="3009" operator="equal">
      <formula>"Mayor"</formula>
    </cfRule>
    <cfRule type="cellIs" dxfId="2189" priority="3010" operator="equal">
      <formula>"Moderado"</formula>
    </cfRule>
    <cfRule type="cellIs" dxfId="2188" priority="3011" operator="equal">
      <formula>"Menor"</formula>
    </cfRule>
    <cfRule type="cellIs" dxfId="2187" priority="3012" operator="equal">
      <formula>"Leve"</formula>
    </cfRule>
  </conditionalFormatting>
  <conditionalFormatting sqref="AH221:AH226">
    <cfRule type="cellIs" dxfId="2186" priority="3004" operator="equal">
      <formula>"Extremo"</formula>
    </cfRule>
    <cfRule type="cellIs" dxfId="2185" priority="3005" operator="equal">
      <formula>"Alto"</formula>
    </cfRule>
    <cfRule type="cellIs" dxfId="2184" priority="3006" operator="equal">
      <formula>"Moderado"</formula>
    </cfRule>
    <cfRule type="cellIs" dxfId="2183" priority="3007" operator="equal">
      <formula>"Bajo"</formula>
    </cfRule>
  </conditionalFormatting>
  <conditionalFormatting sqref="O221:O226">
    <cfRule type="containsText" dxfId="2182" priority="3003" operator="containsText" text="❌">
      <formula>NOT(ISERROR(SEARCH("❌",O221)))</formula>
    </cfRule>
  </conditionalFormatting>
  <conditionalFormatting sqref="L37">
    <cfRule type="cellIs" dxfId="2181" priority="2698" operator="equal">
      <formula>"Muy Alta"</formula>
    </cfRule>
    <cfRule type="cellIs" dxfId="2180" priority="2699" operator="equal">
      <formula>"Alta"</formula>
    </cfRule>
    <cfRule type="cellIs" dxfId="2179" priority="2700" operator="equal">
      <formula>"Media"</formula>
    </cfRule>
    <cfRule type="cellIs" dxfId="2178" priority="2701" operator="equal">
      <formula>"Baja"</formula>
    </cfRule>
    <cfRule type="cellIs" dxfId="2177" priority="2702" operator="equal">
      <formula>"Muy Baja"</formula>
    </cfRule>
  </conditionalFormatting>
  <conditionalFormatting sqref="P37">
    <cfRule type="cellIs" dxfId="2176" priority="2693" operator="equal">
      <formula>"Catastrófico"</formula>
    </cfRule>
    <cfRule type="cellIs" dxfId="2175" priority="2694" operator="equal">
      <formula>"Mayor"</formula>
    </cfRule>
    <cfRule type="cellIs" dxfId="2174" priority="2695" operator="equal">
      <formula>"Moderado"</formula>
    </cfRule>
    <cfRule type="cellIs" dxfId="2173" priority="2696" operator="equal">
      <formula>"Menor"</formula>
    </cfRule>
    <cfRule type="cellIs" dxfId="2172" priority="2697" operator="equal">
      <formula>"Leve"</formula>
    </cfRule>
  </conditionalFormatting>
  <conditionalFormatting sqref="R37">
    <cfRule type="cellIs" dxfId="2171" priority="2689" operator="equal">
      <formula>"Extremo"</formula>
    </cfRule>
    <cfRule type="cellIs" dxfId="2170" priority="2690" operator="equal">
      <formula>"Alto"</formula>
    </cfRule>
    <cfRule type="cellIs" dxfId="2169" priority="2691" operator="equal">
      <formula>"Moderado"</formula>
    </cfRule>
    <cfRule type="cellIs" dxfId="2168" priority="2692" operator="equal">
      <formula>"Bajo"</formula>
    </cfRule>
  </conditionalFormatting>
  <conditionalFormatting sqref="AD37:AD42">
    <cfRule type="cellIs" dxfId="2167" priority="2684" operator="equal">
      <formula>"Muy Alta"</formula>
    </cfRule>
    <cfRule type="cellIs" dxfId="2166" priority="2685" operator="equal">
      <formula>"Alta"</formula>
    </cfRule>
    <cfRule type="cellIs" dxfId="2165" priority="2686" operator="equal">
      <formula>"Media"</formula>
    </cfRule>
    <cfRule type="cellIs" dxfId="2164" priority="2687" operator="equal">
      <formula>"Baja"</formula>
    </cfRule>
    <cfRule type="cellIs" dxfId="2163" priority="2688" operator="equal">
      <formula>"Muy Baja"</formula>
    </cfRule>
  </conditionalFormatting>
  <conditionalFormatting sqref="AF37:AF42">
    <cfRule type="cellIs" dxfId="2162" priority="2679" operator="equal">
      <formula>"Catastrófico"</formula>
    </cfRule>
    <cfRule type="cellIs" dxfId="2161" priority="2680" operator="equal">
      <formula>"Mayor"</formula>
    </cfRule>
    <cfRule type="cellIs" dxfId="2160" priority="2681" operator="equal">
      <formula>"Moderado"</formula>
    </cfRule>
    <cfRule type="cellIs" dxfId="2159" priority="2682" operator="equal">
      <formula>"Menor"</formula>
    </cfRule>
    <cfRule type="cellIs" dxfId="2158" priority="2683" operator="equal">
      <formula>"Leve"</formula>
    </cfRule>
  </conditionalFormatting>
  <conditionalFormatting sqref="AH37:AH42">
    <cfRule type="cellIs" dxfId="2157" priority="2675" operator="equal">
      <formula>"Extremo"</formula>
    </cfRule>
    <cfRule type="cellIs" dxfId="2156" priority="2676" operator="equal">
      <formula>"Alto"</formula>
    </cfRule>
    <cfRule type="cellIs" dxfId="2155" priority="2677" operator="equal">
      <formula>"Moderado"</formula>
    </cfRule>
    <cfRule type="cellIs" dxfId="2154" priority="2678" operator="equal">
      <formula>"Bajo"</formula>
    </cfRule>
  </conditionalFormatting>
  <conditionalFormatting sqref="O37:O42">
    <cfRule type="containsText" dxfId="2153" priority="2674" operator="containsText" text="❌">
      <formula>NOT(ISERROR(SEARCH("❌",O37)))</formula>
    </cfRule>
  </conditionalFormatting>
  <conditionalFormatting sqref="L73">
    <cfRule type="cellIs" dxfId="2152" priority="2604" operator="equal">
      <formula>"Muy Alta"</formula>
    </cfRule>
    <cfRule type="cellIs" dxfId="2151" priority="2605" operator="equal">
      <formula>"Alta"</formula>
    </cfRule>
    <cfRule type="cellIs" dxfId="2150" priority="2606" operator="equal">
      <formula>"Media"</formula>
    </cfRule>
    <cfRule type="cellIs" dxfId="2149" priority="2607" operator="equal">
      <formula>"Baja"</formula>
    </cfRule>
    <cfRule type="cellIs" dxfId="2148" priority="2608" operator="equal">
      <formula>"Muy Baja"</formula>
    </cfRule>
  </conditionalFormatting>
  <conditionalFormatting sqref="P73">
    <cfRule type="cellIs" dxfId="2147" priority="2599" operator="equal">
      <formula>"Catastrófico"</formula>
    </cfRule>
    <cfRule type="cellIs" dxfId="2146" priority="2600" operator="equal">
      <formula>"Mayor"</formula>
    </cfRule>
    <cfRule type="cellIs" dxfId="2145" priority="2601" operator="equal">
      <formula>"Moderado"</formula>
    </cfRule>
    <cfRule type="cellIs" dxfId="2144" priority="2602" operator="equal">
      <formula>"Menor"</formula>
    </cfRule>
    <cfRule type="cellIs" dxfId="2143" priority="2603" operator="equal">
      <formula>"Leve"</formula>
    </cfRule>
  </conditionalFormatting>
  <conditionalFormatting sqref="R73">
    <cfRule type="cellIs" dxfId="2142" priority="2595" operator="equal">
      <formula>"Extremo"</formula>
    </cfRule>
    <cfRule type="cellIs" dxfId="2141" priority="2596" operator="equal">
      <formula>"Alto"</formula>
    </cfRule>
    <cfRule type="cellIs" dxfId="2140" priority="2597" operator="equal">
      <formula>"Moderado"</formula>
    </cfRule>
    <cfRule type="cellIs" dxfId="2139" priority="2598" operator="equal">
      <formula>"Bajo"</formula>
    </cfRule>
  </conditionalFormatting>
  <conditionalFormatting sqref="AD73:AD78">
    <cfRule type="cellIs" dxfId="2138" priority="2590" operator="equal">
      <formula>"Muy Alta"</formula>
    </cfRule>
    <cfRule type="cellIs" dxfId="2137" priority="2591" operator="equal">
      <formula>"Alta"</formula>
    </cfRule>
    <cfRule type="cellIs" dxfId="2136" priority="2592" operator="equal">
      <formula>"Media"</formula>
    </cfRule>
    <cfRule type="cellIs" dxfId="2135" priority="2593" operator="equal">
      <formula>"Baja"</formula>
    </cfRule>
    <cfRule type="cellIs" dxfId="2134" priority="2594" operator="equal">
      <formula>"Muy Baja"</formula>
    </cfRule>
  </conditionalFormatting>
  <conditionalFormatting sqref="AF73:AF78">
    <cfRule type="cellIs" dxfId="2133" priority="2585" operator="equal">
      <formula>"Catastrófico"</formula>
    </cfRule>
    <cfRule type="cellIs" dxfId="2132" priority="2586" operator="equal">
      <formula>"Mayor"</formula>
    </cfRule>
    <cfRule type="cellIs" dxfId="2131" priority="2587" operator="equal">
      <formula>"Moderado"</formula>
    </cfRule>
    <cfRule type="cellIs" dxfId="2130" priority="2588" operator="equal">
      <formula>"Menor"</formula>
    </cfRule>
    <cfRule type="cellIs" dxfId="2129" priority="2589" operator="equal">
      <formula>"Leve"</formula>
    </cfRule>
  </conditionalFormatting>
  <conditionalFormatting sqref="AH73:AH78">
    <cfRule type="cellIs" dxfId="2128" priority="2581" operator="equal">
      <formula>"Extremo"</formula>
    </cfRule>
    <cfRule type="cellIs" dxfId="2127" priority="2582" operator="equal">
      <formula>"Alto"</formula>
    </cfRule>
    <cfRule type="cellIs" dxfId="2126" priority="2583" operator="equal">
      <formula>"Moderado"</formula>
    </cfRule>
    <cfRule type="cellIs" dxfId="2125" priority="2584" operator="equal">
      <formula>"Bajo"</formula>
    </cfRule>
  </conditionalFormatting>
  <conditionalFormatting sqref="O73:O78">
    <cfRule type="containsText" dxfId="2124" priority="2580" operator="containsText" text="❌">
      <formula>NOT(ISERROR(SEARCH("❌",O73)))</formula>
    </cfRule>
  </conditionalFormatting>
  <conditionalFormatting sqref="L67">
    <cfRule type="cellIs" dxfId="2123" priority="2557" operator="equal">
      <formula>"Muy Alta"</formula>
    </cfRule>
    <cfRule type="cellIs" dxfId="2122" priority="2558" operator="equal">
      <formula>"Alta"</formula>
    </cfRule>
    <cfRule type="cellIs" dxfId="2121" priority="2559" operator="equal">
      <formula>"Media"</formula>
    </cfRule>
    <cfRule type="cellIs" dxfId="2120" priority="2560" operator="equal">
      <formula>"Baja"</formula>
    </cfRule>
    <cfRule type="cellIs" dxfId="2119" priority="2561" operator="equal">
      <formula>"Muy Baja"</formula>
    </cfRule>
  </conditionalFormatting>
  <conditionalFormatting sqref="P67">
    <cfRule type="cellIs" dxfId="2118" priority="2552" operator="equal">
      <formula>"Catastrófico"</formula>
    </cfRule>
    <cfRule type="cellIs" dxfId="2117" priority="2553" operator="equal">
      <formula>"Mayor"</formula>
    </cfRule>
    <cfRule type="cellIs" dxfId="2116" priority="2554" operator="equal">
      <formula>"Moderado"</formula>
    </cfRule>
    <cfRule type="cellIs" dxfId="2115" priority="2555" operator="equal">
      <formula>"Menor"</formula>
    </cfRule>
    <cfRule type="cellIs" dxfId="2114" priority="2556" operator="equal">
      <formula>"Leve"</formula>
    </cfRule>
  </conditionalFormatting>
  <conditionalFormatting sqref="R67">
    <cfRule type="cellIs" dxfId="2113" priority="2548" operator="equal">
      <formula>"Extremo"</formula>
    </cfRule>
    <cfRule type="cellIs" dxfId="2112" priority="2549" operator="equal">
      <formula>"Alto"</formula>
    </cfRule>
    <cfRule type="cellIs" dxfId="2111" priority="2550" operator="equal">
      <formula>"Moderado"</formula>
    </cfRule>
    <cfRule type="cellIs" dxfId="2110" priority="2551" operator="equal">
      <formula>"Bajo"</formula>
    </cfRule>
  </conditionalFormatting>
  <conditionalFormatting sqref="AD67:AD72">
    <cfRule type="cellIs" dxfId="2109" priority="2543" operator="equal">
      <formula>"Muy Alta"</formula>
    </cfRule>
    <cfRule type="cellIs" dxfId="2108" priority="2544" operator="equal">
      <formula>"Alta"</formula>
    </cfRule>
    <cfRule type="cellIs" dxfId="2107" priority="2545" operator="equal">
      <formula>"Media"</formula>
    </cfRule>
    <cfRule type="cellIs" dxfId="2106" priority="2546" operator="equal">
      <formula>"Baja"</formula>
    </cfRule>
    <cfRule type="cellIs" dxfId="2105" priority="2547" operator="equal">
      <formula>"Muy Baja"</formula>
    </cfRule>
  </conditionalFormatting>
  <conditionalFormatting sqref="AF67:AF72">
    <cfRule type="cellIs" dxfId="2104" priority="2538" operator="equal">
      <formula>"Catastrófico"</formula>
    </cfRule>
    <cfRule type="cellIs" dxfId="2103" priority="2539" operator="equal">
      <formula>"Mayor"</formula>
    </cfRule>
    <cfRule type="cellIs" dxfId="2102" priority="2540" operator="equal">
      <formula>"Moderado"</formula>
    </cfRule>
    <cfRule type="cellIs" dxfId="2101" priority="2541" operator="equal">
      <formula>"Menor"</formula>
    </cfRule>
    <cfRule type="cellIs" dxfId="2100" priority="2542" operator="equal">
      <formula>"Leve"</formula>
    </cfRule>
  </conditionalFormatting>
  <conditionalFormatting sqref="AH67:AH72">
    <cfRule type="cellIs" dxfId="2099" priority="2534" operator="equal">
      <formula>"Extremo"</formula>
    </cfRule>
    <cfRule type="cellIs" dxfId="2098" priority="2535" operator="equal">
      <formula>"Alto"</formula>
    </cfRule>
    <cfRule type="cellIs" dxfId="2097" priority="2536" operator="equal">
      <formula>"Moderado"</formula>
    </cfRule>
    <cfRule type="cellIs" dxfId="2096" priority="2537" operator="equal">
      <formula>"Bajo"</formula>
    </cfRule>
  </conditionalFormatting>
  <conditionalFormatting sqref="O67:O72">
    <cfRule type="containsText" dxfId="2095" priority="2533" operator="containsText" text="❌">
      <formula>NOT(ISERROR(SEARCH("❌",O67)))</formula>
    </cfRule>
  </conditionalFormatting>
  <conditionalFormatting sqref="L61">
    <cfRule type="cellIs" dxfId="2094" priority="2510" operator="equal">
      <formula>"Muy Alta"</formula>
    </cfRule>
    <cfRule type="cellIs" dxfId="2093" priority="2511" operator="equal">
      <formula>"Alta"</formula>
    </cfRule>
    <cfRule type="cellIs" dxfId="2092" priority="2512" operator="equal">
      <formula>"Media"</formula>
    </cfRule>
    <cfRule type="cellIs" dxfId="2091" priority="2513" operator="equal">
      <formula>"Baja"</formula>
    </cfRule>
    <cfRule type="cellIs" dxfId="2090" priority="2514" operator="equal">
      <formula>"Muy Baja"</formula>
    </cfRule>
  </conditionalFormatting>
  <conditionalFormatting sqref="P61">
    <cfRule type="cellIs" dxfId="2089" priority="2505" operator="equal">
      <formula>"Catastrófico"</formula>
    </cfRule>
    <cfRule type="cellIs" dxfId="2088" priority="2506" operator="equal">
      <formula>"Mayor"</formula>
    </cfRule>
    <cfRule type="cellIs" dxfId="2087" priority="2507" operator="equal">
      <formula>"Moderado"</formula>
    </cfRule>
    <cfRule type="cellIs" dxfId="2086" priority="2508" operator="equal">
      <formula>"Menor"</formula>
    </cfRule>
    <cfRule type="cellIs" dxfId="2085" priority="2509" operator="equal">
      <formula>"Leve"</formula>
    </cfRule>
  </conditionalFormatting>
  <conditionalFormatting sqref="R61">
    <cfRule type="cellIs" dxfId="2084" priority="2501" operator="equal">
      <formula>"Extremo"</formula>
    </cfRule>
    <cfRule type="cellIs" dxfId="2083" priority="2502" operator="equal">
      <formula>"Alto"</formula>
    </cfRule>
    <cfRule type="cellIs" dxfId="2082" priority="2503" operator="equal">
      <formula>"Moderado"</formula>
    </cfRule>
    <cfRule type="cellIs" dxfId="2081" priority="2504" operator="equal">
      <formula>"Bajo"</formula>
    </cfRule>
  </conditionalFormatting>
  <conditionalFormatting sqref="AD61:AD66">
    <cfRule type="cellIs" dxfId="2080" priority="2496" operator="equal">
      <formula>"Muy Alta"</formula>
    </cfRule>
    <cfRule type="cellIs" dxfId="2079" priority="2497" operator="equal">
      <formula>"Alta"</formula>
    </cfRule>
    <cfRule type="cellIs" dxfId="2078" priority="2498" operator="equal">
      <formula>"Media"</formula>
    </cfRule>
    <cfRule type="cellIs" dxfId="2077" priority="2499" operator="equal">
      <formula>"Baja"</formula>
    </cfRule>
    <cfRule type="cellIs" dxfId="2076" priority="2500" operator="equal">
      <formula>"Muy Baja"</formula>
    </cfRule>
  </conditionalFormatting>
  <conditionalFormatting sqref="AF61:AF66">
    <cfRule type="cellIs" dxfId="2075" priority="2491" operator="equal">
      <formula>"Catastrófico"</formula>
    </cfRule>
    <cfRule type="cellIs" dxfId="2074" priority="2492" operator="equal">
      <formula>"Mayor"</formula>
    </cfRule>
    <cfRule type="cellIs" dxfId="2073" priority="2493" operator="equal">
      <formula>"Moderado"</formula>
    </cfRule>
    <cfRule type="cellIs" dxfId="2072" priority="2494" operator="equal">
      <formula>"Menor"</formula>
    </cfRule>
    <cfRule type="cellIs" dxfId="2071" priority="2495" operator="equal">
      <formula>"Leve"</formula>
    </cfRule>
  </conditionalFormatting>
  <conditionalFormatting sqref="AH61:AH66">
    <cfRule type="cellIs" dxfId="2070" priority="2487" operator="equal">
      <formula>"Extremo"</formula>
    </cfRule>
    <cfRule type="cellIs" dxfId="2069" priority="2488" operator="equal">
      <formula>"Alto"</formula>
    </cfRule>
    <cfRule type="cellIs" dxfId="2068" priority="2489" operator="equal">
      <formula>"Moderado"</formula>
    </cfRule>
    <cfRule type="cellIs" dxfId="2067" priority="2490" operator="equal">
      <formula>"Bajo"</formula>
    </cfRule>
  </conditionalFormatting>
  <conditionalFormatting sqref="O61:O66">
    <cfRule type="containsText" dxfId="2066" priority="2486" operator="containsText" text="❌">
      <formula>NOT(ISERROR(SEARCH("❌",O61)))</formula>
    </cfRule>
  </conditionalFormatting>
  <conditionalFormatting sqref="L79">
    <cfRule type="cellIs" dxfId="2065" priority="2463" operator="equal">
      <formula>"Muy Alta"</formula>
    </cfRule>
    <cfRule type="cellIs" dxfId="2064" priority="2464" operator="equal">
      <formula>"Alta"</formula>
    </cfRule>
    <cfRule type="cellIs" dxfId="2063" priority="2465" operator="equal">
      <formula>"Media"</formula>
    </cfRule>
    <cfRule type="cellIs" dxfId="2062" priority="2466" operator="equal">
      <formula>"Baja"</formula>
    </cfRule>
    <cfRule type="cellIs" dxfId="2061" priority="2467" operator="equal">
      <formula>"Muy Baja"</formula>
    </cfRule>
  </conditionalFormatting>
  <conditionalFormatting sqref="P79">
    <cfRule type="cellIs" dxfId="2060" priority="2458" operator="equal">
      <formula>"Catastrófico"</formula>
    </cfRule>
    <cfRule type="cellIs" dxfId="2059" priority="2459" operator="equal">
      <formula>"Mayor"</formula>
    </cfRule>
    <cfRule type="cellIs" dxfId="2058" priority="2460" operator="equal">
      <formula>"Moderado"</formula>
    </cfRule>
    <cfRule type="cellIs" dxfId="2057" priority="2461" operator="equal">
      <formula>"Menor"</formula>
    </cfRule>
    <cfRule type="cellIs" dxfId="2056" priority="2462" operator="equal">
      <formula>"Leve"</formula>
    </cfRule>
  </conditionalFormatting>
  <conditionalFormatting sqref="R79">
    <cfRule type="cellIs" dxfId="2055" priority="2454" operator="equal">
      <formula>"Extremo"</formula>
    </cfRule>
    <cfRule type="cellIs" dxfId="2054" priority="2455" operator="equal">
      <formula>"Alto"</formula>
    </cfRule>
    <cfRule type="cellIs" dxfId="2053" priority="2456" operator="equal">
      <formula>"Moderado"</formula>
    </cfRule>
    <cfRule type="cellIs" dxfId="2052" priority="2457" operator="equal">
      <formula>"Bajo"</formula>
    </cfRule>
  </conditionalFormatting>
  <conditionalFormatting sqref="AD79:AD84">
    <cfRule type="cellIs" dxfId="2051" priority="2449" operator="equal">
      <formula>"Muy Alta"</formula>
    </cfRule>
    <cfRule type="cellIs" dxfId="2050" priority="2450" operator="equal">
      <formula>"Alta"</formula>
    </cfRule>
    <cfRule type="cellIs" dxfId="2049" priority="2451" operator="equal">
      <formula>"Media"</formula>
    </cfRule>
    <cfRule type="cellIs" dxfId="2048" priority="2452" operator="equal">
      <formula>"Baja"</formula>
    </cfRule>
    <cfRule type="cellIs" dxfId="2047" priority="2453" operator="equal">
      <formula>"Muy Baja"</formula>
    </cfRule>
  </conditionalFormatting>
  <conditionalFormatting sqref="AF79:AF84">
    <cfRule type="cellIs" dxfId="2046" priority="2444" operator="equal">
      <formula>"Catastrófico"</formula>
    </cfRule>
    <cfRule type="cellIs" dxfId="2045" priority="2445" operator="equal">
      <formula>"Mayor"</formula>
    </cfRule>
    <cfRule type="cellIs" dxfId="2044" priority="2446" operator="equal">
      <formula>"Moderado"</formula>
    </cfRule>
    <cfRule type="cellIs" dxfId="2043" priority="2447" operator="equal">
      <formula>"Menor"</formula>
    </cfRule>
    <cfRule type="cellIs" dxfId="2042" priority="2448" operator="equal">
      <formula>"Leve"</formula>
    </cfRule>
  </conditionalFormatting>
  <conditionalFormatting sqref="AH79:AH84">
    <cfRule type="cellIs" dxfId="2041" priority="2440" operator="equal">
      <formula>"Extremo"</formula>
    </cfRule>
    <cfRule type="cellIs" dxfId="2040" priority="2441" operator="equal">
      <formula>"Alto"</formula>
    </cfRule>
    <cfRule type="cellIs" dxfId="2039" priority="2442" operator="equal">
      <formula>"Moderado"</formula>
    </cfRule>
    <cfRule type="cellIs" dxfId="2038" priority="2443" operator="equal">
      <formula>"Bajo"</formula>
    </cfRule>
  </conditionalFormatting>
  <conditionalFormatting sqref="O79:O84">
    <cfRule type="containsText" dxfId="2037" priority="2439" operator="containsText" text="❌">
      <formula>NOT(ISERROR(SEARCH("❌",O79)))</formula>
    </cfRule>
  </conditionalFormatting>
  <conditionalFormatting sqref="L85">
    <cfRule type="cellIs" dxfId="2036" priority="2416" operator="equal">
      <formula>"Muy Alta"</formula>
    </cfRule>
    <cfRule type="cellIs" dxfId="2035" priority="2417" operator="equal">
      <formula>"Alta"</formula>
    </cfRule>
    <cfRule type="cellIs" dxfId="2034" priority="2418" operator="equal">
      <formula>"Media"</formula>
    </cfRule>
    <cfRule type="cellIs" dxfId="2033" priority="2419" operator="equal">
      <formula>"Baja"</formula>
    </cfRule>
    <cfRule type="cellIs" dxfId="2032" priority="2420" operator="equal">
      <formula>"Muy Baja"</formula>
    </cfRule>
  </conditionalFormatting>
  <conditionalFormatting sqref="P85">
    <cfRule type="cellIs" dxfId="2031" priority="2411" operator="equal">
      <formula>"Catastrófico"</formula>
    </cfRule>
    <cfRule type="cellIs" dxfId="2030" priority="2412" operator="equal">
      <formula>"Mayor"</formula>
    </cfRule>
    <cfRule type="cellIs" dxfId="2029" priority="2413" operator="equal">
      <formula>"Moderado"</formula>
    </cfRule>
    <cfRule type="cellIs" dxfId="2028" priority="2414" operator="equal">
      <formula>"Menor"</formula>
    </cfRule>
    <cfRule type="cellIs" dxfId="2027" priority="2415" operator="equal">
      <formula>"Leve"</formula>
    </cfRule>
  </conditionalFormatting>
  <conditionalFormatting sqref="R85">
    <cfRule type="cellIs" dxfId="2026" priority="2407" operator="equal">
      <formula>"Extremo"</formula>
    </cfRule>
    <cfRule type="cellIs" dxfId="2025" priority="2408" operator="equal">
      <formula>"Alto"</formula>
    </cfRule>
    <cfRule type="cellIs" dxfId="2024" priority="2409" operator="equal">
      <formula>"Moderado"</formula>
    </cfRule>
    <cfRule type="cellIs" dxfId="2023" priority="2410" operator="equal">
      <formula>"Bajo"</formula>
    </cfRule>
  </conditionalFormatting>
  <conditionalFormatting sqref="AD85:AD90">
    <cfRule type="cellIs" dxfId="2022" priority="2402" operator="equal">
      <formula>"Muy Alta"</formula>
    </cfRule>
    <cfRule type="cellIs" dxfId="2021" priority="2403" operator="equal">
      <formula>"Alta"</formula>
    </cfRule>
    <cfRule type="cellIs" dxfId="2020" priority="2404" operator="equal">
      <formula>"Media"</formula>
    </cfRule>
    <cfRule type="cellIs" dxfId="2019" priority="2405" operator="equal">
      <formula>"Baja"</formula>
    </cfRule>
    <cfRule type="cellIs" dxfId="2018" priority="2406" operator="equal">
      <formula>"Muy Baja"</formula>
    </cfRule>
  </conditionalFormatting>
  <conditionalFormatting sqref="AF85:AF90">
    <cfRule type="cellIs" dxfId="2017" priority="2397" operator="equal">
      <formula>"Catastrófico"</formula>
    </cfRule>
    <cfRule type="cellIs" dxfId="2016" priority="2398" operator="equal">
      <formula>"Mayor"</formula>
    </cfRule>
    <cfRule type="cellIs" dxfId="2015" priority="2399" operator="equal">
      <formula>"Moderado"</formula>
    </cfRule>
    <cfRule type="cellIs" dxfId="2014" priority="2400" operator="equal">
      <formula>"Menor"</formula>
    </cfRule>
    <cfRule type="cellIs" dxfId="2013" priority="2401" operator="equal">
      <formula>"Leve"</formula>
    </cfRule>
  </conditionalFormatting>
  <conditionalFormatting sqref="AH85:AH90">
    <cfRule type="cellIs" dxfId="2012" priority="2393" operator="equal">
      <formula>"Extremo"</formula>
    </cfRule>
    <cfRule type="cellIs" dxfId="2011" priority="2394" operator="equal">
      <formula>"Alto"</formula>
    </cfRule>
    <cfRule type="cellIs" dxfId="2010" priority="2395" operator="equal">
      <formula>"Moderado"</formula>
    </cfRule>
    <cfRule type="cellIs" dxfId="2009" priority="2396" operator="equal">
      <formula>"Bajo"</formula>
    </cfRule>
  </conditionalFormatting>
  <conditionalFormatting sqref="O85:O90">
    <cfRule type="containsText" dxfId="2008" priority="2392" operator="containsText" text="❌">
      <formula>NOT(ISERROR(SEARCH("❌",O85)))</formula>
    </cfRule>
  </conditionalFormatting>
  <conditionalFormatting sqref="L91">
    <cfRule type="cellIs" dxfId="2007" priority="2369" operator="equal">
      <formula>"Muy Alta"</formula>
    </cfRule>
    <cfRule type="cellIs" dxfId="2006" priority="2370" operator="equal">
      <formula>"Alta"</formula>
    </cfRule>
    <cfRule type="cellIs" dxfId="2005" priority="2371" operator="equal">
      <formula>"Media"</formula>
    </cfRule>
    <cfRule type="cellIs" dxfId="2004" priority="2372" operator="equal">
      <formula>"Baja"</formula>
    </cfRule>
    <cfRule type="cellIs" dxfId="2003" priority="2373" operator="equal">
      <formula>"Muy Baja"</formula>
    </cfRule>
  </conditionalFormatting>
  <conditionalFormatting sqref="P91">
    <cfRule type="cellIs" dxfId="2002" priority="2364" operator="equal">
      <formula>"Catastrófico"</formula>
    </cfRule>
    <cfRule type="cellIs" dxfId="2001" priority="2365" operator="equal">
      <formula>"Mayor"</formula>
    </cfRule>
    <cfRule type="cellIs" dxfId="2000" priority="2366" operator="equal">
      <formula>"Moderado"</formula>
    </cfRule>
    <cfRule type="cellIs" dxfId="1999" priority="2367" operator="equal">
      <formula>"Menor"</formula>
    </cfRule>
    <cfRule type="cellIs" dxfId="1998" priority="2368" operator="equal">
      <formula>"Leve"</formula>
    </cfRule>
  </conditionalFormatting>
  <conditionalFormatting sqref="R91">
    <cfRule type="cellIs" dxfId="1997" priority="2360" operator="equal">
      <formula>"Extremo"</formula>
    </cfRule>
    <cfRule type="cellIs" dxfId="1996" priority="2361" operator="equal">
      <formula>"Alto"</formula>
    </cfRule>
    <cfRule type="cellIs" dxfId="1995" priority="2362" operator="equal">
      <formula>"Moderado"</formula>
    </cfRule>
    <cfRule type="cellIs" dxfId="1994" priority="2363" operator="equal">
      <formula>"Bajo"</formula>
    </cfRule>
  </conditionalFormatting>
  <conditionalFormatting sqref="AD91:AD96">
    <cfRule type="cellIs" dxfId="1993" priority="2355" operator="equal">
      <formula>"Muy Alta"</formula>
    </cfRule>
    <cfRule type="cellIs" dxfId="1992" priority="2356" operator="equal">
      <formula>"Alta"</formula>
    </cfRule>
    <cfRule type="cellIs" dxfId="1991" priority="2357" operator="equal">
      <formula>"Media"</formula>
    </cfRule>
    <cfRule type="cellIs" dxfId="1990" priority="2358" operator="equal">
      <formula>"Baja"</formula>
    </cfRule>
    <cfRule type="cellIs" dxfId="1989" priority="2359" operator="equal">
      <formula>"Muy Baja"</formula>
    </cfRule>
  </conditionalFormatting>
  <conditionalFormatting sqref="AF91:AF96">
    <cfRule type="cellIs" dxfId="1988" priority="2350" operator="equal">
      <formula>"Catastrófico"</formula>
    </cfRule>
    <cfRule type="cellIs" dxfId="1987" priority="2351" operator="equal">
      <formula>"Mayor"</formula>
    </cfRule>
    <cfRule type="cellIs" dxfId="1986" priority="2352" operator="equal">
      <formula>"Moderado"</formula>
    </cfRule>
    <cfRule type="cellIs" dxfId="1985" priority="2353" operator="equal">
      <formula>"Menor"</formula>
    </cfRule>
    <cfRule type="cellIs" dxfId="1984" priority="2354" operator="equal">
      <formula>"Leve"</formula>
    </cfRule>
  </conditionalFormatting>
  <conditionalFormatting sqref="AH91:AH96">
    <cfRule type="cellIs" dxfId="1983" priority="2346" operator="equal">
      <formula>"Extremo"</formula>
    </cfRule>
    <cfRule type="cellIs" dxfId="1982" priority="2347" operator="equal">
      <formula>"Alto"</formula>
    </cfRule>
    <cfRule type="cellIs" dxfId="1981" priority="2348" operator="equal">
      <formula>"Moderado"</formula>
    </cfRule>
    <cfRule type="cellIs" dxfId="1980" priority="2349" operator="equal">
      <formula>"Bajo"</formula>
    </cfRule>
  </conditionalFormatting>
  <conditionalFormatting sqref="O91:O96">
    <cfRule type="containsText" dxfId="1979" priority="2345" operator="containsText" text="❌">
      <formula>NOT(ISERROR(SEARCH("❌",O91)))</formula>
    </cfRule>
  </conditionalFormatting>
  <conditionalFormatting sqref="C103">
    <cfRule type="cellIs" dxfId="1978" priority="2186" operator="equal">
      <formula>#REF!</formula>
    </cfRule>
    <cfRule type="cellIs" dxfId="1977" priority="2187" operator="equal">
      <formula>#REF!</formula>
    </cfRule>
    <cfRule type="cellIs" dxfId="1976" priority="2188" operator="equal">
      <formula>#REF!</formula>
    </cfRule>
    <cfRule type="cellIs" dxfId="1975" priority="2189" operator="equal">
      <formula>#REF!</formula>
    </cfRule>
    <cfRule type="cellIs" dxfId="1974" priority="2190" operator="equal">
      <formula>#REF!</formula>
    </cfRule>
    <cfRule type="cellIs" dxfId="1973" priority="2191" operator="equal">
      <formula>#REF!</formula>
    </cfRule>
    <cfRule type="cellIs" dxfId="1972" priority="2192" operator="equal">
      <formula>#REF!</formula>
    </cfRule>
    <cfRule type="cellIs" dxfId="1971" priority="2193" operator="equal">
      <formula>#REF!</formula>
    </cfRule>
    <cfRule type="cellIs" dxfId="1970" priority="2194" operator="equal">
      <formula>#REF!</formula>
    </cfRule>
    <cfRule type="cellIs" dxfId="1969" priority="2195" operator="equal">
      <formula>#REF!</formula>
    </cfRule>
    <cfRule type="cellIs" dxfId="1968" priority="2196" operator="equal">
      <formula>#REF!</formula>
    </cfRule>
    <cfRule type="cellIs" dxfId="1967" priority="2197" operator="equal">
      <formula>#REF!</formula>
    </cfRule>
    <cfRule type="cellIs" dxfId="1966" priority="2198" operator="equal">
      <formula>#REF!</formula>
    </cfRule>
    <cfRule type="cellIs" dxfId="1965" priority="2199" operator="equal">
      <formula>#REF!</formula>
    </cfRule>
    <cfRule type="cellIs" dxfId="1964" priority="2200" operator="equal">
      <formula>#REF!</formula>
    </cfRule>
    <cfRule type="cellIs" dxfId="1963" priority="2201" operator="equal">
      <formula>#REF!</formula>
    </cfRule>
    <cfRule type="cellIs" dxfId="1962" priority="2202" operator="equal">
      <formula>#REF!</formula>
    </cfRule>
    <cfRule type="cellIs" dxfId="1961" priority="2203" operator="equal">
      <formula>#REF!</formula>
    </cfRule>
  </conditionalFormatting>
  <conditionalFormatting sqref="L103">
    <cfRule type="cellIs" dxfId="1960" priority="2228" operator="equal">
      <formula>"Muy Alta"</formula>
    </cfRule>
    <cfRule type="cellIs" dxfId="1959" priority="2229" operator="equal">
      <formula>"Alta"</formula>
    </cfRule>
    <cfRule type="cellIs" dxfId="1958" priority="2230" operator="equal">
      <formula>"Media"</formula>
    </cfRule>
    <cfRule type="cellIs" dxfId="1957" priority="2231" operator="equal">
      <formula>"Baja"</formula>
    </cfRule>
    <cfRule type="cellIs" dxfId="1956" priority="2232" operator="equal">
      <formula>"Muy Baja"</formula>
    </cfRule>
  </conditionalFormatting>
  <conditionalFormatting sqref="P103">
    <cfRule type="cellIs" dxfId="1955" priority="2223" operator="equal">
      <formula>"Catastrófico"</formula>
    </cfRule>
    <cfRule type="cellIs" dxfId="1954" priority="2224" operator="equal">
      <formula>"Mayor"</formula>
    </cfRule>
    <cfRule type="cellIs" dxfId="1953" priority="2225" operator="equal">
      <formula>"Moderado"</formula>
    </cfRule>
    <cfRule type="cellIs" dxfId="1952" priority="2226" operator="equal">
      <formula>"Menor"</formula>
    </cfRule>
    <cfRule type="cellIs" dxfId="1951" priority="2227" operator="equal">
      <formula>"Leve"</formula>
    </cfRule>
  </conditionalFormatting>
  <conditionalFormatting sqref="R103">
    <cfRule type="cellIs" dxfId="1950" priority="2219" operator="equal">
      <formula>"Extremo"</formula>
    </cfRule>
    <cfRule type="cellIs" dxfId="1949" priority="2220" operator="equal">
      <formula>"Alto"</formula>
    </cfRule>
    <cfRule type="cellIs" dxfId="1948" priority="2221" operator="equal">
      <formula>"Moderado"</formula>
    </cfRule>
    <cfRule type="cellIs" dxfId="1947" priority="2222" operator="equal">
      <formula>"Bajo"</formula>
    </cfRule>
  </conditionalFormatting>
  <conditionalFormatting sqref="AD103:AD108">
    <cfRule type="cellIs" dxfId="1946" priority="2214" operator="equal">
      <formula>"Muy Alta"</formula>
    </cfRule>
    <cfRule type="cellIs" dxfId="1945" priority="2215" operator="equal">
      <formula>"Alta"</formula>
    </cfRule>
    <cfRule type="cellIs" dxfId="1944" priority="2216" operator="equal">
      <formula>"Media"</formula>
    </cfRule>
    <cfRule type="cellIs" dxfId="1943" priority="2217" operator="equal">
      <formula>"Baja"</formula>
    </cfRule>
    <cfRule type="cellIs" dxfId="1942" priority="2218" operator="equal">
      <formula>"Muy Baja"</formula>
    </cfRule>
  </conditionalFormatting>
  <conditionalFormatting sqref="AF103:AF108">
    <cfRule type="cellIs" dxfId="1941" priority="2209" operator="equal">
      <formula>"Catastrófico"</formula>
    </cfRule>
    <cfRule type="cellIs" dxfId="1940" priority="2210" operator="equal">
      <formula>"Mayor"</formula>
    </cfRule>
    <cfRule type="cellIs" dxfId="1939" priority="2211" operator="equal">
      <formula>"Moderado"</formula>
    </cfRule>
    <cfRule type="cellIs" dxfId="1938" priority="2212" operator="equal">
      <formula>"Menor"</formula>
    </cfRule>
    <cfRule type="cellIs" dxfId="1937" priority="2213" operator="equal">
      <formula>"Leve"</formula>
    </cfRule>
  </conditionalFormatting>
  <conditionalFormatting sqref="AH103:AH108">
    <cfRule type="cellIs" dxfId="1936" priority="2205" operator="equal">
      <formula>"Extremo"</formula>
    </cfRule>
    <cfRule type="cellIs" dxfId="1935" priority="2206" operator="equal">
      <formula>"Alto"</formula>
    </cfRule>
    <cfRule type="cellIs" dxfId="1934" priority="2207" operator="equal">
      <formula>"Moderado"</formula>
    </cfRule>
    <cfRule type="cellIs" dxfId="1933" priority="2208" operator="equal">
      <formula>"Bajo"</formula>
    </cfRule>
  </conditionalFormatting>
  <conditionalFormatting sqref="O103:O108">
    <cfRule type="containsText" dxfId="1932" priority="2204" operator="containsText" text="❌">
      <formula>NOT(ISERROR(SEARCH("❌",O103)))</formula>
    </cfRule>
  </conditionalFormatting>
  <conditionalFormatting sqref="L97">
    <cfRule type="cellIs" dxfId="1931" priority="2181" operator="equal">
      <formula>"Muy Alta"</formula>
    </cfRule>
    <cfRule type="cellIs" dxfId="1930" priority="2182" operator="equal">
      <formula>"Alta"</formula>
    </cfRule>
    <cfRule type="cellIs" dxfId="1929" priority="2183" operator="equal">
      <formula>"Media"</formula>
    </cfRule>
    <cfRule type="cellIs" dxfId="1928" priority="2184" operator="equal">
      <formula>"Baja"</formula>
    </cfRule>
    <cfRule type="cellIs" dxfId="1927" priority="2185" operator="equal">
      <formula>"Muy Baja"</formula>
    </cfRule>
  </conditionalFormatting>
  <conditionalFormatting sqref="P97">
    <cfRule type="cellIs" dxfId="1926" priority="2176" operator="equal">
      <formula>"Catastrófico"</formula>
    </cfRule>
    <cfRule type="cellIs" dxfId="1925" priority="2177" operator="equal">
      <formula>"Mayor"</formula>
    </cfRule>
    <cfRule type="cellIs" dxfId="1924" priority="2178" operator="equal">
      <formula>"Moderado"</formula>
    </cfRule>
    <cfRule type="cellIs" dxfId="1923" priority="2179" operator="equal">
      <formula>"Menor"</formula>
    </cfRule>
    <cfRule type="cellIs" dxfId="1922" priority="2180" operator="equal">
      <formula>"Leve"</formula>
    </cfRule>
  </conditionalFormatting>
  <conditionalFormatting sqref="R97">
    <cfRule type="cellIs" dxfId="1921" priority="2172" operator="equal">
      <formula>"Extremo"</formula>
    </cfRule>
    <cfRule type="cellIs" dxfId="1920" priority="2173" operator="equal">
      <formula>"Alto"</formula>
    </cfRule>
    <cfRule type="cellIs" dxfId="1919" priority="2174" operator="equal">
      <formula>"Moderado"</formula>
    </cfRule>
    <cfRule type="cellIs" dxfId="1918" priority="2175" operator="equal">
      <formula>"Bajo"</formula>
    </cfRule>
  </conditionalFormatting>
  <conditionalFormatting sqref="AD97:AD102">
    <cfRule type="cellIs" dxfId="1917" priority="2167" operator="equal">
      <formula>"Muy Alta"</formula>
    </cfRule>
    <cfRule type="cellIs" dxfId="1916" priority="2168" operator="equal">
      <formula>"Alta"</formula>
    </cfRule>
    <cfRule type="cellIs" dxfId="1915" priority="2169" operator="equal">
      <formula>"Media"</formula>
    </cfRule>
    <cfRule type="cellIs" dxfId="1914" priority="2170" operator="equal">
      <formula>"Baja"</formula>
    </cfRule>
    <cfRule type="cellIs" dxfId="1913" priority="2171" operator="equal">
      <formula>"Muy Baja"</formula>
    </cfRule>
  </conditionalFormatting>
  <conditionalFormatting sqref="AF97:AF102">
    <cfRule type="cellIs" dxfId="1912" priority="2162" operator="equal">
      <formula>"Catastrófico"</formula>
    </cfRule>
    <cfRule type="cellIs" dxfId="1911" priority="2163" operator="equal">
      <formula>"Mayor"</formula>
    </cfRule>
    <cfRule type="cellIs" dxfId="1910" priority="2164" operator="equal">
      <formula>"Moderado"</formula>
    </cfRule>
    <cfRule type="cellIs" dxfId="1909" priority="2165" operator="equal">
      <formula>"Menor"</formula>
    </cfRule>
    <cfRule type="cellIs" dxfId="1908" priority="2166" operator="equal">
      <formula>"Leve"</formula>
    </cfRule>
  </conditionalFormatting>
  <conditionalFormatting sqref="AH97:AH102">
    <cfRule type="cellIs" dxfId="1907" priority="2158" operator="equal">
      <formula>"Extremo"</formula>
    </cfRule>
    <cfRule type="cellIs" dxfId="1906" priority="2159" operator="equal">
      <formula>"Alto"</formula>
    </cfRule>
    <cfRule type="cellIs" dxfId="1905" priority="2160" operator="equal">
      <formula>"Moderado"</formula>
    </cfRule>
    <cfRule type="cellIs" dxfId="1904" priority="2161" operator="equal">
      <formula>"Bajo"</formula>
    </cfRule>
  </conditionalFormatting>
  <conditionalFormatting sqref="O97:O102">
    <cfRule type="containsText" dxfId="1903" priority="2157" operator="containsText" text="❌">
      <formula>NOT(ISERROR(SEARCH("❌",O97)))</formula>
    </cfRule>
  </conditionalFormatting>
  <conditionalFormatting sqref="C109 C113">
    <cfRule type="cellIs" dxfId="1902" priority="2092" operator="equal">
      <formula>#REF!</formula>
    </cfRule>
    <cfRule type="cellIs" dxfId="1901" priority="2093" operator="equal">
      <formula>#REF!</formula>
    </cfRule>
    <cfRule type="cellIs" dxfId="1900" priority="2094" operator="equal">
      <formula>#REF!</formula>
    </cfRule>
    <cfRule type="cellIs" dxfId="1899" priority="2095" operator="equal">
      <formula>#REF!</formula>
    </cfRule>
    <cfRule type="cellIs" dxfId="1898" priority="2096" operator="equal">
      <formula>#REF!</formula>
    </cfRule>
    <cfRule type="cellIs" dxfId="1897" priority="2097" operator="equal">
      <formula>#REF!</formula>
    </cfRule>
    <cfRule type="cellIs" dxfId="1896" priority="2098" operator="equal">
      <formula>#REF!</formula>
    </cfRule>
    <cfRule type="cellIs" dxfId="1895" priority="2099" operator="equal">
      <formula>#REF!</formula>
    </cfRule>
    <cfRule type="cellIs" dxfId="1894" priority="2100" operator="equal">
      <formula>#REF!</formula>
    </cfRule>
    <cfRule type="cellIs" dxfId="1893" priority="2101" operator="equal">
      <formula>#REF!</formula>
    </cfRule>
    <cfRule type="cellIs" dxfId="1892" priority="2102" operator="equal">
      <formula>#REF!</formula>
    </cfRule>
    <cfRule type="cellIs" dxfId="1891" priority="2103" operator="equal">
      <formula>#REF!</formula>
    </cfRule>
    <cfRule type="cellIs" dxfId="1890" priority="2104" operator="equal">
      <formula>#REF!</formula>
    </cfRule>
    <cfRule type="cellIs" dxfId="1889" priority="2105" operator="equal">
      <formula>#REF!</formula>
    </cfRule>
    <cfRule type="cellIs" dxfId="1888" priority="2106" operator="equal">
      <formula>#REF!</formula>
    </cfRule>
    <cfRule type="cellIs" dxfId="1887" priority="2107" operator="equal">
      <formula>#REF!</formula>
    </cfRule>
    <cfRule type="cellIs" dxfId="1886" priority="2108" operator="equal">
      <formula>#REF!</formula>
    </cfRule>
    <cfRule type="cellIs" dxfId="1885" priority="2109" operator="equal">
      <formula>#REF!</formula>
    </cfRule>
  </conditionalFormatting>
  <conditionalFormatting sqref="L109">
    <cfRule type="cellIs" dxfId="1884" priority="2134" operator="equal">
      <formula>"Muy Alta"</formula>
    </cfRule>
    <cfRule type="cellIs" dxfId="1883" priority="2135" operator="equal">
      <formula>"Alta"</formula>
    </cfRule>
    <cfRule type="cellIs" dxfId="1882" priority="2136" operator="equal">
      <formula>"Media"</formula>
    </cfRule>
    <cfRule type="cellIs" dxfId="1881" priority="2137" operator="equal">
      <formula>"Baja"</formula>
    </cfRule>
    <cfRule type="cellIs" dxfId="1880" priority="2138" operator="equal">
      <formula>"Muy Baja"</formula>
    </cfRule>
  </conditionalFormatting>
  <conditionalFormatting sqref="P109">
    <cfRule type="cellIs" dxfId="1879" priority="2129" operator="equal">
      <formula>"Catastrófico"</formula>
    </cfRule>
    <cfRule type="cellIs" dxfId="1878" priority="2130" operator="equal">
      <formula>"Mayor"</formula>
    </cfRule>
    <cfRule type="cellIs" dxfId="1877" priority="2131" operator="equal">
      <formula>"Moderado"</formula>
    </cfRule>
    <cfRule type="cellIs" dxfId="1876" priority="2132" operator="equal">
      <formula>"Menor"</formula>
    </cfRule>
    <cfRule type="cellIs" dxfId="1875" priority="2133" operator="equal">
      <formula>"Leve"</formula>
    </cfRule>
  </conditionalFormatting>
  <conditionalFormatting sqref="R109">
    <cfRule type="cellIs" dxfId="1874" priority="2125" operator="equal">
      <formula>"Extremo"</formula>
    </cfRule>
    <cfRule type="cellIs" dxfId="1873" priority="2126" operator="equal">
      <formula>"Alto"</formula>
    </cfRule>
    <cfRule type="cellIs" dxfId="1872" priority="2127" operator="equal">
      <formula>"Moderado"</formula>
    </cfRule>
    <cfRule type="cellIs" dxfId="1871" priority="2128" operator="equal">
      <formula>"Bajo"</formula>
    </cfRule>
  </conditionalFormatting>
  <conditionalFormatting sqref="L113">
    <cfRule type="cellIs" dxfId="1870" priority="2087" operator="equal">
      <formula>"Muy Alta"</formula>
    </cfRule>
    <cfRule type="cellIs" dxfId="1869" priority="2088" operator="equal">
      <formula>"Alta"</formula>
    </cfRule>
    <cfRule type="cellIs" dxfId="1868" priority="2089" operator="equal">
      <formula>"Media"</formula>
    </cfRule>
    <cfRule type="cellIs" dxfId="1867" priority="2090" operator="equal">
      <formula>"Baja"</formula>
    </cfRule>
    <cfRule type="cellIs" dxfId="1866" priority="2091" operator="equal">
      <formula>"Muy Baja"</formula>
    </cfRule>
  </conditionalFormatting>
  <conditionalFormatting sqref="P113">
    <cfRule type="cellIs" dxfId="1865" priority="2082" operator="equal">
      <formula>"Catastrófico"</formula>
    </cfRule>
    <cfRule type="cellIs" dxfId="1864" priority="2083" operator="equal">
      <formula>"Mayor"</formula>
    </cfRule>
    <cfRule type="cellIs" dxfId="1863" priority="2084" operator="equal">
      <formula>"Moderado"</formula>
    </cfRule>
    <cfRule type="cellIs" dxfId="1862" priority="2085" operator="equal">
      <formula>"Menor"</formula>
    </cfRule>
    <cfRule type="cellIs" dxfId="1861" priority="2086" operator="equal">
      <formula>"Leve"</formula>
    </cfRule>
  </conditionalFormatting>
  <conditionalFormatting sqref="R113">
    <cfRule type="cellIs" dxfId="1860" priority="2078" operator="equal">
      <formula>"Extremo"</formula>
    </cfRule>
    <cfRule type="cellIs" dxfId="1859" priority="2079" operator="equal">
      <formula>"Alto"</formula>
    </cfRule>
    <cfRule type="cellIs" dxfId="1858" priority="2080" operator="equal">
      <formula>"Moderado"</formula>
    </cfRule>
    <cfRule type="cellIs" dxfId="1857" priority="2081" operator="equal">
      <formula>"Bajo"</formula>
    </cfRule>
  </conditionalFormatting>
  <conditionalFormatting sqref="AD113:AD118">
    <cfRule type="cellIs" dxfId="1856" priority="2073" operator="equal">
      <formula>"Muy Alta"</formula>
    </cfRule>
    <cfRule type="cellIs" dxfId="1855" priority="2074" operator="equal">
      <formula>"Alta"</formula>
    </cfRule>
    <cfRule type="cellIs" dxfId="1854" priority="2075" operator="equal">
      <formula>"Media"</formula>
    </cfRule>
    <cfRule type="cellIs" dxfId="1853" priority="2076" operator="equal">
      <formula>"Baja"</formula>
    </cfRule>
    <cfRule type="cellIs" dxfId="1852" priority="2077" operator="equal">
      <formula>"Muy Baja"</formula>
    </cfRule>
  </conditionalFormatting>
  <conditionalFormatting sqref="AF113:AF118">
    <cfRule type="cellIs" dxfId="1851" priority="2068" operator="equal">
      <formula>"Catastrófico"</formula>
    </cfRule>
    <cfRule type="cellIs" dxfId="1850" priority="2069" operator="equal">
      <formula>"Mayor"</formula>
    </cfRule>
    <cfRule type="cellIs" dxfId="1849" priority="2070" operator="equal">
      <formula>"Moderado"</formula>
    </cfRule>
    <cfRule type="cellIs" dxfId="1848" priority="2071" operator="equal">
      <formula>"Menor"</formula>
    </cfRule>
    <cfRule type="cellIs" dxfId="1847" priority="2072" operator="equal">
      <formula>"Leve"</formula>
    </cfRule>
  </conditionalFormatting>
  <conditionalFormatting sqref="AH113:AH118">
    <cfRule type="cellIs" dxfId="1846" priority="2064" operator="equal">
      <formula>"Extremo"</formula>
    </cfRule>
    <cfRule type="cellIs" dxfId="1845" priority="2065" operator="equal">
      <formula>"Alto"</formula>
    </cfRule>
    <cfRule type="cellIs" dxfId="1844" priority="2066" operator="equal">
      <formula>"Moderado"</formula>
    </cfRule>
    <cfRule type="cellIs" dxfId="1843" priority="2067" operator="equal">
      <formula>"Bajo"</formula>
    </cfRule>
  </conditionalFormatting>
  <conditionalFormatting sqref="O113:O118">
    <cfRule type="containsText" dxfId="1842" priority="2063" operator="containsText" text="❌">
      <formula>NOT(ISERROR(SEARCH("❌",O113)))</formula>
    </cfRule>
  </conditionalFormatting>
  <conditionalFormatting sqref="C119">
    <cfRule type="cellIs" dxfId="1841" priority="1998" operator="equal">
      <formula>#REF!</formula>
    </cfRule>
    <cfRule type="cellIs" dxfId="1840" priority="1999" operator="equal">
      <formula>#REF!</formula>
    </cfRule>
    <cfRule type="cellIs" dxfId="1839" priority="2000" operator="equal">
      <formula>#REF!</formula>
    </cfRule>
    <cfRule type="cellIs" dxfId="1838" priority="2001" operator="equal">
      <formula>#REF!</formula>
    </cfRule>
    <cfRule type="cellIs" dxfId="1837" priority="2002" operator="equal">
      <formula>#REF!</formula>
    </cfRule>
    <cfRule type="cellIs" dxfId="1836" priority="2003" operator="equal">
      <formula>#REF!</formula>
    </cfRule>
    <cfRule type="cellIs" dxfId="1835" priority="2004" operator="equal">
      <formula>#REF!</formula>
    </cfRule>
    <cfRule type="cellIs" dxfId="1834" priority="2005" operator="equal">
      <formula>#REF!</formula>
    </cfRule>
    <cfRule type="cellIs" dxfId="1833" priority="2006" operator="equal">
      <formula>#REF!</formula>
    </cfRule>
    <cfRule type="cellIs" dxfId="1832" priority="2007" operator="equal">
      <formula>#REF!</formula>
    </cfRule>
    <cfRule type="cellIs" dxfId="1831" priority="2008" operator="equal">
      <formula>#REF!</formula>
    </cfRule>
    <cfRule type="cellIs" dxfId="1830" priority="2009" operator="equal">
      <formula>#REF!</formula>
    </cfRule>
    <cfRule type="cellIs" dxfId="1829" priority="2010" operator="equal">
      <formula>#REF!</formula>
    </cfRule>
    <cfRule type="cellIs" dxfId="1828" priority="2011" operator="equal">
      <formula>#REF!</formula>
    </cfRule>
    <cfRule type="cellIs" dxfId="1827" priority="2012" operator="equal">
      <formula>#REF!</formula>
    </cfRule>
    <cfRule type="cellIs" dxfId="1826" priority="2013" operator="equal">
      <formula>#REF!</formula>
    </cfRule>
    <cfRule type="cellIs" dxfId="1825" priority="2014" operator="equal">
      <formula>#REF!</formula>
    </cfRule>
    <cfRule type="cellIs" dxfId="1824" priority="2015" operator="equal">
      <formula>#REF!</formula>
    </cfRule>
  </conditionalFormatting>
  <conditionalFormatting sqref="L119">
    <cfRule type="cellIs" dxfId="1823" priority="2040" operator="equal">
      <formula>"Muy Alta"</formula>
    </cfRule>
    <cfRule type="cellIs" dxfId="1822" priority="2041" operator="equal">
      <formula>"Alta"</formula>
    </cfRule>
    <cfRule type="cellIs" dxfId="1821" priority="2042" operator="equal">
      <formula>"Media"</formula>
    </cfRule>
    <cfRule type="cellIs" dxfId="1820" priority="2043" operator="equal">
      <formula>"Baja"</formula>
    </cfRule>
    <cfRule type="cellIs" dxfId="1819" priority="2044" operator="equal">
      <formula>"Muy Baja"</formula>
    </cfRule>
  </conditionalFormatting>
  <conditionalFormatting sqref="P119">
    <cfRule type="cellIs" dxfId="1818" priority="2035" operator="equal">
      <formula>"Catastrófico"</formula>
    </cfRule>
    <cfRule type="cellIs" dxfId="1817" priority="2036" operator="equal">
      <formula>"Mayor"</formula>
    </cfRule>
    <cfRule type="cellIs" dxfId="1816" priority="2037" operator="equal">
      <formula>"Moderado"</formula>
    </cfRule>
    <cfRule type="cellIs" dxfId="1815" priority="2038" operator="equal">
      <formula>"Menor"</formula>
    </cfRule>
    <cfRule type="cellIs" dxfId="1814" priority="2039" operator="equal">
      <formula>"Leve"</formula>
    </cfRule>
  </conditionalFormatting>
  <conditionalFormatting sqref="R119">
    <cfRule type="cellIs" dxfId="1813" priority="2031" operator="equal">
      <formula>"Extremo"</formula>
    </cfRule>
    <cfRule type="cellIs" dxfId="1812" priority="2032" operator="equal">
      <formula>"Alto"</formula>
    </cfRule>
    <cfRule type="cellIs" dxfId="1811" priority="2033" operator="equal">
      <formula>"Moderado"</formula>
    </cfRule>
    <cfRule type="cellIs" dxfId="1810" priority="2034" operator="equal">
      <formula>"Bajo"</formula>
    </cfRule>
  </conditionalFormatting>
  <conditionalFormatting sqref="AD119:AD124">
    <cfRule type="cellIs" dxfId="1809" priority="2026" operator="equal">
      <formula>"Muy Alta"</formula>
    </cfRule>
    <cfRule type="cellIs" dxfId="1808" priority="2027" operator="equal">
      <formula>"Alta"</formula>
    </cfRule>
    <cfRule type="cellIs" dxfId="1807" priority="2028" operator="equal">
      <formula>"Media"</formula>
    </cfRule>
    <cfRule type="cellIs" dxfId="1806" priority="2029" operator="equal">
      <formula>"Baja"</formula>
    </cfRule>
    <cfRule type="cellIs" dxfId="1805" priority="2030" operator="equal">
      <formula>"Muy Baja"</formula>
    </cfRule>
  </conditionalFormatting>
  <conditionalFormatting sqref="AF119:AF124">
    <cfRule type="cellIs" dxfId="1804" priority="2021" operator="equal">
      <formula>"Catastrófico"</formula>
    </cfRule>
    <cfRule type="cellIs" dxfId="1803" priority="2022" operator="equal">
      <formula>"Mayor"</formula>
    </cfRule>
    <cfRule type="cellIs" dxfId="1802" priority="2023" operator="equal">
      <formula>"Moderado"</formula>
    </cfRule>
    <cfRule type="cellIs" dxfId="1801" priority="2024" operator="equal">
      <formula>"Menor"</formula>
    </cfRule>
    <cfRule type="cellIs" dxfId="1800" priority="2025" operator="equal">
      <formula>"Leve"</formula>
    </cfRule>
  </conditionalFormatting>
  <conditionalFormatting sqref="AH119:AH124">
    <cfRule type="cellIs" dxfId="1799" priority="2017" operator="equal">
      <formula>"Extremo"</formula>
    </cfRule>
    <cfRule type="cellIs" dxfId="1798" priority="2018" operator="equal">
      <formula>"Alto"</formula>
    </cfRule>
    <cfRule type="cellIs" dxfId="1797" priority="2019" operator="equal">
      <formula>"Moderado"</formula>
    </cfRule>
    <cfRule type="cellIs" dxfId="1796" priority="2020" operator="equal">
      <formula>"Bajo"</formula>
    </cfRule>
  </conditionalFormatting>
  <conditionalFormatting sqref="O119:O124">
    <cfRule type="containsText" dxfId="1795" priority="2016" operator="containsText" text="❌">
      <formula>NOT(ISERROR(SEARCH("❌",O119)))</formula>
    </cfRule>
  </conditionalFormatting>
  <conditionalFormatting sqref="C131">
    <cfRule type="cellIs" dxfId="1794" priority="1904" operator="equal">
      <formula>#REF!</formula>
    </cfRule>
    <cfRule type="cellIs" dxfId="1793" priority="1905" operator="equal">
      <formula>#REF!</formula>
    </cfRule>
    <cfRule type="cellIs" dxfId="1792" priority="1906" operator="equal">
      <formula>#REF!</formula>
    </cfRule>
    <cfRule type="cellIs" dxfId="1791" priority="1907" operator="equal">
      <formula>#REF!</formula>
    </cfRule>
    <cfRule type="cellIs" dxfId="1790" priority="1908" operator="equal">
      <formula>#REF!</formula>
    </cfRule>
    <cfRule type="cellIs" dxfId="1789" priority="1909" operator="equal">
      <formula>#REF!</formula>
    </cfRule>
    <cfRule type="cellIs" dxfId="1788" priority="1910" operator="equal">
      <formula>#REF!</formula>
    </cfRule>
    <cfRule type="cellIs" dxfId="1787" priority="1911" operator="equal">
      <formula>#REF!</formula>
    </cfRule>
    <cfRule type="cellIs" dxfId="1786" priority="1912" operator="equal">
      <formula>#REF!</formula>
    </cfRule>
    <cfRule type="cellIs" dxfId="1785" priority="1913" operator="equal">
      <formula>#REF!</formula>
    </cfRule>
    <cfRule type="cellIs" dxfId="1784" priority="1914" operator="equal">
      <formula>#REF!</formula>
    </cfRule>
    <cfRule type="cellIs" dxfId="1783" priority="1915" operator="equal">
      <formula>#REF!</formula>
    </cfRule>
    <cfRule type="cellIs" dxfId="1782" priority="1916" operator="equal">
      <formula>#REF!</formula>
    </cfRule>
    <cfRule type="cellIs" dxfId="1781" priority="1917" operator="equal">
      <formula>#REF!</formula>
    </cfRule>
    <cfRule type="cellIs" dxfId="1780" priority="1918" operator="equal">
      <formula>#REF!</formula>
    </cfRule>
    <cfRule type="cellIs" dxfId="1779" priority="1919" operator="equal">
      <formula>#REF!</formula>
    </cfRule>
    <cfRule type="cellIs" dxfId="1778" priority="1920" operator="equal">
      <formula>#REF!</formula>
    </cfRule>
    <cfRule type="cellIs" dxfId="1777" priority="1921" operator="equal">
      <formula>#REF!</formula>
    </cfRule>
  </conditionalFormatting>
  <conditionalFormatting sqref="L131">
    <cfRule type="cellIs" dxfId="1776" priority="1946" operator="equal">
      <formula>"Muy Alta"</formula>
    </cfRule>
    <cfRule type="cellIs" dxfId="1775" priority="1947" operator="equal">
      <formula>"Alta"</formula>
    </cfRule>
    <cfRule type="cellIs" dxfId="1774" priority="1948" operator="equal">
      <formula>"Media"</formula>
    </cfRule>
    <cfRule type="cellIs" dxfId="1773" priority="1949" operator="equal">
      <formula>"Baja"</formula>
    </cfRule>
    <cfRule type="cellIs" dxfId="1772" priority="1950" operator="equal">
      <formula>"Muy Baja"</formula>
    </cfRule>
  </conditionalFormatting>
  <conditionalFormatting sqref="P131">
    <cfRule type="cellIs" dxfId="1771" priority="1941" operator="equal">
      <formula>"Catastrófico"</formula>
    </cfRule>
    <cfRule type="cellIs" dxfId="1770" priority="1942" operator="equal">
      <formula>"Mayor"</formula>
    </cfRule>
    <cfRule type="cellIs" dxfId="1769" priority="1943" operator="equal">
      <formula>"Moderado"</formula>
    </cfRule>
    <cfRule type="cellIs" dxfId="1768" priority="1944" operator="equal">
      <formula>"Menor"</formula>
    </cfRule>
    <cfRule type="cellIs" dxfId="1767" priority="1945" operator="equal">
      <formula>"Leve"</formula>
    </cfRule>
  </conditionalFormatting>
  <conditionalFormatting sqref="R131">
    <cfRule type="cellIs" dxfId="1766" priority="1937" operator="equal">
      <formula>"Extremo"</formula>
    </cfRule>
    <cfRule type="cellIs" dxfId="1765" priority="1938" operator="equal">
      <formula>"Alto"</formula>
    </cfRule>
    <cfRule type="cellIs" dxfId="1764" priority="1939" operator="equal">
      <formula>"Moderado"</formula>
    </cfRule>
    <cfRule type="cellIs" dxfId="1763" priority="1940" operator="equal">
      <formula>"Bajo"</formula>
    </cfRule>
  </conditionalFormatting>
  <conditionalFormatting sqref="AD131:AD136">
    <cfRule type="cellIs" dxfId="1762" priority="1932" operator="equal">
      <formula>"Muy Alta"</formula>
    </cfRule>
    <cfRule type="cellIs" dxfId="1761" priority="1933" operator="equal">
      <formula>"Alta"</formula>
    </cfRule>
    <cfRule type="cellIs" dxfId="1760" priority="1934" operator="equal">
      <formula>"Media"</formula>
    </cfRule>
    <cfRule type="cellIs" dxfId="1759" priority="1935" operator="equal">
      <formula>"Baja"</formula>
    </cfRule>
    <cfRule type="cellIs" dxfId="1758" priority="1936" operator="equal">
      <formula>"Muy Baja"</formula>
    </cfRule>
  </conditionalFormatting>
  <conditionalFormatting sqref="AF131:AF136">
    <cfRule type="cellIs" dxfId="1757" priority="1927" operator="equal">
      <formula>"Catastrófico"</formula>
    </cfRule>
    <cfRule type="cellIs" dxfId="1756" priority="1928" operator="equal">
      <formula>"Mayor"</formula>
    </cfRule>
    <cfRule type="cellIs" dxfId="1755" priority="1929" operator="equal">
      <formula>"Moderado"</formula>
    </cfRule>
    <cfRule type="cellIs" dxfId="1754" priority="1930" operator="equal">
      <formula>"Menor"</formula>
    </cfRule>
    <cfRule type="cellIs" dxfId="1753" priority="1931" operator="equal">
      <formula>"Leve"</formula>
    </cfRule>
  </conditionalFormatting>
  <conditionalFormatting sqref="AH131:AH136">
    <cfRule type="cellIs" dxfId="1752" priority="1923" operator="equal">
      <formula>"Extremo"</formula>
    </cfRule>
    <cfRule type="cellIs" dxfId="1751" priority="1924" operator="equal">
      <formula>"Alto"</formula>
    </cfRule>
    <cfRule type="cellIs" dxfId="1750" priority="1925" operator="equal">
      <formula>"Moderado"</formula>
    </cfRule>
    <cfRule type="cellIs" dxfId="1749" priority="1926" operator="equal">
      <formula>"Bajo"</formula>
    </cfRule>
  </conditionalFormatting>
  <conditionalFormatting sqref="O131:O136">
    <cfRule type="containsText" dxfId="1748" priority="1922" operator="containsText" text="❌">
      <formula>NOT(ISERROR(SEARCH("❌",O131)))</formula>
    </cfRule>
  </conditionalFormatting>
  <conditionalFormatting sqref="C125">
    <cfRule type="cellIs" dxfId="1747" priority="1857" operator="equal">
      <formula>#REF!</formula>
    </cfRule>
    <cfRule type="cellIs" dxfId="1746" priority="1858" operator="equal">
      <formula>#REF!</formula>
    </cfRule>
    <cfRule type="cellIs" dxfId="1745" priority="1859" operator="equal">
      <formula>#REF!</formula>
    </cfRule>
    <cfRule type="cellIs" dxfId="1744" priority="1860" operator="equal">
      <formula>#REF!</formula>
    </cfRule>
    <cfRule type="cellIs" dxfId="1743" priority="1861" operator="equal">
      <formula>#REF!</formula>
    </cfRule>
    <cfRule type="cellIs" dxfId="1742" priority="1862" operator="equal">
      <formula>#REF!</formula>
    </cfRule>
    <cfRule type="cellIs" dxfId="1741" priority="1863" operator="equal">
      <formula>#REF!</formula>
    </cfRule>
    <cfRule type="cellIs" dxfId="1740" priority="1864" operator="equal">
      <formula>#REF!</formula>
    </cfRule>
    <cfRule type="cellIs" dxfId="1739" priority="1865" operator="equal">
      <formula>#REF!</formula>
    </cfRule>
    <cfRule type="cellIs" dxfId="1738" priority="1866" operator="equal">
      <formula>#REF!</formula>
    </cfRule>
    <cfRule type="cellIs" dxfId="1737" priority="1867" operator="equal">
      <formula>#REF!</formula>
    </cfRule>
    <cfRule type="cellIs" dxfId="1736" priority="1868" operator="equal">
      <formula>#REF!</formula>
    </cfRule>
    <cfRule type="cellIs" dxfId="1735" priority="1869" operator="equal">
      <formula>#REF!</formula>
    </cfRule>
    <cfRule type="cellIs" dxfId="1734" priority="1870" operator="equal">
      <formula>#REF!</formula>
    </cfRule>
    <cfRule type="cellIs" dxfId="1733" priority="1871" operator="equal">
      <formula>#REF!</formula>
    </cfRule>
    <cfRule type="cellIs" dxfId="1732" priority="1872" operator="equal">
      <formula>#REF!</formula>
    </cfRule>
    <cfRule type="cellIs" dxfId="1731" priority="1873" operator="equal">
      <formula>#REF!</formula>
    </cfRule>
    <cfRule type="cellIs" dxfId="1730" priority="1874" operator="equal">
      <formula>#REF!</formula>
    </cfRule>
  </conditionalFormatting>
  <conditionalFormatting sqref="L125">
    <cfRule type="cellIs" dxfId="1729" priority="1899" operator="equal">
      <formula>"Muy Alta"</formula>
    </cfRule>
    <cfRule type="cellIs" dxfId="1728" priority="1900" operator="equal">
      <formula>"Alta"</formula>
    </cfRule>
    <cfRule type="cellIs" dxfId="1727" priority="1901" operator="equal">
      <formula>"Media"</formula>
    </cfRule>
    <cfRule type="cellIs" dxfId="1726" priority="1902" operator="equal">
      <formula>"Baja"</formula>
    </cfRule>
    <cfRule type="cellIs" dxfId="1725" priority="1903" operator="equal">
      <formula>"Muy Baja"</formula>
    </cfRule>
  </conditionalFormatting>
  <conditionalFormatting sqref="P125">
    <cfRule type="cellIs" dxfId="1724" priority="1894" operator="equal">
      <formula>"Catastrófico"</formula>
    </cfRule>
    <cfRule type="cellIs" dxfId="1723" priority="1895" operator="equal">
      <formula>"Mayor"</formula>
    </cfRule>
    <cfRule type="cellIs" dxfId="1722" priority="1896" operator="equal">
      <formula>"Moderado"</formula>
    </cfRule>
    <cfRule type="cellIs" dxfId="1721" priority="1897" operator="equal">
      <formula>"Menor"</formula>
    </cfRule>
    <cfRule type="cellIs" dxfId="1720" priority="1898" operator="equal">
      <formula>"Leve"</formula>
    </cfRule>
  </conditionalFormatting>
  <conditionalFormatting sqref="R125">
    <cfRule type="cellIs" dxfId="1719" priority="1890" operator="equal">
      <formula>"Extremo"</formula>
    </cfRule>
    <cfRule type="cellIs" dxfId="1718" priority="1891" operator="equal">
      <formula>"Alto"</formula>
    </cfRule>
    <cfRule type="cellIs" dxfId="1717" priority="1892" operator="equal">
      <formula>"Moderado"</formula>
    </cfRule>
    <cfRule type="cellIs" dxfId="1716" priority="1893" operator="equal">
      <formula>"Bajo"</formula>
    </cfRule>
  </conditionalFormatting>
  <conditionalFormatting sqref="AD125:AD130">
    <cfRule type="cellIs" dxfId="1715" priority="1885" operator="equal">
      <formula>"Muy Alta"</formula>
    </cfRule>
    <cfRule type="cellIs" dxfId="1714" priority="1886" operator="equal">
      <formula>"Alta"</formula>
    </cfRule>
    <cfRule type="cellIs" dxfId="1713" priority="1887" operator="equal">
      <formula>"Media"</formula>
    </cfRule>
    <cfRule type="cellIs" dxfId="1712" priority="1888" operator="equal">
      <formula>"Baja"</formula>
    </cfRule>
    <cfRule type="cellIs" dxfId="1711" priority="1889" operator="equal">
      <formula>"Muy Baja"</formula>
    </cfRule>
  </conditionalFormatting>
  <conditionalFormatting sqref="AF125:AF130">
    <cfRule type="cellIs" dxfId="1710" priority="1880" operator="equal">
      <formula>"Catastrófico"</formula>
    </cfRule>
    <cfRule type="cellIs" dxfId="1709" priority="1881" operator="equal">
      <formula>"Mayor"</formula>
    </cfRule>
    <cfRule type="cellIs" dxfId="1708" priority="1882" operator="equal">
      <formula>"Moderado"</formula>
    </cfRule>
    <cfRule type="cellIs" dxfId="1707" priority="1883" operator="equal">
      <formula>"Menor"</formula>
    </cfRule>
    <cfRule type="cellIs" dxfId="1706" priority="1884" operator="equal">
      <formula>"Leve"</formula>
    </cfRule>
  </conditionalFormatting>
  <conditionalFormatting sqref="AH125:AH130">
    <cfRule type="cellIs" dxfId="1705" priority="1876" operator="equal">
      <formula>"Extremo"</formula>
    </cfRule>
    <cfRule type="cellIs" dxfId="1704" priority="1877" operator="equal">
      <formula>"Alto"</formula>
    </cfRule>
    <cfRule type="cellIs" dxfId="1703" priority="1878" operator="equal">
      <formula>"Moderado"</formula>
    </cfRule>
    <cfRule type="cellIs" dxfId="1702" priority="1879" operator="equal">
      <formula>"Bajo"</formula>
    </cfRule>
  </conditionalFormatting>
  <conditionalFormatting sqref="O125:O130">
    <cfRule type="containsText" dxfId="1701" priority="1875" operator="containsText" text="❌">
      <formula>NOT(ISERROR(SEARCH("❌",O125)))</formula>
    </cfRule>
  </conditionalFormatting>
  <conditionalFormatting sqref="C137">
    <cfRule type="cellIs" dxfId="1700" priority="1810" operator="equal">
      <formula>#REF!</formula>
    </cfRule>
    <cfRule type="cellIs" dxfId="1699" priority="1811" operator="equal">
      <formula>#REF!</formula>
    </cfRule>
    <cfRule type="cellIs" dxfId="1698" priority="1812" operator="equal">
      <formula>#REF!</formula>
    </cfRule>
    <cfRule type="cellIs" dxfId="1697" priority="1813" operator="equal">
      <formula>#REF!</formula>
    </cfRule>
    <cfRule type="cellIs" dxfId="1696" priority="1814" operator="equal">
      <formula>#REF!</formula>
    </cfRule>
    <cfRule type="cellIs" dxfId="1695" priority="1815" operator="equal">
      <formula>#REF!</formula>
    </cfRule>
    <cfRule type="cellIs" dxfId="1694" priority="1816" operator="equal">
      <formula>#REF!</formula>
    </cfRule>
    <cfRule type="cellIs" dxfId="1693" priority="1817" operator="equal">
      <formula>#REF!</formula>
    </cfRule>
    <cfRule type="cellIs" dxfId="1692" priority="1818" operator="equal">
      <formula>#REF!</formula>
    </cfRule>
    <cfRule type="cellIs" dxfId="1691" priority="1819" operator="equal">
      <formula>#REF!</formula>
    </cfRule>
    <cfRule type="cellIs" dxfId="1690" priority="1820" operator="equal">
      <formula>#REF!</formula>
    </cfRule>
    <cfRule type="cellIs" dxfId="1689" priority="1821" operator="equal">
      <formula>#REF!</formula>
    </cfRule>
    <cfRule type="cellIs" dxfId="1688" priority="1822" operator="equal">
      <formula>#REF!</formula>
    </cfRule>
    <cfRule type="cellIs" dxfId="1687" priority="1823" operator="equal">
      <formula>#REF!</formula>
    </cfRule>
    <cfRule type="cellIs" dxfId="1686" priority="1824" operator="equal">
      <formula>#REF!</formula>
    </cfRule>
    <cfRule type="cellIs" dxfId="1685" priority="1825" operator="equal">
      <formula>#REF!</formula>
    </cfRule>
    <cfRule type="cellIs" dxfId="1684" priority="1826" operator="equal">
      <formula>#REF!</formula>
    </cfRule>
    <cfRule type="cellIs" dxfId="1683" priority="1827" operator="equal">
      <formula>#REF!</formula>
    </cfRule>
  </conditionalFormatting>
  <conditionalFormatting sqref="L137">
    <cfRule type="cellIs" dxfId="1682" priority="1852" operator="equal">
      <formula>"Muy Alta"</formula>
    </cfRule>
    <cfRule type="cellIs" dxfId="1681" priority="1853" operator="equal">
      <formula>"Alta"</formula>
    </cfRule>
    <cfRule type="cellIs" dxfId="1680" priority="1854" operator="equal">
      <formula>"Media"</formula>
    </cfRule>
    <cfRule type="cellIs" dxfId="1679" priority="1855" operator="equal">
      <formula>"Baja"</formula>
    </cfRule>
    <cfRule type="cellIs" dxfId="1678" priority="1856" operator="equal">
      <formula>"Muy Baja"</formula>
    </cfRule>
  </conditionalFormatting>
  <conditionalFormatting sqref="P137 P143">
    <cfRule type="cellIs" dxfId="1677" priority="1847" operator="equal">
      <formula>"Catastrófico"</formula>
    </cfRule>
    <cfRule type="cellIs" dxfId="1676" priority="1848" operator="equal">
      <formula>"Mayor"</formula>
    </cfRule>
    <cfRule type="cellIs" dxfId="1675" priority="1849" operator="equal">
      <formula>"Moderado"</formula>
    </cfRule>
    <cfRule type="cellIs" dxfId="1674" priority="1850" operator="equal">
      <formula>"Menor"</formula>
    </cfRule>
    <cfRule type="cellIs" dxfId="1673" priority="1851" operator="equal">
      <formula>"Leve"</formula>
    </cfRule>
  </conditionalFormatting>
  <conditionalFormatting sqref="R137 R143">
    <cfRule type="cellIs" dxfId="1672" priority="1843" operator="equal">
      <formula>"Extremo"</formula>
    </cfRule>
    <cfRule type="cellIs" dxfId="1671" priority="1844" operator="equal">
      <formula>"Alto"</formula>
    </cfRule>
    <cfRule type="cellIs" dxfId="1670" priority="1845" operator="equal">
      <formula>"Moderado"</formula>
    </cfRule>
    <cfRule type="cellIs" dxfId="1669" priority="1846" operator="equal">
      <formula>"Bajo"</formula>
    </cfRule>
  </conditionalFormatting>
  <conditionalFormatting sqref="AD137:AD142">
    <cfRule type="cellIs" dxfId="1668" priority="1838" operator="equal">
      <formula>"Muy Alta"</formula>
    </cfRule>
    <cfRule type="cellIs" dxfId="1667" priority="1839" operator="equal">
      <formula>"Alta"</formula>
    </cfRule>
    <cfRule type="cellIs" dxfId="1666" priority="1840" operator="equal">
      <formula>"Media"</formula>
    </cfRule>
    <cfRule type="cellIs" dxfId="1665" priority="1841" operator="equal">
      <formula>"Baja"</formula>
    </cfRule>
    <cfRule type="cellIs" dxfId="1664" priority="1842" operator="equal">
      <formula>"Muy Baja"</formula>
    </cfRule>
  </conditionalFormatting>
  <conditionalFormatting sqref="AF137:AF142">
    <cfRule type="cellIs" dxfId="1663" priority="1833" operator="equal">
      <formula>"Catastrófico"</formula>
    </cfRule>
    <cfRule type="cellIs" dxfId="1662" priority="1834" operator="equal">
      <formula>"Mayor"</formula>
    </cfRule>
    <cfRule type="cellIs" dxfId="1661" priority="1835" operator="equal">
      <formula>"Moderado"</formula>
    </cfRule>
    <cfRule type="cellIs" dxfId="1660" priority="1836" operator="equal">
      <formula>"Menor"</formula>
    </cfRule>
    <cfRule type="cellIs" dxfId="1659" priority="1837" operator="equal">
      <formula>"Leve"</formula>
    </cfRule>
  </conditionalFormatting>
  <conditionalFormatting sqref="AH137:AH142">
    <cfRule type="cellIs" dxfId="1658" priority="1829" operator="equal">
      <formula>"Extremo"</formula>
    </cfRule>
    <cfRule type="cellIs" dxfId="1657" priority="1830" operator="equal">
      <formula>"Alto"</formula>
    </cfRule>
    <cfRule type="cellIs" dxfId="1656" priority="1831" operator="equal">
      <formula>"Moderado"</formula>
    </cfRule>
    <cfRule type="cellIs" dxfId="1655" priority="1832" operator="equal">
      <formula>"Bajo"</formula>
    </cfRule>
  </conditionalFormatting>
  <conditionalFormatting sqref="O137:O142">
    <cfRule type="containsText" dxfId="1654" priority="1828" operator="containsText" text="❌">
      <formula>NOT(ISERROR(SEARCH("❌",O137)))</formula>
    </cfRule>
  </conditionalFormatting>
  <conditionalFormatting sqref="C167">
    <cfRule type="cellIs" dxfId="1653" priority="1716" operator="equal">
      <formula>#REF!</formula>
    </cfRule>
    <cfRule type="cellIs" dxfId="1652" priority="1717" operator="equal">
      <formula>#REF!</formula>
    </cfRule>
    <cfRule type="cellIs" dxfId="1651" priority="1718" operator="equal">
      <formula>#REF!</formula>
    </cfRule>
    <cfRule type="cellIs" dxfId="1650" priority="1719" operator="equal">
      <formula>#REF!</formula>
    </cfRule>
    <cfRule type="cellIs" dxfId="1649" priority="1720" operator="equal">
      <formula>#REF!</formula>
    </cfRule>
    <cfRule type="cellIs" dxfId="1648" priority="1721" operator="equal">
      <formula>#REF!</formula>
    </cfRule>
    <cfRule type="cellIs" dxfId="1647" priority="1722" operator="equal">
      <formula>#REF!</formula>
    </cfRule>
    <cfRule type="cellIs" dxfId="1646" priority="1723" operator="equal">
      <formula>#REF!</formula>
    </cfRule>
    <cfRule type="cellIs" dxfId="1645" priority="1724" operator="equal">
      <formula>#REF!</formula>
    </cfRule>
    <cfRule type="cellIs" dxfId="1644" priority="1725" operator="equal">
      <formula>#REF!</formula>
    </cfRule>
    <cfRule type="cellIs" dxfId="1643" priority="1726" operator="equal">
      <formula>#REF!</formula>
    </cfRule>
    <cfRule type="cellIs" dxfId="1642" priority="1727" operator="equal">
      <formula>#REF!</formula>
    </cfRule>
    <cfRule type="cellIs" dxfId="1641" priority="1728" operator="equal">
      <formula>#REF!</formula>
    </cfRule>
    <cfRule type="cellIs" dxfId="1640" priority="1729" operator="equal">
      <formula>#REF!</formula>
    </cfRule>
    <cfRule type="cellIs" dxfId="1639" priority="1730" operator="equal">
      <formula>#REF!</formula>
    </cfRule>
    <cfRule type="cellIs" dxfId="1638" priority="1731" operator="equal">
      <formula>#REF!</formula>
    </cfRule>
    <cfRule type="cellIs" dxfId="1637" priority="1732" operator="equal">
      <formula>#REF!</formula>
    </cfRule>
    <cfRule type="cellIs" dxfId="1636" priority="1733" operator="equal">
      <formula>#REF!</formula>
    </cfRule>
  </conditionalFormatting>
  <conditionalFormatting sqref="L167">
    <cfRule type="cellIs" dxfId="1635" priority="1758" operator="equal">
      <formula>"Muy Alta"</formula>
    </cfRule>
    <cfRule type="cellIs" dxfId="1634" priority="1759" operator="equal">
      <formula>"Alta"</formula>
    </cfRule>
    <cfRule type="cellIs" dxfId="1633" priority="1760" operator="equal">
      <formula>"Media"</formula>
    </cfRule>
    <cfRule type="cellIs" dxfId="1632" priority="1761" operator="equal">
      <formula>"Baja"</formula>
    </cfRule>
    <cfRule type="cellIs" dxfId="1631" priority="1762" operator="equal">
      <formula>"Muy Baja"</formula>
    </cfRule>
  </conditionalFormatting>
  <conditionalFormatting sqref="P167">
    <cfRule type="cellIs" dxfId="1630" priority="1753" operator="equal">
      <formula>"Catastrófico"</formula>
    </cfRule>
    <cfRule type="cellIs" dxfId="1629" priority="1754" operator="equal">
      <formula>"Mayor"</formula>
    </cfRule>
    <cfRule type="cellIs" dxfId="1628" priority="1755" operator="equal">
      <formula>"Moderado"</formula>
    </cfRule>
    <cfRule type="cellIs" dxfId="1627" priority="1756" operator="equal">
      <formula>"Menor"</formula>
    </cfRule>
    <cfRule type="cellIs" dxfId="1626" priority="1757" operator="equal">
      <formula>"Leve"</formula>
    </cfRule>
  </conditionalFormatting>
  <conditionalFormatting sqref="R167">
    <cfRule type="cellIs" dxfId="1625" priority="1749" operator="equal">
      <formula>"Extremo"</formula>
    </cfRule>
    <cfRule type="cellIs" dxfId="1624" priority="1750" operator="equal">
      <formula>"Alto"</formula>
    </cfRule>
    <cfRule type="cellIs" dxfId="1623" priority="1751" operator="equal">
      <formula>"Moderado"</formula>
    </cfRule>
    <cfRule type="cellIs" dxfId="1622" priority="1752" operator="equal">
      <formula>"Bajo"</formula>
    </cfRule>
  </conditionalFormatting>
  <conditionalFormatting sqref="AD167:AD172">
    <cfRule type="cellIs" dxfId="1621" priority="1744" operator="equal">
      <formula>"Muy Alta"</formula>
    </cfRule>
    <cfRule type="cellIs" dxfId="1620" priority="1745" operator="equal">
      <formula>"Alta"</formula>
    </cfRule>
    <cfRule type="cellIs" dxfId="1619" priority="1746" operator="equal">
      <formula>"Media"</formula>
    </cfRule>
    <cfRule type="cellIs" dxfId="1618" priority="1747" operator="equal">
      <formula>"Baja"</formula>
    </cfRule>
    <cfRule type="cellIs" dxfId="1617" priority="1748" operator="equal">
      <formula>"Muy Baja"</formula>
    </cfRule>
  </conditionalFormatting>
  <conditionalFormatting sqref="AF167:AF172">
    <cfRule type="cellIs" dxfId="1616" priority="1739" operator="equal">
      <formula>"Catastrófico"</formula>
    </cfRule>
    <cfRule type="cellIs" dxfId="1615" priority="1740" operator="equal">
      <formula>"Mayor"</formula>
    </cfRule>
    <cfRule type="cellIs" dxfId="1614" priority="1741" operator="equal">
      <formula>"Moderado"</formula>
    </cfRule>
    <cfRule type="cellIs" dxfId="1613" priority="1742" operator="equal">
      <formula>"Menor"</formula>
    </cfRule>
    <cfRule type="cellIs" dxfId="1612" priority="1743" operator="equal">
      <formula>"Leve"</formula>
    </cfRule>
  </conditionalFormatting>
  <conditionalFormatting sqref="AH167:AH172">
    <cfRule type="cellIs" dxfId="1611" priority="1735" operator="equal">
      <formula>"Extremo"</formula>
    </cfRule>
    <cfRule type="cellIs" dxfId="1610" priority="1736" operator="equal">
      <formula>"Alto"</formula>
    </cfRule>
    <cfRule type="cellIs" dxfId="1609" priority="1737" operator="equal">
      <formula>"Moderado"</formula>
    </cfRule>
    <cfRule type="cellIs" dxfId="1608" priority="1738" operator="equal">
      <formula>"Bajo"</formula>
    </cfRule>
  </conditionalFormatting>
  <conditionalFormatting sqref="O167:O172">
    <cfRule type="containsText" dxfId="1607" priority="1734" operator="containsText" text="❌">
      <formula>NOT(ISERROR(SEARCH("❌",O167)))</formula>
    </cfRule>
  </conditionalFormatting>
  <conditionalFormatting sqref="C149">
    <cfRule type="cellIs" dxfId="1606" priority="1669" operator="equal">
      <formula>#REF!</formula>
    </cfRule>
    <cfRule type="cellIs" dxfId="1605" priority="1670" operator="equal">
      <formula>#REF!</formula>
    </cfRule>
    <cfRule type="cellIs" dxfId="1604" priority="1671" operator="equal">
      <formula>#REF!</formula>
    </cfRule>
    <cfRule type="cellIs" dxfId="1603" priority="1672" operator="equal">
      <formula>#REF!</formula>
    </cfRule>
    <cfRule type="cellIs" dxfId="1602" priority="1673" operator="equal">
      <formula>#REF!</formula>
    </cfRule>
    <cfRule type="cellIs" dxfId="1601" priority="1674" operator="equal">
      <formula>#REF!</formula>
    </cfRule>
    <cfRule type="cellIs" dxfId="1600" priority="1675" operator="equal">
      <formula>#REF!</formula>
    </cfRule>
    <cfRule type="cellIs" dxfId="1599" priority="1676" operator="equal">
      <formula>#REF!</formula>
    </cfRule>
    <cfRule type="cellIs" dxfId="1598" priority="1677" operator="equal">
      <formula>#REF!</formula>
    </cfRule>
    <cfRule type="cellIs" dxfId="1597" priority="1678" operator="equal">
      <formula>#REF!</formula>
    </cfRule>
    <cfRule type="cellIs" dxfId="1596" priority="1679" operator="equal">
      <formula>#REF!</formula>
    </cfRule>
    <cfRule type="cellIs" dxfId="1595" priority="1680" operator="equal">
      <formula>#REF!</formula>
    </cfRule>
    <cfRule type="cellIs" dxfId="1594" priority="1681" operator="equal">
      <formula>#REF!</formula>
    </cfRule>
    <cfRule type="cellIs" dxfId="1593" priority="1682" operator="equal">
      <formula>#REF!</formula>
    </cfRule>
    <cfRule type="cellIs" dxfId="1592" priority="1683" operator="equal">
      <formula>#REF!</formula>
    </cfRule>
    <cfRule type="cellIs" dxfId="1591" priority="1684" operator="equal">
      <formula>#REF!</formula>
    </cfRule>
    <cfRule type="cellIs" dxfId="1590" priority="1685" operator="equal">
      <formula>#REF!</formula>
    </cfRule>
    <cfRule type="cellIs" dxfId="1589" priority="1686" operator="equal">
      <formula>#REF!</formula>
    </cfRule>
  </conditionalFormatting>
  <conditionalFormatting sqref="L149">
    <cfRule type="cellIs" dxfId="1588" priority="1711" operator="equal">
      <formula>"Muy Alta"</formula>
    </cfRule>
    <cfRule type="cellIs" dxfId="1587" priority="1712" operator="equal">
      <formula>"Alta"</formula>
    </cfRule>
    <cfRule type="cellIs" dxfId="1586" priority="1713" operator="equal">
      <formula>"Media"</formula>
    </cfRule>
    <cfRule type="cellIs" dxfId="1585" priority="1714" operator="equal">
      <formula>"Baja"</formula>
    </cfRule>
    <cfRule type="cellIs" dxfId="1584" priority="1715" operator="equal">
      <formula>"Muy Baja"</formula>
    </cfRule>
  </conditionalFormatting>
  <conditionalFormatting sqref="R149">
    <cfRule type="cellIs" dxfId="1583" priority="1702" operator="equal">
      <formula>"Extremo"</formula>
    </cfRule>
    <cfRule type="cellIs" dxfId="1582" priority="1703" operator="equal">
      <formula>"Alto"</formula>
    </cfRule>
    <cfRule type="cellIs" dxfId="1581" priority="1704" operator="equal">
      <formula>"Moderado"</formula>
    </cfRule>
    <cfRule type="cellIs" dxfId="1580" priority="1705" operator="equal">
      <formula>"Bajo"</formula>
    </cfRule>
  </conditionalFormatting>
  <conditionalFormatting sqref="AD149:AD154">
    <cfRule type="cellIs" dxfId="1579" priority="1697" operator="equal">
      <formula>"Muy Alta"</formula>
    </cfRule>
    <cfRule type="cellIs" dxfId="1578" priority="1698" operator="equal">
      <formula>"Alta"</formula>
    </cfRule>
    <cfRule type="cellIs" dxfId="1577" priority="1699" operator="equal">
      <formula>"Media"</formula>
    </cfRule>
    <cfRule type="cellIs" dxfId="1576" priority="1700" operator="equal">
      <formula>"Baja"</formula>
    </cfRule>
    <cfRule type="cellIs" dxfId="1575" priority="1701" operator="equal">
      <formula>"Muy Baja"</formula>
    </cfRule>
  </conditionalFormatting>
  <conditionalFormatting sqref="AF149:AF154">
    <cfRule type="cellIs" dxfId="1574" priority="1692" operator="equal">
      <formula>"Catastrófico"</formula>
    </cfRule>
    <cfRule type="cellIs" dxfId="1573" priority="1693" operator="equal">
      <formula>"Mayor"</formula>
    </cfRule>
    <cfRule type="cellIs" dxfId="1572" priority="1694" operator="equal">
      <formula>"Moderado"</formula>
    </cfRule>
    <cfRule type="cellIs" dxfId="1571" priority="1695" operator="equal">
      <formula>"Menor"</formula>
    </cfRule>
    <cfRule type="cellIs" dxfId="1570" priority="1696" operator="equal">
      <formula>"Leve"</formula>
    </cfRule>
  </conditionalFormatting>
  <conditionalFormatting sqref="AH149:AH154">
    <cfRule type="cellIs" dxfId="1569" priority="1688" operator="equal">
      <formula>"Extremo"</formula>
    </cfRule>
    <cfRule type="cellIs" dxfId="1568" priority="1689" operator="equal">
      <formula>"Alto"</formula>
    </cfRule>
    <cfRule type="cellIs" dxfId="1567" priority="1690" operator="equal">
      <formula>"Moderado"</formula>
    </cfRule>
    <cfRule type="cellIs" dxfId="1566" priority="1691" operator="equal">
      <formula>"Bajo"</formula>
    </cfRule>
  </conditionalFormatting>
  <conditionalFormatting sqref="O149:O154">
    <cfRule type="containsText" dxfId="1565" priority="1687" operator="containsText" text="❌">
      <formula>NOT(ISERROR(SEARCH("❌",O149)))</formula>
    </cfRule>
  </conditionalFormatting>
  <conditionalFormatting sqref="C143">
    <cfRule type="cellIs" dxfId="1564" priority="1622" operator="equal">
      <formula>#REF!</formula>
    </cfRule>
    <cfRule type="cellIs" dxfId="1563" priority="1623" operator="equal">
      <formula>#REF!</formula>
    </cfRule>
    <cfRule type="cellIs" dxfId="1562" priority="1624" operator="equal">
      <formula>#REF!</formula>
    </cfRule>
    <cfRule type="cellIs" dxfId="1561" priority="1625" operator="equal">
      <formula>#REF!</formula>
    </cfRule>
    <cfRule type="cellIs" dxfId="1560" priority="1626" operator="equal">
      <formula>#REF!</formula>
    </cfRule>
    <cfRule type="cellIs" dxfId="1559" priority="1627" operator="equal">
      <formula>#REF!</formula>
    </cfRule>
    <cfRule type="cellIs" dxfId="1558" priority="1628" operator="equal">
      <formula>#REF!</formula>
    </cfRule>
    <cfRule type="cellIs" dxfId="1557" priority="1629" operator="equal">
      <formula>#REF!</formula>
    </cfRule>
    <cfRule type="cellIs" dxfId="1556" priority="1630" operator="equal">
      <formula>#REF!</formula>
    </cfRule>
    <cfRule type="cellIs" dxfId="1555" priority="1631" operator="equal">
      <formula>#REF!</formula>
    </cfRule>
    <cfRule type="cellIs" dxfId="1554" priority="1632" operator="equal">
      <formula>#REF!</formula>
    </cfRule>
    <cfRule type="cellIs" dxfId="1553" priority="1633" operator="equal">
      <formula>#REF!</formula>
    </cfRule>
    <cfRule type="cellIs" dxfId="1552" priority="1634" operator="equal">
      <formula>#REF!</formula>
    </cfRule>
    <cfRule type="cellIs" dxfId="1551" priority="1635" operator="equal">
      <formula>#REF!</formula>
    </cfRule>
    <cfRule type="cellIs" dxfId="1550" priority="1636" operator="equal">
      <formula>#REF!</formula>
    </cfRule>
    <cfRule type="cellIs" dxfId="1549" priority="1637" operator="equal">
      <formula>#REF!</formula>
    </cfRule>
    <cfRule type="cellIs" dxfId="1548" priority="1638" operator="equal">
      <formula>#REF!</formula>
    </cfRule>
    <cfRule type="cellIs" dxfId="1547" priority="1639" operator="equal">
      <formula>#REF!</formula>
    </cfRule>
  </conditionalFormatting>
  <conditionalFormatting sqref="L143">
    <cfRule type="cellIs" dxfId="1546" priority="1664" operator="equal">
      <formula>"Muy Alta"</formula>
    </cfRule>
    <cfRule type="cellIs" dxfId="1545" priority="1665" operator="equal">
      <formula>"Alta"</formula>
    </cfRule>
    <cfRule type="cellIs" dxfId="1544" priority="1666" operator="equal">
      <formula>"Media"</formula>
    </cfRule>
    <cfRule type="cellIs" dxfId="1543" priority="1667" operator="equal">
      <formula>"Baja"</formula>
    </cfRule>
    <cfRule type="cellIs" dxfId="1542" priority="1668" operator="equal">
      <formula>"Muy Baja"</formula>
    </cfRule>
  </conditionalFormatting>
  <conditionalFormatting sqref="AD143:AD148">
    <cfRule type="cellIs" dxfId="1541" priority="1650" operator="equal">
      <formula>"Muy Alta"</formula>
    </cfRule>
    <cfRule type="cellIs" dxfId="1540" priority="1651" operator="equal">
      <formula>"Alta"</formula>
    </cfRule>
    <cfRule type="cellIs" dxfId="1539" priority="1652" operator="equal">
      <formula>"Media"</formula>
    </cfRule>
    <cfRule type="cellIs" dxfId="1538" priority="1653" operator="equal">
      <formula>"Baja"</formula>
    </cfRule>
    <cfRule type="cellIs" dxfId="1537" priority="1654" operator="equal">
      <formula>"Muy Baja"</formula>
    </cfRule>
  </conditionalFormatting>
  <conditionalFormatting sqref="AF143:AF148">
    <cfRule type="cellIs" dxfId="1536" priority="1645" operator="equal">
      <formula>"Catastrófico"</formula>
    </cfRule>
    <cfRule type="cellIs" dxfId="1535" priority="1646" operator="equal">
      <formula>"Mayor"</formula>
    </cfRule>
    <cfRule type="cellIs" dxfId="1534" priority="1647" operator="equal">
      <formula>"Moderado"</formula>
    </cfRule>
    <cfRule type="cellIs" dxfId="1533" priority="1648" operator="equal">
      <formula>"Menor"</formula>
    </cfRule>
    <cfRule type="cellIs" dxfId="1532" priority="1649" operator="equal">
      <formula>"Leve"</formula>
    </cfRule>
  </conditionalFormatting>
  <conditionalFormatting sqref="AH143:AH148">
    <cfRule type="cellIs" dxfId="1531" priority="1641" operator="equal">
      <formula>"Extremo"</formula>
    </cfRule>
    <cfRule type="cellIs" dxfId="1530" priority="1642" operator="equal">
      <formula>"Alto"</formula>
    </cfRule>
    <cfRule type="cellIs" dxfId="1529" priority="1643" operator="equal">
      <formula>"Moderado"</formula>
    </cfRule>
    <cfRule type="cellIs" dxfId="1528" priority="1644" operator="equal">
      <formula>"Bajo"</formula>
    </cfRule>
  </conditionalFormatting>
  <conditionalFormatting sqref="O143:O148">
    <cfRule type="containsText" dxfId="1527" priority="1640" operator="containsText" text="❌">
      <formula>NOT(ISERROR(SEARCH("❌",O143)))</formula>
    </cfRule>
  </conditionalFormatting>
  <conditionalFormatting sqref="C161">
    <cfRule type="cellIs" dxfId="1526" priority="1575" operator="equal">
      <formula>#REF!</formula>
    </cfRule>
    <cfRule type="cellIs" dxfId="1525" priority="1576" operator="equal">
      <formula>#REF!</formula>
    </cfRule>
    <cfRule type="cellIs" dxfId="1524" priority="1577" operator="equal">
      <formula>#REF!</formula>
    </cfRule>
    <cfRule type="cellIs" dxfId="1523" priority="1578" operator="equal">
      <formula>#REF!</formula>
    </cfRule>
    <cfRule type="cellIs" dxfId="1522" priority="1579" operator="equal">
      <formula>#REF!</formula>
    </cfRule>
    <cfRule type="cellIs" dxfId="1521" priority="1580" operator="equal">
      <formula>#REF!</formula>
    </cfRule>
    <cfRule type="cellIs" dxfId="1520" priority="1581" operator="equal">
      <formula>#REF!</formula>
    </cfRule>
    <cfRule type="cellIs" dxfId="1519" priority="1582" operator="equal">
      <formula>#REF!</formula>
    </cfRule>
    <cfRule type="cellIs" dxfId="1518" priority="1583" operator="equal">
      <formula>#REF!</formula>
    </cfRule>
    <cfRule type="cellIs" dxfId="1517" priority="1584" operator="equal">
      <formula>#REF!</formula>
    </cfRule>
    <cfRule type="cellIs" dxfId="1516" priority="1585" operator="equal">
      <formula>#REF!</formula>
    </cfRule>
    <cfRule type="cellIs" dxfId="1515" priority="1586" operator="equal">
      <formula>#REF!</formula>
    </cfRule>
    <cfRule type="cellIs" dxfId="1514" priority="1587" operator="equal">
      <formula>#REF!</formula>
    </cfRule>
    <cfRule type="cellIs" dxfId="1513" priority="1588" operator="equal">
      <formula>#REF!</formula>
    </cfRule>
    <cfRule type="cellIs" dxfId="1512" priority="1589" operator="equal">
      <formula>#REF!</formula>
    </cfRule>
    <cfRule type="cellIs" dxfId="1511" priority="1590" operator="equal">
      <formula>#REF!</formula>
    </cfRule>
    <cfRule type="cellIs" dxfId="1510" priority="1591" operator="equal">
      <formula>#REF!</formula>
    </cfRule>
    <cfRule type="cellIs" dxfId="1509" priority="1592" operator="equal">
      <formula>#REF!</formula>
    </cfRule>
  </conditionalFormatting>
  <conditionalFormatting sqref="L161">
    <cfRule type="cellIs" dxfId="1508" priority="1617" operator="equal">
      <formula>"Muy Alta"</formula>
    </cfRule>
    <cfRule type="cellIs" dxfId="1507" priority="1618" operator="equal">
      <formula>"Alta"</formula>
    </cfRule>
    <cfRule type="cellIs" dxfId="1506" priority="1619" operator="equal">
      <formula>"Media"</formula>
    </cfRule>
    <cfRule type="cellIs" dxfId="1505" priority="1620" operator="equal">
      <formula>"Baja"</formula>
    </cfRule>
    <cfRule type="cellIs" dxfId="1504" priority="1621" operator="equal">
      <formula>"Muy Baja"</formula>
    </cfRule>
  </conditionalFormatting>
  <conditionalFormatting sqref="P161">
    <cfRule type="cellIs" dxfId="1503" priority="1612" operator="equal">
      <formula>"Catastrófico"</formula>
    </cfRule>
    <cfRule type="cellIs" dxfId="1502" priority="1613" operator="equal">
      <formula>"Mayor"</formula>
    </cfRule>
    <cfRule type="cellIs" dxfId="1501" priority="1614" operator="equal">
      <formula>"Moderado"</formula>
    </cfRule>
    <cfRule type="cellIs" dxfId="1500" priority="1615" operator="equal">
      <formula>"Menor"</formula>
    </cfRule>
    <cfRule type="cellIs" dxfId="1499" priority="1616" operator="equal">
      <formula>"Leve"</formula>
    </cfRule>
  </conditionalFormatting>
  <conditionalFormatting sqref="R161">
    <cfRule type="cellIs" dxfId="1498" priority="1608" operator="equal">
      <formula>"Extremo"</formula>
    </cfRule>
    <cfRule type="cellIs" dxfId="1497" priority="1609" operator="equal">
      <formula>"Alto"</formula>
    </cfRule>
    <cfRule type="cellIs" dxfId="1496" priority="1610" operator="equal">
      <formula>"Moderado"</formula>
    </cfRule>
    <cfRule type="cellIs" dxfId="1495" priority="1611" operator="equal">
      <formula>"Bajo"</formula>
    </cfRule>
  </conditionalFormatting>
  <conditionalFormatting sqref="AD161:AD166">
    <cfRule type="cellIs" dxfId="1494" priority="1603" operator="equal">
      <formula>"Muy Alta"</formula>
    </cfRule>
    <cfRule type="cellIs" dxfId="1493" priority="1604" operator="equal">
      <formula>"Alta"</formula>
    </cfRule>
    <cfRule type="cellIs" dxfId="1492" priority="1605" operator="equal">
      <formula>"Media"</formula>
    </cfRule>
    <cfRule type="cellIs" dxfId="1491" priority="1606" operator="equal">
      <formula>"Baja"</formula>
    </cfRule>
    <cfRule type="cellIs" dxfId="1490" priority="1607" operator="equal">
      <formula>"Muy Baja"</formula>
    </cfRule>
  </conditionalFormatting>
  <conditionalFormatting sqref="AF161:AF166">
    <cfRule type="cellIs" dxfId="1489" priority="1598" operator="equal">
      <formula>"Catastrófico"</formula>
    </cfRule>
    <cfRule type="cellIs" dxfId="1488" priority="1599" operator="equal">
      <formula>"Mayor"</formula>
    </cfRule>
    <cfRule type="cellIs" dxfId="1487" priority="1600" operator="equal">
      <formula>"Moderado"</formula>
    </cfRule>
    <cfRule type="cellIs" dxfId="1486" priority="1601" operator="equal">
      <formula>"Menor"</formula>
    </cfRule>
    <cfRule type="cellIs" dxfId="1485" priority="1602" operator="equal">
      <formula>"Leve"</formula>
    </cfRule>
  </conditionalFormatting>
  <conditionalFormatting sqref="AH161:AH166">
    <cfRule type="cellIs" dxfId="1484" priority="1594" operator="equal">
      <formula>"Extremo"</formula>
    </cfRule>
    <cfRule type="cellIs" dxfId="1483" priority="1595" operator="equal">
      <formula>"Alto"</formula>
    </cfRule>
    <cfRule type="cellIs" dxfId="1482" priority="1596" operator="equal">
      <formula>"Moderado"</formula>
    </cfRule>
    <cfRule type="cellIs" dxfId="1481" priority="1597" operator="equal">
      <formula>"Bajo"</formula>
    </cfRule>
  </conditionalFormatting>
  <conditionalFormatting sqref="O161:O166">
    <cfRule type="containsText" dxfId="1480" priority="1593" operator="containsText" text="❌">
      <formula>NOT(ISERROR(SEARCH("❌",O161)))</formula>
    </cfRule>
  </conditionalFormatting>
  <conditionalFormatting sqref="C155">
    <cfRule type="cellIs" dxfId="1479" priority="1528" operator="equal">
      <formula>#REF!</formula>
    </cfRule>
    <cfRule type="cellIs" dxfId="1478" priority="1529" operator="equal">
      <formula>#REF!</formula>
    </cfRule>
    <cfRule type="cellIs" dxfId="1477" priority="1530" operator="equal">
      <formula>#REF!</formula>
    </cfRule>
    <cfRule type="cellIs" dxfId="1476" priority="1531" operator="equal">
      <formula>#REF!</formula>
    </cfRule>
    <cfRule type="cellIs" dxfId="1475" priority="1532" operator="equal">
      <formula>#REF!</formula>
    </cfRule>
    <cfRule type="cellIs" dxfId="1474" priority="1533" operator="equal">
      <formula>#REF!</formula>
    </cfRule>
    <cfRule type="cellIs" dxfId="1473" priority="1534" operator="equal">
      <formula>#REF!</formula>
    </cfRule>
    <cfRule type="cellIs" dxfId="1472" priority="1535" operator="equal">
      <formula>#REF!</formula>
    </cfRule>
    <cfRule type="cellIs" dxfId="1471" priority="1536" operator="equal">
      <formula>#REF!</formula>
    </cfRule>
    <cfRule type="cellIs" dxfId="1470" priority="1537" operator="equal">
      <formula>#REF!</formula>
    </cfRule>
    <cfRule type="cellIs" dxfId="1469" priority="1538" operator="equal">
      <formula>#REF!</formula>
    </cfRule>
    <cfRule type="cellIs" dxfId="1468" priority="1539" operator="equal">
      <formula>#REF!</formula>
    </cfRule>
    <cfRule type="cellIs" dxfId="1467" priority="1540" operator="equal">
      <formula>#REF!</formula>
    </cfRule>
    <cfRule type="cellIs" dxfId="1466" priority="1541" operator="equal">
      <formula>#REF!</formula>
    </cfRule>
    <cfRule type="cellIs" dxfId="1465" priority="1542" operator="equal">
      <formula>#REF!</formula>
    </cfRule>
    <cfRule type="cellIs" dxfId="1464" priority="1543" operator="equal">
      <formula>#REF!</formula>
    </cfRule>
    <cfRule type="cellIs" dxfId="1463" priority="1544" operator="equal">
      <formula>#REF!</formula>
    </cfRule>
    <cfRule type="cellIs" dxfId="1462" priority="1545" operator="equal">
      <formula>#REF!</formula>
    </cfRule>
  </conditionalFormatting>
  <conditionalFormatting sqref="L155">
    <cfRule type="cellIs" dxfId="1461" priority="1570" operator="equal">
      <formula>"Muy Alta"</formula>
    </cfRule>
    <cfRule type="cellIs" dxfId="1460" priority="1571" operator="equal">
      <formula>"Alta"</formula>
    </cfRule>
    <cfRule type="cellIs" dxfId="1459" priority="1572" operator="equal">
      <formula>"Media"</formula>
    </cfRule>
    <cfRule type="cellIs" dxfId="1458" priority="1573" operator="equal">
      <formula>"Baja"</formula>
    </cfRule>
    <cfRule type="cellIs" dxfId="1457" priority="1574" operator="equal">
      <formula>"Muy Baja"</formula>
    </cfRule>
  </conditionalFormatting>
  <conditionalFormatting sqref="P155 P149">
    <cfRule type="cellIs" dxfId="1456" priority="1565" operator="equal">
      <formula>"Catastrófico"</formula>
    </cfRule>
    <cfRule type="cellIs" dxfId="1455" priority="1566" operator="equal">
      <formula>"Mayor"</formula>
    </cfRule>
    <cfRule type="cellIs" dxfId="1454" priority="1567" operator="equal">
      <formula>"Moderado"</formula>
    </cfRule>
    <cfRule type="cellIs" dxfId="1453" priority="1568" operator="equal">
      <formula>"Menor"</formula>
    </cfRule>
    <cfRule type="cellIs" dxfId="1452" priority="1569" operator="equal">
      <formula>"Leve"</formula>
    </cfRule>
  </conditionalFormatting>
  <conditionalFormatting sqref="R155">
    <cfRule type="cellIs" dxfId="1451" priority="1561" operator="equal">
      <formula>"Extremo"</formula>
    </cfRule>
    <cfRule type="cellIs" dxfId="1450" priority="1562" operator="equal">
      <formula>"Alto"</formula>
    </cfRule>
    <cfRule type="cellIs" dxfId="1449" priority="1563" operator="equal">
      <formula>"Moderado"</formula>
    </cfRule>
    <cfRule type="cellIs" dxfId="1448" priority="1564" operator="equal">
      <formula>"Bajo"</formula>
    </cfRule>
  </conditionalFormatting>
  <conditionalFormatting sqref="AD155:AD160">
    <cfRule type="cellIs" dxfId="1447" priority="1556" operator="equal">
      <formula>"Muy Alta"</formula>
    </cfRule>
    <cfRule type="cellIs" dxfId="1446" priority="1557" operator="equal">
      <formula>"Alta"</formula>
    </cfRule>
    <cfRule type="cellIs" dxfId="1445" priority="1558" operator="equal">
      <formula>"Media"</formula>
    </cfRule>
    <cfRule type="cellIs" dxfId="1444" priority="1559" operator="equal">
      <formula>"Baja"</formula>
    </cfRule>
    <cfRule type="cellIs" dxfId="1443" priority="1560" operator="equal">
      <formula>"Muy Baja"</formula>
    </cfRule>
  </conditionalFormatting>
  <conditionalFormatting sqref="AF155:AF160">
    <cfRule type="cellIs" dxfId="1442" priority="1551" operator="equal">
      <formula>"Catastrófico"</formula>
    </cfRule>
    <cfRule type="cellIs" dxfId="1441" priority="1552" operator="equal">
      <formula>"Mayor"</formula>
    </cfRule>
    <cfRule type="cellIs" dxfId="1440" priority="1553" operator="equal">
      <formula>"Moderado"</formula>
    </cfRule>
    <cfRule type="cellIs" dxfId="1439" priority="1554" operator="equal">
      <formula>"Menor"</formula>
    </cfRule>
    <cfRule type="cellIs" dxfId="1438" priority="1555" operator="equal">
      <formula>"Leve"</formula>
    </cfRule>
  </conditionalFormatting>
  <conditionalFormatting sqref="AH155:AH160">
    <cfRule type="cellIs" dxfId="1437" priority="1547" operator="equal">
      <formula>"Extremo"</formula>
    </cfRule>
    <cfRule type="cellIs" dxfId="1436" priority="1548" operator="equal">
      <formula>"Alto"</formula>
    </cfRule>
    <cfRule type="cellIs" dxfId="1435" priority="1549" operator="equal">
      <formula>"Moderado"</formula>
    </cfRule>
    <cfRule type="cellIs" dxfId="1434" priority="1550" operator="equal">
      <formula>"Bajo"</formula>
    </cfRule>
  </conditionalFormatting>
  <conditionalFormatting sqref="O155:O160">
    <cfRule type="containsText" dxfId="1433" priority="1546" operator="containsText" text="❌">
      <formula>NOT(ISERROR(SEARCH("❌",O155)))</formula>
    </cfRule>
  </conditionalFormatting>
  <conditionalFormatting sqref="C185">
    <cfRule type="cellIs" dxfId="1432" priority="1481" operator="equal">
      <formula>#REF!</formula>
    </cfRule>
    <cfRule type="cellIs" dxfId="1431" priority="1482" operator="equal">
      <formula>#REF!</formula>
    </cfRule>
    <cfRule type="cellIs" dxfId="1430" priority="1483" operator="equal">
      <formula>#REF!</formula>
    </cfRule>
    <cfRule type="cellIs" dxfId="1429" priority="1484" operator="equal">
      <formula>#REF!</formula>
    </cfRule>
    <cfRule type="cellIs" dxfId="1428" priority="1485" operator="equal">
      <formula>#REF!</formula>
    </cfRule>
    <cfRule type="cellIs" dxfId="1427" priority="1486" operator="equal">
      <formula>#REF!</formula>
    </cfRule>
    <cfRule type="cellIs" dxfId="1426" priority="1487" operator="equal">
      <formula>#REF!</formula>
    </cfRule>
    <cfRule type="cellIs" dxfId="1425" priority="1488" operator="equal">
      <formula>#REF!</formula>
    </cfRule>
    <cfRule type="cellIs" dxfId="1424" priority="1489" operator="equal">
      <formula>#REF!</formula>
    </cfRule>
    <cfRule type="cellIs" dxfId="1423" priority="1490" operator="equal">
      <formula>#REF!</formula>
    </cfRule>
    <cfRule type="cellIs" dxfId="1422" priority="1491" operator="equal">
      <formula>#REF!</formula>
    </cfRule>
    <cfRule type="cellIs" dxfId="1421" priority="1492" operator="equal">
      <formula>#REF!</formula>
    </cfRule>
    <cfRule type="cellIs" dxfId="1420" priority="1493" operator="equal">
      <formula>#REF!</formula>
    </cfRule>
    <cfRule type="cellIs" dxfId="1419" priority="1494" operator="equal">
      <formula>#REF!</formula>
    </cfRule>
    <cfRule type="cellIs" dxfId="1418" priority="1495" operator="equal">
      <formula>#REF!</formula>
    </cfRule>
    <cfRule type="cellIs" dxfId="1417" priority="1496" operator="equal">
      <formula>#REF!</formula>
    </cfRule>
    <cfRule type="cellIs" dxfId="1416" priority="1497" operator="equal">
      <formula>#REF!</formula>
    </cfRule>
    <cfRule type="cellIs" dxfId="1415" priority="1498" operator="equal">
      <formula>#REF!</formula>
    </cfRule>
  </conditionalFormatting>
  <conditionalFormatting sqref="L185">
    <cfRule type="cellIs" dxfId="1414" priority="1523" operator="equal">
      <formula>"Muy Alta"</formula>
    </cfRule>
    <cfRule type="cellIs" dxfId="1413" priority="1524" operator="equal">
      <formula>"Alta"</formula>
    </cfRule>
    <cfRule type="cellIs" dxfId="1412" priority="1525" operator="equal">
      <formula>"Media"</formula>
    </cfRule>
    <cfRule type="cellIs" dxfId="1411" priority="1526" operator="equal">
      <formula>"Baja"</formula>
    </cfRule>
    <cfRule type="cellIs" dxfId="1410" priority="1527" operator="equal">
      <formula>"Muy Baja"</formula>
    </cfRule>
  </conditionalFormatting>
  <conditionalFormatting sqref="P185">
    <cfRule type="cellIs" dxfId="1409" priority="1518" operator="equal">
      <formula>"Catastrófico"</formula>
    </cfRule>
    <cfRule type="cellIs" dxfId="1408" priority="1519" operator="equal">
      <formula>"Mayor"</formula>
    </cfRule>
    <cfRule type="cellIs" dxfId="1407" priority="1520" operator="equal">
      <formula>"Moderado"</formula>
    </cfRule>
    <cfRule type="cellIs" dxfId="1406" priority="1521" operator="equal">
      <formula>"Menor"</formula>
    </cfRule>
    <cfRule type="cellIs" dxfId="1405" priority="1522" operator="equal">
      <formula>"Leve"</formula>
    </cfRule>
  </conditionalFormatting>
  <conditionalFormatting sqref="R185">
    <cfRule type="cellIs" dxfId="1404" priority="1514" operator="equal">
      <formula>"Extremo"</formula>
    </cfRule>
    <cfRule type="cellIs" dxfId="1403" priority="1515" operator="equal">
      <formula>"Alto"</formula>
    </cfRule>
    <cfRule type="cellIs" dxfId="1402" priority="1516" operator="equal">
      <formula>"Moderado"</formula>
    </cfRule>
    <cfRule type="cellIs" dxfId="1401" priority="1517" operator="equal">
      <formula>"Bajo"</formula>
    </cfRule>
  </conditionalFormatting>
  <conditionalFormatting sqref="AD185:AD190">
    <cfRule type="cellIs" dxfId="1400" priority="1509" operator="equal">
      <formula>"Muy Alta"</formula>
    </cfRule>
    <cfRule type="cellIs" dxfId="1399" priority="1510" operator="equal">
      <formula>"Alta"</formula>
    </cfRule>
    <cfRule type="cellIs" dxfId="1398" priority="1511" operator="equal">
      <formula>"Media"</formula>
    </cfRule>
    <cfRule type="cellIs" dxfId="1397" priority="1512" operator="equal">
      <formula>"Baja"</formula>
    </cfRule>
    <cfRule type="cellIs" dxfId="1396" priority="1513" operator="equal">
      <formula>"Muy Baja"</formula>
    </cfRule>
  </conditionalFormatting>
  <conditionalFormatting sqref="AF185:AF190">
    <cfRule type="cellIs" dxfId="1395" priority="1504" operator="equal">
      <formula>"Catastrófico"</formula>
    </cfRule>
    <cfRule type="cellIs" dxfId="1394" priority="1505" operator="equal">
      <formula>"Mayor"</formula>
    </cfRule>
    <cfRule type="cellIs" dxfId="1393" priority="1506" operator="equal">
      <formula>"Moderado"</formula>
    </cfRule>
    <cfRule type="cellIs" dxfId="1392" priority="1507" operator="equal">
      <formula>"Menor"</formula>
    </cfRule>
    <cfRule type="cellIs" dxfId="1391" priority="1508" operator="equal">
      <formula>"Leve"</formula>
    </cfRule>
  </conditionalFormatting>
  <conditionalFormatting sqref="AH185:AH190">
    <cfRule type="cellIs" dxfId="1390" priority="1500" operator="equal">
      <formula>"Extremo"</formula>
    </cfRule>
    <cfRule type="cellIs" dxfId="1389" priority="1501" operator="equal">
      <formula>"Alto"</formula>
    </cfRule>
    <cfRule type="cellIs" dxfId="1388" priority="1502" operator="equal">
      <formula>"Moderado"</formula>
    </cfRule>
    <cfRule type="cellIs" dxfId="1387" priority="1503" operator="equal">
      <formula>"Bajo"</formula>
    </cfRule>
  </conditionalFormatting>
  <conditionalFormatting sqref="O185:O190">
    <cfRule type="containsText" dxfId="1386" priority="1499" operator="containsText" text="❌">
      <formula>NOT(ISERROR(SEARCH("❌",O185)))</formula>
    </cfRule>
  </conditionalFormatting>
  <conditionalFormatting sqref="C179">
    <cfRule type="cellIs" dxfId="1385" priority="1434" operator="equal">
      <formula>#REF!</formula>
    </cfRule>
    <cfRule type="cellIs" dxfId="1384" priority="1435" operator="equal">
      <formula>#REF!</formula>
    </cfRule>
    <cfRule type="cellIs" dxfId="1383" priority="1436" operator="equal">
      <formula>#REF!</formula>
    </cfRule>
    <cfRule type="cellIs" dxfId="1382" priority="1437" operator="equal">
      <formula>#REF!</formula>
    </cfRule>
    <cfRule type="cellIs" dxfId="1381" priority="1438" operator="equal">
      <formula>#REF!</formula>
    </cfRule>
    <cfRule type="cellIs" dxfId="1380" priority="1439" operator="equal">
      <formula>#REF!</formula>
    </cfRule>
    <cfRule type="cellIs" dxfId="1379" priority="1440" operator="equal">
      <formula>#REF!</formula>
    </cfRule>
    <cfRule type="cellIs" dxfId="1378" priority="1441" operator="equal">
      <formula>#REF!</formula>
    </cfRule>
    <cfRule type="cellIs" dxfId="1377" priority="1442" operator="equal">
      <formula>#REF!</formula>
    </cfRule>
    <cfRule type="cellIs" dxfId="1376" priority="1443" operator="equal">
      <formula>#REF!</formula>
    </cfRule>
    <cfRule type="cellIs" dxfId="1375" priority="1444" operator="equal">
      <formula>#REF!</formula>
    </cfRule>
    <cfRule type="cellIs" dxfId="1374" priority="1445" operator="equal">
      <formula>#REF!</formula>
    </cfRule>
    <cfRule type="cellIs" dxfId="1373" priority="1446" operator="equal">
      <formula>#REF!</formula>
    </cfRule>
    <cfRule type="cellIs" dxfId="1372" priority="1447" operator="equal">
      <formula>#REF!</formula>
    </cfRule>
    <cfRule type="cellIs" dxfId="1371" priority="1448" operator="equal">
      <formula>#REF!</formula>
    </cfRule>
    <cfRule type="cellIs" dxfId="1370" priority="1449" operator="equal">
      <formula>#REF!</formula>
    </cfRule>
    <cfRule type="cellIs" dxfId="1369" priority="1450" operator="equal">
      <formula>#REF!</formula>
    </cfRule>
    <cfRule type="cellIs" dxfId="1368" priority="1451" operator="equal">
      <formula>#REF!</formula>
    </cfRule>
  </conditionalFormatting>
  <conditionalFormatting sqref="L179">
    <cfRule type="cellIs" dxfId="1367" priority="1476" operator="equal">
      <formula>"Muy Alta"</formula>
    </cfRule>
    <cfRule type="cellIs" dxfId="1366" priority="1477" operator="equal">
      <formula>"Alta"</formula>
    </cfRule>
    <cfRule type="cellIs" dxfId="1365" priority="1478" operator="equal">
      <formula>"Media"</formula>
    </cfRule>
    <cfRule type="cellIs" dxfId="1364" priority="1479" operator="equal">
      <formula>"Baja"</formula>
    </cfRule>
    <cfRule type="cellIs" dxfId="1363" priority="1480" operator="equal">
      <formula>"Muy Baja"</formula>
    </cfRule>
  </conditionalFormatting>
  <conditionalFormatting sqref="P179">
    <cfRule type="cellIs" dxfId="1362" priority="1471" operator="equal">
      <formula>"Catastrófico"</formula>
    </cfRule>
    <cfRule type="cellIs" dxfId="1361" priority="1472" operator="equal">
      <formula>"Mayor"</formula>
    </cfRule>
    <cfRule type="cellIs" dxfId="1360" priority="1473" operator="equal">
      <formula>"Moderado"</formula>
    </cfRule>
    <cfRule type="cellIs" dxfId="1359" priority="1474" operator="equal">
      <formula>"Menor"</formula>
    </cfRule>
    <cfRule type="cellIs" dxfId="1358" priority="1475" operator="equal">
      <formula>"Leve"</formula>
    </cfRule>
  </conditionalFormatting>
  <conditionalFormatting sqref="R179">
    <cfRule type="cellIs" dxfId="1357" priority="1467" operator="equal">
      <formula>"Extremo"</formula>
    </cfRule>
    <cfRule type="cellIs" dxfId="1356" priority="1468" operator="equal">
      <formula>"Alto"</formula>
    </cfRule>
    <cfRule type="cellIs" dxfId="1355" priority="1469" operator="equal">
      <formula>"Moderado"</formula>
    </cfRule>
    <cfRule type="cellIs" dxfId="1354" priority="1470" operator="equal">
      <formula>"Bajo"</formula>
    </cfRule>
  </conditionalFormatting>
  <conditionalFormatting sqref="AD179:AD184">
    <cfRule type="cellIs" dxfId="1353" priority="1462" operator="equal">
      <formula>"Muy Alta"</formula>
    </cfRule>
    <cfRule type="cellIs" dxfId="1352" priority="1463" operator="equal">
      <formula>"Alta"</formula>
    </cfRule>
    <cfRule type="cellIs" dxfId="1351" priority="1464" operator="equal">
      <formula>"Media"</formula>
    </cfRule>
    <cfRule type="cellIs" dxfId="1350" priority="1465" operator="equal">
      <formula>"Baja"</formula>
    </cfRule>
    <cfRule type="cellIs" dxfId="1349" priority="1466" operator="equal">
      <formula>"Muy Baja"</formula>
    </cfRule>
  </conditionalFormatting>
  <conditionalFormatting sqref="AF179:AF184">
    <cfRule type="cellIs" dxfId="1348" priority="1457" operator="equal">
      <formula>"Catastrófico"</formula>
    </cfRule>
    <cfRule type="cellIs" dxfId="1347" priority="1458" operator="equal">
      <formula>"Mayor"</formula>
    </cfRule>
    <cfRule type="cellIs" dxfId="1346" priority="1459" operator="equal">
      <formula>"Moderado"</formula>
    </cfRule>
    <cfRule type="cellIs" dxfId="1345" priority="1460" operator="equal">
      <formula>"Menor"</formula>
    </cfRule>
    <cfRule type="cellIs" dxfId="1344" priority="1461" operator="equal">
      <formula>"Leve"</formula>
    </cfRule>
  </conditionalFormatting>
  <conditionalFormatting sqref="AH179:AH184">
    <cfRule type="cellIs" dxfId="1343" priority="1453" operator="equal">
      <formula>"Extremo"</formula>
    </cfRule>
    <cfRule type="cellIs" dxfId="1342" priority="1454" operator="equal">
      <formula>"Alto"</formula>
    </cfRule>
    <cfRule type="cellIs" dxfId="1341" priority="1455" operator="equal">
      <formula>"Moderado"</formula>
    </cfRule>
    <cfRule type="cellIs" dxfId="1340" priority="1456" operator="equal">
      <formula>"Bajo"</formula>
    </cfRule>
  </conditionalFormatting>
  <conditionalFormatting sqref="O179:O184">
    <cfRule type="containsText" dxfId="1339" priority="1452" operator="containsText" text="❌">
      <formula>NOT(ISERROR(SEARCH("❌",O179)))</formula>
    </cfRule>
  </conditionalFormatting>
  <conditionalFormatting sqref="C173">
    <cfRule type="cellIs" dxfId="1338" priority="1387" operator="equal">
      <formula>#REF!</formula>
    </cfRule>
    <cfRule type="cellIs" dxfId="1337" priority="1388" operator="equal">
      <formula>#REF!</formula>
    </cfRule>
    <cfRule type="cellIs" dxfId="1336" priority="1389" operator="equal">
      <formula>#REF!</formula>
    </cfRule>
    <cfRule type="cellIs" dxfId="1335" priority="1390" operator="equal">
      <formula>#REF!</formula>
    </cfRule>
    <cfRule type="cellIs" dxfId="1334" priority="1391" operator="equal">
      <formula>#REF!</formula>
    </cfRule>
    <cfRule type="cellIs" dxfId="1333" priority="1392" operator="equal">
      <formula>#REF!</formula>
    </cfRule>
    <cfRule type="cellIs" dxfId="1332" priority="1393" operator="equal">
      <formula>#REF!</formula>
    </cfRule>
    <cfRule type="cellIs" dxfId="1331" priority="1394" operator="equal">
      <formula>#REF!</formula>
    </cfRule>
    <cfRule type="cellIs" dxfId="1330" priority="1395" operator="equal">
      <formula>#REF!</formula>
    </cfRule>
    <cfRule type="cellIs" dxfId="1329" priority="1396" operator="equal">
      <formula>#REF!</formula>
    </cfRule>
    <cfRule type="cellIs" dxfId="1328" priority="1397" operator="equal">
      <formula>#REF!</formula>
    </cfRule>
    <cfRule type="cellIs" dxfId="1327" priority="1398" operator="equal">
      <formula>#REF!</formula>
    </cfRule>
    <cfRule type="cellIs" dxfId="1326" priority="1399" operator="equal">
      <formula>#REF!</formula>
    </cfRule>
    <cfRule type="cellIs" dxfId="1325" priority="1400" operator="equal">
      <formula>#REF!</formula>
    </cfRule>
    <cfRule type="cellIs" dxfId="1324" priority="1401" operator="equal">
      <formula>#REF!</formula>
    </cfRule>
    <cfRule type="cellIs" dxfId="1323" priority="1402" operator="equal">
      <formula>#REF!</formula>
    </cfRule>
    <cfRule type="cellIs" dxfId="1322" priority="1403" operator="equal">
      <formula>#REF!</formula>
    </cfRule>
    <cfRule type="cellIs" dxfId="1321" priority="1404" operator="equal">
      <formula>#REF!</formula>
    </cfRule>
  </conditionalFormatting>
  <conditionalFormatting sqref="L173">
    <cfRule type="cellIs" dxfId="1320" priority="1429" operator="equal">
      <formula>"Muy Alta"</formula>
    </cfRule>
    <cfRule type="cellIs" dxfId="1319" priority="1430" operator="equal">
      <formula>"Alta"</formula>
    </cfRule>
    <cfRule type="cellIs" dxfId="1318" priority="1431" operator="equal">
      <formula>"Media"</formula>
    </cfRule>
    <cfRule type="cellIs" dxfId="1317" priority="1432" operator="equal">
      <formula>"Baja"</formula>
    </cfRule>
    <cfRule type="cellIs" dxfId="1316" priority="1433" operator="equal">
      <formula>"Muy Baja"</formula>
    </cfRule>
  </conditionalFormatting>
  <conditionalFormatting sqref="P173">
    <cfRule type="cellIs" dxfId="1315" priority="1424" operator="equal">
      <formula>"Catastrófico"</formula>
    </cfRule>
    <cfRule type="cellIs" dxfId="1314" priority="1425" operator="equal">
      <formula>"Mayor"</formula>
    </cfRule>
    <cfRule type="cellIs" dxfId="1313" priority="1426" operator="equal">
      <formula>"Moderado"</formula>
    </cfRule>
    <cfRule type="cellIs" dxfId="1312" priority="1427" operator="equal">
      <formula>"Menor"</formula>
    </cfRule>
    <cfRule type="cellIs" dxfId="1311" priority="1428" operator="equal">
      <formula>"Leve"</formula>
    </cfRule>
  </conditionalFormatting>
  <conditionalFormatting sqref="R173">
    <cfRule type="cellIs" dxfId="1310" priority="1420" operator="equal">
      <formula>"Extremo"</formula>
    </cfRule>
    <cfRule type="cellIs" dxfId="1309" priority="1421" operator="equal">
      <formula>"Alto"</formula>
    </cfRule>
    <cfRule type="cellIs" dxfId="1308" priority="1422" operator="equal">
      <formula>"Moderado"</formula>
    </cfRule>
    <cfRule type="cellIs" dxfId="1307" priority="1423" operator="equal">
      <formula>"Bajo"</formula>
    </cfRule>
  </conditionalFormatting>
  <conditionalFormatting sqref="AD173:AD178">
    <cfRule type="cellIs" dxfId="1306" priority="1415" operator="equal">
      <formula>"Muy Alta"</formula>
    </cfRule>
    <cfRule type="cellIs" dxfId="1305" priority="1416" operator="equal">
      <formula>"Alta"</formula>
    </cfRule>
    <cfRule type="cellIs" dxfId="1304" priority="1417" operator="equal">
      <formula>"Media"</formula>
    </cfRule>
    <cfRule type="cellIs" dxfId="1303" priority="1418" operator="equal">
      <formula>"Baja"</formula>
    </cfRule>
    <cfRule type="cellIs" dxfId="1302" priority="1419" operator="equal">
      <formula>"Muy Baja"</formula>
    </cfRule>
  </conditionalFormatting>
  <conditionalFormatting sqref="AF173:AF178">
    <cfRule type="cellIs" dxfId="1301" priority="1410" operator="equal">
      <formula>"Catastrófico"</formula>
    </cfRule>
    <cfRule type="cellIs" dxfId="1300" priority="1411" operator="equal">
      <formula>"Mayor"</formula>
    </cfRule>
    <cfRule type="cellIs" dxfId="1299" priority="1412" operator="equal">
      <formula>"Moderado"</formula>
    </cfRule>
    <cfRule type="cellIs" dxfId="1298" priority="1413" operator="equal">
      <formula>"Menor"</formula>
    </cfRule>
    <cfRule type="cellIs" dxfId="1297" priority="1414" operator="equal">
      <formula>"Leve"</formula>
    </cfRule>
  </conditionalFormatting>
  <conditionalFormatting sqref="AH173:AH178">
    <cfRule type="cellIs" dxfId="1296" priority="1406" operator="equal">
      <formula>"Extremo"</formula>
    </cfRule>
    <cfRule type="cellIs" dxfId="1295" priority="1407" operator="equal">
      <formula>"Alto"</formula>
    </cfRule>
    <cfRule type="cellIs" dxfId="1294" priority="1408" operator="equal">
      <formula>"Moderado"</formula>
    </cfRule>
    <cfRule type="cellIs" dxfId="1293" priority="1409" operator="equal">
      <formula>"Bajo"</formula>
    </cfRule>
  </conditionalFormatting>
  <conditionalFormatting sqref="O173:O178">
    <cfRule type="containsText" dxfId="1292" priority="1405" operator="containsText" text="❌">
      <formula>NOT(ISERROR(SEARCH("❌",O173)))</formula>
    </cfRule>
  </conditionalFormatting>
  <conditionalFormatting sqref="C197">
    <cfRule type="cellIs" dxfId="1291" priority="1246" operator="equal">
      <formula>#REF!</formula>
    </cfRule>
    <cfRule type="cellIs" dxfId="1290" priority="1247" operator="equal">
      <formula>#REF!</formula>
    </cfRule>
    <cfRule type="cellIs" dxfId="1289" priority="1248" operator="equal">
      <formula>#REF!</formula>
    </cfRule>
    <cfRule type="cellIs" dxfId="1288" priority="1249" operator="equal">
      <formula>#REF!</formula>
    </cfRule>
    <cfRule type="cellIs" dxfId="1287" priority="1250" operator="equal">
      <formula>#REF!</formula>
    </cfRule>
    <cfRule type="cellIs" dxfId="1286" priority="1251" operator="equal">
      <formula>#REF!</formula>
    </cfRule>
    <cfRule type="cellIs" dxfId="1285" priority="1252" operator="equal">
      <formula>#REF!</formula>
    </cfRule>
    <cfRule type="cellIs" dxfId="1284" priority="1253" operator="equal">
      <formula>#REF!</formula>
    </cfRule>
    <cfRule type="cellIs" dxfId="1283" priority="1254" operator="equal">
      <formula>#REF!</formula>
    </cfRule>
    <cfRule type="cellIs" dxfId="1282" priority="1255" operator="equal">
      <formula>#REF!</formula>
    </cfRule>
    <cfRule type="cellIs" dxfId="1281" priority="1256" operator="equal">
      <formula>#REF!</formula>
    </cfRule>
    <cfRule type="cellIs" dxfId="1280" priority="1257" operator="equal">
      <formula>#REF!</formula>
    </cfRule>
    <cfRule type="cellIs" dxfId="1279" priority="1258" operator="equal">
      <formula>#REF!</formula>
    </cfRule>
    <cfRule type="cellIs" dxfId="1278" priority="1259" operator="equal">
      <formula>#REF!</formula>
    </cfRule>
    <cfRule type="cellIs" dxfId="1277" priority="1260" operator="equal">
      <formula>#REF!</formula>
    </cfRule>
    <cfRule type="cellIs" dxfId="1276" priority="1261" operator="equal">
      <formula>#REF!</formula>
    </cfRule>
    <cfRule type="cellIs" dxfId="1275" priority="1262" operator="equal">
      <formula>#REF!</formula>
    </cfRule>
    <cfRule type="cellIs" dxfId="1274" priority="1263" operator="equal">
      <formula>#REF!</formula>
    </cfRule>
  </conditionalFormatting>
  <conditionalFormatting sqref="L197">
    <cfRule type="cellIs" dxfId="1273" priority="1288" operator="equal">
      <formula>"Muy Alta"</formula>
    </cfRule>
    <cfRule type="cellIs" dxfId="1272" priority="1289" operator="equal">
      <formula>"Alta"</formula>
    </cfRule>
    <cfRule type="cellIs" dxfId="1271" priority="1290" operator="equal">
      <formula>"Media"</formula>
    </cfRule>
    <cfRule type="cellIs" dxfId="1270" priority="1291" operator="equal">
      <formula>"Baja"</formula>
    </cfRule>
    <cfRule type="cellIs" dxfId="1269" priority="1292" operator="equal">
      <formula>"Muy Baja"</formula>
    </cfRule>
  </conditionalFormatting>
  <conditionalFormatting sqref="P197">
    <cfRule type="cellIs" dxfId="1268" priority="1283" operator="equal">
      <formula>"Catastrófico"</formula>
    </cfRule>
    <cfRule type="cellIs" dxfId="1267" priority="1284" operator="equal">
      <formula>"Mayor"</formula>
    </cfRule>
    <cfRule type="cellIs" dxfId="1266" priority="1285" operator="equal">
      <formula>"Moderado"</formula>
    </cfRule>
    <cfRule type="cellIs" dxfId="1265" priority="1286" operator="equal">
      <formula>"Menor"</formula>
    </cfRule>
    <cfRule type="cellIs" dxfId="1264" priority="1287" operator="equal">
      <formula>"Leve"</formula>
    </cfRule>
  </conditionalFormatting>
  <conditionalFormatting sqref="R197">
    <cfRule type="cellIs" dxfId="1263" priority="1279" operator="equal">
      <formula>"Extremo"</formula>
    </cfRule>
    <cfRule type="cellIs" dxfId="1262" priority="1280" operator="equal">
      <formula>"Alto"</formula>
    </cfRule>
    <cfRule type="cellIs" dxfId="1261" priority="1281" operator="equal">
      <formula>"Moderado"</formula>
    </cfRule>
    <cfRule type="cellIs" dxfId="1260" priority="1282" operator="equal">
      <formula>"Bajo"</formula>
    </cfRule>
  </conditionalFormatting>
  <conditionalFormatting sqref="AD197:AD202">
    <cfRule type="cellIs" dxfId="1259" priority="1274" operator="equal">
      <formula>"Muy Alta"</formula>
    </cfRule>
    <cfRule type="cellIs" dxfId="1258" priority="1275" operator="equal">
      <formula>"Alta"</formula>
    </cfRule>
    <cfRule type="cellIs" dxfId="1257" priority="1276" operator="equal">
      <formula>"Media"</formula>
    </cfRule>
    <cfRule type="cellIs" dxfId="1256" priority="1277" operator="equal">
      <formula>"Baja"</formula>
    </cfRule>
    <cfRule type="cellIs" dxfId="1255" priority="1278" operator="equal">
      <formula>"Muy Baja"</formula>
    </cfRule>
  </conditionalFormatting>
  <conditionalFormatting sqref="AF197:AF202">
    <cfRule type="cellIs" dxfId="1254" priority="1269" operator="equal">
      <formula>"Catastrófico"</formula>
    </cfRule>
    <cfRule type="cellIs" dxfId="1253" priority="1270" operator="equal">
      <formula>"Mayor"</formula>
    </cfRule>
    <cfRule type="cellIs" dxfId="1252" priority="1271" operator="equal">
      <formula>"Moderado"</formula>
    </cfRule>
    <cfRule type="cellIs" dxfId="1251" priority="1272" operator="equal">
      <formula>"Menor"</formula>
    </cfRule>
    <cfRule type="cellIs" dxfId="1250" priority="1273" operator="equal">
      <formula>"Leve"</formula>
    </cfRule>
  </conditionalFormatting>
  <conditionalFormatting sqref="AH197:AH202">
    <cfRule type="cellIs" dxfId="1249" priority="1265" operator="equal">
      <formula>"Extremo"</formula>
    </cfRule>
    <cfRule type="cellIs" dxfId="1248" priority="1266" operator="equal">
      <formula>"Alto"</formula>
    </cfRule>
    <cfRule type="cellIs" dxfId="1247" priority="1267" operator="equal">
      <formula>"Moderado"</formula>
    </cfRule>
    <cfRule type="cellIs" dxfId="1246" priority="1268" operator="equal">
      <formula>"Bajo"</formula>
    </cfRule>
  </conditionalFormatting>
  <conditionalFormatting sqref="O197:O202">
    <cfRule type="containsText" dxfId="1245" priority="1264" operator="containsText" text="❌">
      <formula>NOT(ISERROR(SEARCH("❌",O197)))</formula>
    </cfRule>
  </conditionalFormatting>
  <conditionalFormatting sqref="C191">
    <cfRule type="cellIs" dxfId="1244" priority="1199" operator="equal">
      <formula>#REF!</formula>
    </cfRule>
    <cfRule type="cellIs" dxfId="1243" priority="1200" operator="equal">
      <formula>#REF!</formula>
    </cfRule>
    <cfRule type="cellIs" dxfId="1242" priority="1201" operator="equal">
      <formula>#REF!</formula>
    </cfRule>
    <cfRule type="cellIs" dxfId="1241" priority="1202" operator="equal">
      <formula>#REF!</formula>
    </cfRule>
    <cfRule type="cellIs" dxfId="1240" priority="1203" operator="equal">
      <formula>#REF!</formula>
    </cfRule>
    <cfRule type="cellIs" dxfId="1239" priority="1204" operator="equal">
      <formula>#REF!</formula>
    </cfRule>
    <cfRule type="cellIs" dxfId="1238" priority="1205" operator="equal">
      <formula>#REF!</formula>
    </cfRule>
    <cfRule type="cellIs" dxfId="1237" priority="1206" operator="equal">
      <formula>#REF!</formula>
    </cfRule>
    <cfRule type="cellIs" dxfId="1236" priority="1207" operator="equal">
      <formula>#REF!</formula>
    </cfRule>
    <cfRule type="cellIs" dxfId="1235" priority="1208" operator="equal">
      <formula>#REF!</formula>
    </cfRule>
    <cfRule type="cellIs" dxfId="1234" priority="1209" operator="equal">
      <formula>#REF!</formula>
    </cfRule>
    <cfRule type="cellIs" dxfId="1233" priority="1210" operator="equal">
      <formula>#REF!</formula>
    </cfRule>
    <cfRule type="cellIs" dxfId="1232" priority="1211" operator="equal">
      <formula>#REF!</formula>
    </cfRule>
    <cfRule type="cellIs" dxfId="1231" priority="1212" operator="equal">
      <formula>#REF!</formula>
    </cfRule>
    <cfRule type="cellIs" dxfId="1230" priority="1213" operator="equal">
      <formula>#REF!</formula>
    </cfRule>
    <cfRule type="cellIs" dxfId="1229" priority="1214" operator="equal">
      <formula>#REF!</formula>
    </cfRule>
    <cfRule type="cellIs" dxfId="1228" priority="1215" operator="equal">
      <formula>#REF!</formula>
    </cfRule>
    <cfRule type="cellIs" dxfId="1227" priority="1216" operator="equal">
      <formula>#REF!</formula>
    </cfRule>
  </conditionalFormatting>
  <conditionalFormatting sqref="L191">
    <cfRule type="cellIs" dxfId="1226" priority="1241" operator="equal">
      <formula>"Muy Alta"</formula>
    </cfRule>
    <cfRule type="cellIs" dxfId="1225" priority="1242" operator="equal">
      <formula>"Alta"</formula>
    </cfRule>
    <cfRule type="cellIs" dxfId="1224" priority="1243" operator="equal">
      <formula>"Media"</formula>
    </cfRule>
    <cfRule type="cellIs" dxfId="1223" priority="1244" operator="equal">
      <formula>"Baja"</formula>
    </cfRule>
    <cfRule type="cellIs" dxfId="1222" priority="1245" operator="equal">
      <formula>"Muy Baja"</formula>
    </cfRule>
  </conditionalFormatting>
  <conditionalFormatting sqref="P191">
    <cfRule type="cellIs" dxfId="1221" priority="1236" operator="equal">
      <formula>"Catastrófico"</formula>
    </cfRule>
    <cfRule type="cellIs" dxfId="1220" priority="1237" operator="equal">
      <formula>"Mayor"</formula>
    </cfRule>
    <cfRule type="cellIs" dxfId="1219" priority="1238" operator="equal">
      <formula>"Moderado"</formula>
    </cfRule>
    <cfRule type="cellIs" dxfId="1218" priority="1239" operator="equal">
      <formula>"Menor"</formula>
    </cfRule>
    <cfRule type="cellIs" dxfId="1217" priority="1240" operator="equal">
      <formula>"Leve"</formula>
    </cfRule>
  </conditionalFormatting>
  <conditionalFormatting sqref="R191">
    <cfRule type="cellIs" dxfId="1216" priority="1232" operator="equal">
      <formula>"Extremo"</formula>
    </cfRule>
    <cfRule type="cellIs" dxfId="1215" priority="1233" operator="equal">
      <formula>"Alto"</formula>
    </cfRule>
    <cfRule type="cellIs" dxfId="1214" priority="1234" operator="equal">
      <formula>"Moderado"</formula>
    </cfRule>
    <cfRule type="cellIs" dxfId="1213" priority="1235" operator="equal">
      <formula>"Bajo"</formula>
    </cfRule>
  </conditionalFormatting>
  <conditionalFormatting sqref="AD191:AD196">
    <cfRule type="cellIs" dxfId="1212" priority="1227" operator="equal">
      <formula>"Muy Alta"</formula>
    </cfRule>
    <cfRule type="cellIs" dxfId="1211" priority="1228" operator="equal">
      <formula>"Alta"</formula>
    </cfRule>
    <cfRule type="cellIs" dxfId="1210" priority="1229" operator="equal">
      <formula>"Media"</formula>
    </cfRule>
    <cfRule type="cellIs" dxfId="1209" priority="1230" operator="equal">
      <formula>"Baja"</formula>
    </cfRule>
    <cfRule type="cellIs" dxfId="1208" priority="1231" operator="equal">
      <formula>"Muy Baja"</formula>
    </cfRule>
  </conditionalFormatting>
  <conditionalFormatting sqref="AF191:AF196">
    <cfRule type="cellIs" dxfId="1207" priority="1222" operator="equal">
      <formula>"Catastrófico"</formula>
    </cfRule>
    <cfRule type="cellIs" dxfId="1206" priority="1223" operator="equal">
      <formula>"Mayor"</formula>
    </cfRule>
    <cfRule type="cellIs" dxfId="1205" priority="1224" operator="equal">
      <formula>"Moderado"</formula>
    </cfRule>
    <cfRule type="cellIs" dxfId="1204" priority="1225" operator="equal">
      <formula>"Menor"</formula>
    </cfRule>
    <cfRule type="cellIs" dxfId="1203" priority="1226" operator="equal">
      <formula>"Leve"</formula>
    </cfRule>
  </conditionalFormatting>
  <conditionalFormatting sqref="AH191:AH196">
    <cfRule type="cellIs" dxfId="1202" priority="1218" operator="equal">
      <formula>"Extremo"</formula>
    </cfRule>
    <cfRule type="cellIs" dxfId="1201" priority="1219" operator="equal">
      <formula>"Alto"</formula>
    </cfRule>
    <cfRule type="cellIs" dxfId="1200" priority="1220" operator="equal">
      <formula>"Moderado"</formula>
    </cfRule>
    <cfRule type="cellIs" dxfId="1199" priority="1221" operator="equal">
      <formula>"Bajo"</formula>
    </cfRule>
  </conditionalFormatting>
  <conditionalFormatting sqref="O191:O196">
    <cfRule type="containsText" dxfId="1198" priority="1217" operator="containsText" text="❌">
      <formula>NOT(ISERROR(SEARCH("❌",O191)))</formula>
    </cfRule>
  </conditionalFormatting>
  <conditionalFormatting sqref="C209">
    <cfRule type="cellIs" dxfId="1197" priority="1105" operator="equal">
      <formula>#REF!</formula>
    </cfRule>
    <cfRule type="cellIs" dxfId="1196" priority="1106" operator="equal">
      <formula>#REF!</formula>
    </cfRule>
    <cfRule type="cellIs" dxfId="1195" priority="1107" operator="equal">
      <formula>#REF!</formula>
    </cfRule>
    <cfRule type="cellIs" dxfId="1194" priority="1108" operator="equal">
      <formula>#REF!</formula>
    </cfRule>
    <cfRule type="cellIs" dxfId="1193" priority="1109" operator="equal">
      <formula>#REF!</formula>
    </cfRule>
    <cfRule type="cellIs" dxfId="1192" priority="1110" operator="equal">
      <formula>#REF!</formula>
    </cfRule>
    <cfRule type="cellIs" dxfId="1191" priority="1111" operator="equal">
      <formula>#REF!</formula>
    </cfRule>
    <cfRule type="cellIs" dxfId="1190" priority="1112" operator="equal">
      <formula>#REF!</formula>
    </cfRule>
    <cfRule type="cellIs" dxfId="1189" priority="1113" operator="equal">
      <formula>#REF!</formula>
    </cfRule>
    <cfRule type="cellIs" dxfId="1188" priority="1114" operator="equal">
      <formula>#REF!</formula>
    </cfRule>
    <cfRule type="cellIs" dxfId="1187" priority="1115" operator="equal">
      <formula>#REF!</formula>
    </cfRule>
    <cfRule type="cellIs" dxfId="1186" priority="1116" operator="equal">
      <formula>#REF!</formula>
    </cfRule>
    <cfRule type="cellIs" dxfId="1185" priority="1117" operator="equal">
      <formula>#REF!</formula>
    </cfRule>
    <cfRule type="cellIs" dxfId="1184" priority="1118" operator="equal">
      <formula>#REF!</formula>
    </cfRule>
    <cfRule type="cellIs" dxfId="1183" priority="1119" operator="equal">
      <formula>#REF!</formula>
    </cfRule>
    <cfRule type="cellIs" dxfId="1182" priority="1120" operator="equal">
      <formula>#REF!</formula>
    </cfRule>
    <cfRule type="cellIs" dxfId="1181" priority="1121" operator="equal">
      <formula>#REF!</formula>
    </cfRule>
    <cfRule type="cellIs" dxfId="1180" priority="1122" operator="equal">
      <formula>#REF!</formula>
    </cfRule>
  </conditionalFormatting>
  <conditionalFormatting sqref="L209">
    <cfRule type="cellIs" dxfId="1179" priority="1147" operator="equal">
      <formula>"Muy Alta"</formula>
    </cfRule>
    <cfRule type="cellIs" dxfId="1178" priority="1148" operator="equal">
      <formula>"Alta"</formula>
    </cfRule>
    <cfRule type="cellIs" dxfId="1177" priority="1149" operator="equal">
      <formula>"Media"</formula>
    </cfRule>
    <cfRule type="cellIs" dxfId="1176" priority="1150" operator="equal">
      <formula>"Baja"</formula>
    </cfRule>
    <cfRule type="cellIs" dxfId="1175" priority="1151" operator="equal">
      <formula>"Muy Baja"</formula>
    </cfRule>
  </conditionalFormatting>
  <conditionalFormatting sqref="P209">
    <cfRule type="cellIs" dxfId="1174" priority="1142" operator="equal">
      <formula>"Catastrófico"</formula>
    </cfRule>
    <cfRule type="cellIs" dxfId="1173" priority="1143" operator="equal">
      <formula>"Mayor"</formula>
    </cfRule>
    <cfRule type="cellIs" dxfId="1172" priority="1144" operator="equal">
      <formula>"Moderado"</formula>
    </cfRule>
    <cfRule type="cellIs" dxfId="1171" priority="1145" operator="equal">
      <formula>"Menor"</formula>
    </cfRule>
    <cfRule type="cellIs" dxfId="1170" priority="1146" operator="equal">
      <formula>"Leve"</formula>
    </cfRule>
  </conditionalFormatting>
  <conditionalFormatting sqref="R209">
    <cfRule type="cellIs" dxfId="1169" priority="1138" operator="equal">
      <formula>"Extremo"</formula>
    </cfRule>
    <cfRule type="cellIs" dxfId="1168" priority="1139" operator="equal">
      <formula>"Alto"</formula>
    </cfRule>
    <cfRule type="cellIs" dxfId="1167" priority="1140" operator="equal">
      <formula>"Moderado"</formula>
    </cfRule>
    <cfRule type="cellIs" dxfId="1166" priority="1141" operator="equal">
      <formula>"Bajo"</formula>
    </cfRule>
  </conditionalFormatting>
  <conditionalFormatting sqref="AD209:AD214">
    <cfRule type="cellIs" dxfId="1165" priority="1133" operator="equal">
      <formula>"Muy Alta"</formula>
    </cfRule>
    <cfRule type="cellIs" dxfId="1164" priority="1134" operator="equal">
      <formula>"Alta"</formula>
    </cfRule>
    <cfRule type="cellIs" dxfId="1163" priority="1135" operator="equal">
      <formula>"Media"</formula>
    </cfRule>
    <cfRule type="cellIs" dxfId="1162" priority="1136" operator="equal">
      <formula>"Baja"</formula>
    </cfRule>
    <cfRule type="cellIs" dxfId="1161" priority="1137" operator="equal">
      <formula>"Muy Baja"</formula>
    </cfRule>
  </conditionalFormatting>
  <conditionalFormatting sqref="AF209:AF214">
    <cfRule type="cellIs" dxfId="1160" priority="1128" operator="equal">
      <formula>"Catastrófico"</formula>
    </cfRule>
    <cfRule type="cellIs" dxfId="1159" priority="1129" operator="equal">
      <formula>"Mayor"</formula>
    </cfRule>
    <cfRule type="cellIs" dxfId="1158" priority="1130" operator="equal">
      <formula>"Moderado"</formula>
    </cfRule>
    <cfRule type="cellIs" dxfId="1157" priority="1131" operator="equal">
      <formula>"Menor"</formula>
    </cfRule>
    <cfRule type="cellIs" dxfId="1156" priority="1132" operator="equal">
      <formula>"Leve"</formula>
    </cfRule>
  </conditionalFormatting>
  <conditionalFormatting sqref="AH209:AH214">
    <cfRule type="cellIs" dxfId="1155" priority="1124" operator="equal">
      <formula>"Extremo"</formula>
    </cfRule>
    <cfRule type="cellIs" dxfId="1154" priority="1125" operator="equal">
      <formula>"Alto"</formula>
    </cfRule>
    <cfRule type="cellIs" dxfId="1153" priority="1126" operator="equal">
      <formula>"Moderado"</formula>
    </cfRule>
    <cfRule type="cellIs" dxfId="1152" priority="1127" operator="equal">
      <formula>"Bajo"</formula>
    </cfRule>
  </conditionalFormatting>
  <conditionalFormatting sqref="O209:O214">
    <cfRule type="containsText" dxfId="1151" priority="1123" operator="containsText" text="❌">
      <formula>NOT(ISERROR(SEARCH("❌",O209)))</formula>
    </cfRule>
  </conditionalFormatting>
  <conditionalFormatting sqref="C203">
    <cfRule type="cellIs" dxfId="1150" priority="1058" operator="equal">
      <formula>#REF!</formula>
    </cfRule>
    <cfRule type="cellIs" dxfId="1149" priority="1059" operator="equal">
      <formula>#REF!</formula>
    </cfRule>
    <cfRule type="cellIs" dxfId="1148" priority="1060" operator="equal">
      <formula>#REF!</formula>
    </cfRule>
    <cfRule type="cellIs" dxfId="1147" priority="1061" operator="equal">
      <formula>#REF!</formula>
    </cfRule>
    <cfRule type="cellIs" dxfId="1146" priority="1062" operator="equal">
      <formula>#REF!</formula>
    </cfRule>
    <cfRule type="cellIs" dxfId="1145" priority="1063" operator="equal">
      <formula>#REF!</formula>
    </cfRule>
    <cfRule type="cellIs" dxfId="1144" priority="1064" operator="equal">
      <formula>#REF!</formula>
    </cfRule>
    <cfRule type="cellIs" dxfId="1143" priority="1065" operator="equal">
      <formula>#REF!</formula>
    </cfRule>
    <cfRule type="cellIs" dxfId="1142" priority="1066" operator="equal">
      <formula>#REF!</formula>
    </cfRule>
    <cfRule type="cellIs" dxfId="1141" priority="1067" operator="equal">
      <formula>#REF!</formula>
    </cfRule>
    <cfRule type="cellIs" dxfId="1140" priority="1068" operator="equal">
      <formula>#REF!</formula>
    </cfRule>
    <cfRule type="cellIs" dxfId="1139" priority="1069" operator="equal">
      <formula>#REF!</formula>
    </cfRule>
    <cfRule type="cellIs" dxfId="1138" priority="1070" operator="equal">
      <formula>#REF!</formula>
    </cfRule>
    <cfRule type="cellIs" dxfId="1137" priority="1071" operator="equal">
      <formula>#REF!</formula>
    </cfRule>
    <cfRule type="cellIs" dxfId="1136" priority="1072" operator="equal">
      <formula>#REF!</formula>
    </cfRule>
    <cfRule type="cellIs" dxfId="1135" priority="1073" operator="equal">
      <formula>#REF!</formula>
    </cfRule>
    <cfRule type="cellIs" dxfId="1134" priority="1074" operator="equal">
      <formula>#REF!</formula>
    </cfRule>
    <cfRule type="cellIs" dxfId="1133" priority="1075" operator="equal">
      <formula>#REF!</formula>
    </cfRule>
  </conditionalFormatting>
  <conditionalFormatting sqref="L203">
    <cfRule type="cellIs" dxfId="1132" priority="1100" operator="equal">
      <formula>"Muy Alta"</formula>
    </cfRule>
    <cfRule type="cellIs" dxfId="1131" priority="1101" operator="equal">
      <formula>"Alta"</formula>
    </cfRule>
    <cfRule type="cellIs" dxfId="1130" priority="1102" operator="equal">
      <formula>"Media"</formula>
    </cfRule>
    <cfRule type="cellIs" dxfId="1129" priority="1103" operator="equal">
      <formula>"Baja"</formula>
    </cfRule>
    <cfRule type="cellIs" dxfId="1128" priority="1104" operator="equal">
      <formula>"Muy Baja"</formula>
    </cfRule>
  </conditionalFormatting>
  <conditionalFormatting sqref="P203">
    <cfRule type="cellIs" dxfId="1127" priority="1095" operator="equal">
      <formula>"Catastrófico"</formula>
    </cfRule>
    <cfRule type="cellIs" dxfId="1126" priority="1096" operator="equal">
      <formula>"Mayor"</formula>
    </cfRule>
    <cfRule type="cellIs" dxfId="1125" priority="1097" operator="equal">
      <formula>"Moderado"</formula>
    </cfRule>
    <cfRule type="cellIs" dxfId="1124" priority="1098" operator="equal">
      <formula>"Menor"</formula>
    </cfRule>
    <cfRule type="cellIs" dxfId="1123" priority="1099" operator="equal">
      <formula>"Leve"</formula>
    </cfRule>
  </conditionalFormatting>
  <conditionalFormatting sqref="R203">
    <cfRule type="cellIs" dxfId="1122" priority="1091" operator="equal">
      <formula>"Extremo"</formula>
    </cfRule>
    <cfRule type="cellIs" dxfId="1121" priority="1092" operator="equal">
      <formula>"Alto"</formula>
    </cfRule>
    <cfRule type="cellIs" dxfId="1120" priority="1093" operator="equal">
      <formula>"Moderado"</formula>
    </cfRule>
    <cfRule type="cellIs" dxfId="1119" priority="1094" operator="equal">
      <formula>"Bajo"</formula>
    </cfRule>
  </conditionalFormatting>
  <conditionalFormatting sqref="AD203:AD208">
    <cfRule type="cellIs" dxfId="1118" priority="1086" operator="equal">
      <formula>"Muy Alta"</formula>
    </cfRule>
    <cfRule type="cellIs" dxfId="1117" priority="1087" operator="equal">
      <formula>"Alta"</formula>
    </cfRule>
    <cfRule type="cellIs" dxfId="1116" priority="1088" operator="equal">
      <formula>"Media"</formula>
    </cfRule>
    <cfRule type="cellIs" dxfId="1115" priority="1089" operator="equal">
      <formula>"Baja"</formula>
    </cfRule>
    <cfRule type="cellIs" dxfId="1114" priority="1090" operator="equal">
      <formula>"Muy Baja"</formula>
    </cfRule>
  </conditionalFormatting>
  <conditionalFormatting sqref="AF203:AF208">
    <cfRule type="cellIs" dxfId="1113" priority="1081" operator="equal">
      <formula>"Catastrófico"</formula>
    </cfRule>
    <cfRule type="cellIs" dxfId="1112" priority="1082" operator="equal">
      <formula>"Mayor"</formula>
    </cfRule>
    <cfRule type="cellIs" dxfId="1111" priority="1083" operator="equal">
      <formula>"Moderado"</formula>
    </cfRule>
    <cfRule type="cellIs" dxfId="1110" priority="1084" operator="equal">
      <formula>"Menor"</formula>
    </cfRule>
    <cfRule type="cellIs" dxfId="1109" priority="1085" operator="equal">
      <formula>"Leve"</formula>
    </cfRule>
  </conditionalFormatting>
  <conditionalFormatting sqref="AH203:AH208">
    <cfRule type="cellIs" dxfId="1108" priority="1077" operator="equal">
      <formula>"Extremo"</formula>
    </cfRule>
    <cfRule type="cellIs" dxfId="1107" priority="1078" operator="equal">
      <formula>"Alto"</formula>
    </cfRule>
    <cfRule type="cellIs" dxfId="1106" priority="1079" operator="equal">
      <formula>"Moderado"</formula>
    </cfRule>
    <cfRule type="cellIs" dxfId="1105" priority="1080" operator="equal">
      <formula>"Bajo"</formula>
    </cfRule>
  </conditionalFormatting>
  <conditionalFormatting sqref="O203:O208">
    <cfRule type="containsText" dxfId="1104" priority="1076" operator="containsText" text="❌">
      <formula>NOT(ISERROR(SEARCH("❌",O203)))</formula>
    </cfRule>
  </conditionalFormatting>
  <conditionalFormatting sqref="L251">
    <cfRule type="cellIs" dxfId="1103" priority="1053" operator="equal">
      <formula>"Muy Alta"</formula>
    </cfRule>
    <cfRule type="cellIs" dxfId="1102" priority="1054" operator="equal">
      <formula>"Alta"</formula>
    </cfRule>
    <cfRule type="cellIs" dxfId="1101" priority="1055" operator="equal">
      <formula>"Media"</formula>
    </cfRule>
    <cfRule type="cellIs" dxfId="1100" priority="1056" operator="equal">
      <formula>"Baja"</formula>
    </cfRule>
    <cfRule type="cellIs" dxfId="1099" priority="1057" operator="equal">
      <formula>"Muy Baja"</formula>
    </cfRule>
  </conditionalFormatting>
  <conditionalFormatting sqref="P251">
    <cfRule type="cellIs" dxfId="1098" priority="1048" operator="equal">
      <formula>"Catastrófico"</formula>
    </cfRule>
    <cfRule type="cellIs" dxfId="1097" priority="1049" operator="equal">
      <formula>"Mayor"</formula>
    </cfRule>
    <cfRule type="cellIs" dxfId="1096" priority="1050" operator="equal">
      <formula>"Moderado"</formula>
    </cfRule>
    <cfRule type="cellIs" dxfId="1095" priority="1051" operator="equal">
      <formula>"Menor"</formula>
    </cfRule>
    <cfRule type="cellIs" dxfId="1094" priority="1052" operator="equal">
      <formula>"Leve"</formula>
    </cfRule>
  </conditionalFormatting>
  <conditionalFormatting sqref="R251">
    <cfRule type="cellIs" dxfId="1093" priority="1044" operator="equal">
      <formula>"Extremo"</formula>
    </cfRule>
    <cfRule type="cellIs" dxfId="1092" priority="1045" operator="equal">
      <formula>"Alto"</formula>
    </cfRule>
    <cfRule type="cellIs" dxfId="1091" priority="1046" operator="equal">
      <formula>"Moderado"</formula>
    </cfRule>
    <cfRule type="cellIs" dxfId="1090" priority="1047" operator="equal">
      <formula>"Bajo"</formula>
    </cfRule>
  </conditionalFormatting>
  <conditionalFormatting sqref="AD251:AD256">
    <cfRule type="cellIs" dxfId="1089" priority="1039" operator="equal">
      <formula>"Muy Alta"</formula>
    </cfRule>
    <cfRule type="cellIs" dxfId="1088" priority="1040" operator="equal">
      <formula>"Alta"</formula>
    </cfRule>
    <cfRule type="cellIs" dxfId="1087" priority="1041" operator="equal">
      <formula>"Media"</formula>
    </cfRule>
    <cfRule type="cellIs" dxfId="1086" priority="1042" operator="equal">
      <formula>"Baja"</formula>
    </cfRule>
    <cfRule type="cellIs" dxfId="1085" priority="1043" operator="equal">
      <formula>"Muy Baja"</formula>
    </cfRule>
  </conditionalFormatting>
  <conditionalFormatting sqref="AF251:AF256">
    <cfRule type="cellIs" dxfId="1084" priority="1034" operator="equal">
      <formula>"Catastrófico"</formula>
    </cfRule>
    <cfRule type="cellIs" dxfId="1083" priority="1035" operator="equal">
      <formula>"Mayor"</formula>
    </cfRule>
    <cfRule type="cellIs" dxfId="1082" priority="1036" operator="equal">
      <formula>"Moderado"</formula>
    </cfRule>
    <cfRule type="cellIs" dxfId="1081" priority="1037" operator="equal">
      <formula>"Menor"</formula>
    </cfRule>
    <cfRule type="cellIs" dxfId="1080" priority="1038" operator="equal">
      <formula>"Leve"</formula>
    </cfRule>
  </conditionalFormatting>
  <conditionalFormatting sqref="AH251:AH256">
    <cfRule type="cellIs" dxfId="1079" priority="1030" operator="equal">
      <formula>"Extremo"</formula>
    </cfRule>
    <cfRule type="cellIs" dxfId="1078" priority="1031" operator="equal">
      <formula>"Alto"</formula>
    </cfRule>
    <cfRule type="cellIs" dxfId="1077" priority="1032" operator="equal">
      <formula>"Moderado"</formula>
    </cfRule>
    <cfRule type="cellIs" dxfId="1076" priority="1033" operator="equal">
      <formula>"Bajo"</formula>
    </cfRule>
  </conditionalFormatting>
  <conditionalFormatting sqref="O251:O256">
    <cfRule type="containsText" dxfId="1075" priority="1029" operator="containsText" text="❌">
      <formula>NOT(ISERROR(SEARCH("❌",O251)))</formula>
    </cfRule>
  </conditionalFormatting>
  <conditionalFormatting sqref="C251">
    <cfRule type="cellIs" dxfId="1074" priority="1011" operator="equal">
      <formula>#REF!</formula>
    </cfRule>
    <cfRule type="cellIs" dxfId="1073" priority="1012" operator="equal">
      <formula>#REF!</formula>
    </cfRule>
    <cfRule type="cellIs" dxfId="1072" priority="1013" operator="equal">
      <formula>#REF!</formula>
    </cfRule>
    <cfRule type="cellIs" dxfId="1071" priority="1014" operator="equal">
      <formula>#REF!</formula>
    </cfRule>
    <cfRule type="cellIs" dxfId="1070" priority="1015" operator="equal">
      <formula>#REF!</formula>
    </cfRule>
    <cfRule type="cellIs" dxfId="1069" priority="1016" operator="equal">
      <formula>#REF!</formula>
    </cfRule>
    <cfRule type="cellIs" dxfId="1068" priority="1017" operator="equal">
      <formula>#REF!</formula>
    </cfRule>
    <cfRule type="cellIs" dxfId="1067" priority="1018" operator="equal">
      <formula>#REF!</formula>
    </cfRule>
    <cfRule type="cellIs" dxfId="1066" priority="1019" operator="equal">
      <formula>#REF!</formula>
    </cfRule>
    <cfRule type="cellIs" dxfId="1065" priority="1020" operator="equal">
      <formula>#REF!</formula>
    </cfRule>
    <cfRule type="cellIs" dxfId="1064" priority="1021" operator="equal">
      <formula>#REF!</formula>
    </cfRule>
    <cfRule type="cellIs" dxfId="1063" priority="1022" operator="equal">
      <formula>#REF!</formula>
    </cfRule>
    <cfRule type="cellIs" dxfId="1062" priority="1023" operator="equal">
      <formula>#REF!</formula>
    </cfRule>
    <cfRule type="cellIs" dxfId="1061" priority="1024" operator="equal">
      <formula>#REF!</formula>
    </cfRule>
    <cfRule type="cellIs" dxfId="1060" priority="1025" operator="equal">
      <formula>#REF!</formula>
    </cfRule>
    <cfRule type="cellIs" dxfId="1059" priority="1026" operator="equal">
      <formula>#REF!</formula>
    </cfRule>
    <cfRule type="cellIs" dxfId="1058" priority="1027" operator="equal">
      <formula>#REF!</formula>
    </cfRule>
    <cfRule type="cellIs" dxfId="1057" priority="1028" operator="equal">
      <formula>#REF!</formula>
    </cfRule>
  </conditionalFormatting>
  <conditionalFormatting sqref="L245">
    <cfRule type="cellIs" dxfId="1056" priority="1006" operator="equal">
      <formula>"Muy Alta"</formula>
    </cfRule>
    <cfRule type="cellIs" dxfId="1055" priority="1007" operator="equal">
      <formula>"Alta"</formula>
    </cfRule>
    <cfRule type="cellIs" dxfId="1054" priority="1008" operator="equal">
      <formula>"Media"</formula>
    </cfRule>
    <cfRule type="cellIs" dxfId="1053" priority="1009" operator="equal">
      <formula>"Baja"</formula>
    </cfRule>
    <cfRule type="cellIs" dxfId="1052" priority="1010" operator="equal">
      <formula>"Muy Baja"</formula>
    </cfRule>
  </conditionalFormatting>
  <conditionalFormatting sqref="P245">
    <cfRule type="cellIs" dxfId="1051" priority="1001" operator="equal">
      <formula>"Catastrófico"</formula>
    </cfRule>
    <cfRule type="cellIs" dxfId="1050" priority="1002" operator="equal">
      <formula>"Mayor"</formula>
    </cfRule>
    <cfRule type="cellIs" dxfId="1049" priority="1003" operator="equal">
      <formula>"Moderado"</formula>
    </cfRule>
    <cfRule type="cellIs" dxfId="1048" priority="1004" operator="equal">
      <formula>"Menor"</formula>
    </cfRule>
    <cfRule type="cellIs" dxfId="1047" priority="1005" operator="equal">
      <formula>"Leve"</formula>
    </cfRule>
  </conditionalFormatting>
  <conditionalFormatting sqref="R245">
    <cfRule type="cellIs" dxfId="1046" priority="997" operator="equal">
      <formula>"Extremo"</formula>
    </cfRule>
    <cfRule type="cellIs" dxfId="1045" priority="998" operator="equal">
      <formula>"Alto"</formula>
    </cfRule>
    <cfRule type="cellIs" dxfId="1044" priority="999" operator="equal">
      <formula>"Moderado"</formula>
    </cfRule>
    <cfRule type="cellIs" dxfId="1043" priority="1000" operator="equal">
      <formula>"Bajo"</formula>
    </cfRule>
  </conditionalFormatting>
  <conditionalFormatting sqref="AD245:AD250">
    <cfRule type="cellIs" dxfId="1042" priority="992" operator="equal">
      <formula>"Muy Alta"</formula>
    </cfRule>
    <cfRule type="cellIs" dxfId="1041" priority="993" operator="equal">
      <formula>"Alta"</formula>
    </cfRule>
    <cfRule type="cellIs" dxfId="1040" priority="994" operator="equal">
      <formula>"Media"</formula>
    </cfRule>
    <cfRule type="cellIs" dxfId="1039" priority="995" operator="equal">
      <formula>"Baja"</formula>
    </cfRule>
    <cfRule type="cellIs" dxfId="1038" priority="996" operator="equal">
      <formula>"Muy Baja"</formula>
    </cfRule>
  </conditionalFormatting>
  <conditionalFormatting sqref="AF245:AF250">
    <cfRule type="cellIs" dxfId="1037" priority="987" operator="equal">
      <formula>"Catastrófico"</formula>
    </cfRule>
    <cfRule type="cellIs" dxfId="1036" priority="988" operator="equal">
      <formula>"Mayor"</formula>
    </cfRule>
    <cfRule type="cellIs" dxfId="1035" priority="989" operator="equal">
      <formula>"Moderado"</formula>
    </cfRule>
    <cfRule type="cellIs" dxfId="1034" priority="990" operator="equal">
      <formula>"Menor"</formula>
    </cfRule>
    <cfRule type="cellIs" dxfId="1033" priority="991" operator="equal">
      <formula>"Leve"</formula>
    </cfRule>
  </conditionalFormatting>
  <conditionalFormatting sqref="AH245:AH250">
    <cfRule type="cellIs" dxfId="1032" priority="983" operator="equal">
      <formula>"Extremo"</formula>
    </cfRule>
    <cfRule type="cellIs" dxfId="1031" priority="984" operator="equal">
      <formula>"Alto"</formula>
    </cfRule>
    <cfRule type="cellIs" dxfId="1030" priority="985" operator="equal">
      <formula>"Moderado"</formula>
    </cfRule>
    <cfRule type="cellIs" dxfId="1029" priority="986" operator="equal">
      <formula>"Bajo"</formula>
    </cfRule>
  </conditionalFormatting>
  <conditionalFormatting sqref="O245:O250">
    <cfRule type="containsText" dxfId="1028" priority="982" operator="containsText" text="❌">
      <formula>NOT(ISERROR(SEARCH("❌",O245)))</formula>
    </cfRule>
  </conditionalFormatting>
  <conditionalFormatting sqref="C245">
    <cfRule type="cellIs" dxfId="1027" priority="964" operator="equal">
      <formula>#REF!</formula>
    </cfRule>
    <cfRule type="cellIs" dxfId="1026" priority="965" operator="equal">
      <formula>#REF!</formula>
    </cfRule>
    <cfRule type="cellIs" dxfId="1025" priority="966" operator="equal">
      <formula>#REF!</formula>
    </cfRule>
    <cfRule type="cellIs" dxfId="1024" priority="967" operator="equal">
      <formula>#REF!</formula>
    </cfRule>
    <cfRule type="cellIs" dxfId="1023" priority="968" operator="equal">
      <formula>#REF!</formula>
    </cfRule>
    <cfRule type="cellIs" dxfId="1022" priority="969" operator="equal">
      <formula>#REF!</formula>
    </cfRule>
    <cfRule type="cellIs" dxfId="1021" priority="970" operator="equal">
      <formula>#REF!</formula>
    </cfRule>
    <cfRule type="cellIs" dxfId="1020" priority="971" operator="equal">
      <formula>#REF!</formula>
    </cfRule>
    <cfRule type="cellIs" dxfId="1019" priority="972" operator="equal">
      <formula>#REF!</formula>
    </cfRule>
    <cfRule type="cellIs" dxfId="1018" priority="973" operator="equal">
      <formula>#REF!</formula>
    </cfRule>
    <cfRule type="cellIs" dxfId="1017" priority="974" operator="equal">
      <formula>#REF!</formula>
    </cfRule>
    <cfRule type="cellIs" dxfId="1016" priority="975" operator="equal">
      <formula>#REF!</formula>
    </cfRule>
    <cfRule type="cellIs" dxfId="1015" priority="976" operator="equal">
      <formula>#REF!</formula>
    </cfRule>
    <cfRule type="cellIs" dxfId="1014" priority="977" operator="equal">
      <formula>#REF!</formula>
    </cfRule>
    <cfRule type="cellIs" dxfId="1013" priority="978" operator="equal">
      <formula>#REF!</formula>
    </cfRule>
    <cfRule type="cellIs" dxfId="1012" priority="979" operator="equal">
      <formula>#REF!</formula>
    </cfRule>
    <cfRule type="cellIs" dxfId="1011" priority="980" operator="equal">
      <formula>#REF!</formula>
    </cfRule>
    <cfRule type="cellIs" dxfId="1010" priority="981" operator="equal">
      <formula>#REF!</formula>
    </cfRule>
  </conditionalFormatting>
  <conditionalFormatting sqref="L275">
    <cfRule type="cellIs" dxfId="1009" priority="959" operator="equal">
      <formula>"Muy Alta"</formula>
    </cfRule>
    <cfRule type="cellIs" dxfId="1008" priority="960" operator="equal">
      <formula>"Alta"</formula>
    </cfRule>
    <cfRule type="cellIs" dxfId="1007" priority="961" operator="equal">
      <formula>"Media"</formula>
    </cfRule>
    <cfRule type="cellIs" dxfId="1006" priority="962" operator="equal">
      <formula>"Baja"</formula>
    </cfRule>
    <cfRule type="cellIs" dxfId="1005" priority="963" operator="equal">
      <formula>"Muy Baja"</formula>
    </cfRule>
  </conditionalFormatting>
  <conditionalFormatting sqref="P275">
    <cfRule type="cellIs" dxfId="1004" priority="954" operator="equal">
      <formula>"Catastrófico"</formula>
    </cfRule>
    <cfRule type="cellIs" dxfId="1003" priority="955" operator="equal">
      <formula>"Mayor"</formula>
    </cfRule>
    <cfRule type="cellIs" dxfId="1002" priority="956" operator="equal">
      <formula>"Moderado"</formula>
    </cfRule>
    <cfRule type="cellIs" dxfId="1001" priority="957" operator="equal">
      <formula>"Menor"</formula>
    </cfRule>
    <cfRule type="cellIs" dxfId="1000" priority="958" operator="equal">
      <formula>"Leve"</formula>
    </cfRule>
  </conditionalFormatting>
  <conditionalFormatting sqref="R275">
    <cfRule type="cellIs" dxfId="999" priority="950" operator="equal">
      <formula>"Extremo"</formula>
    </cfRule>
    <cfRule type="cellIs" dxfId="998" priority="951" operator="equal">
      <formula>"Alto"</formula>
    </cfRule>
    <cfRule type="cellIs" dxfId="997" priority="952" operator="equal">
      <formula>"Moderado"</formula>
    </cfRule>
    <cfRule type="cellIs" dxfId="996" priority="953" operator="equal">
      <formula>"Bajo"</formula>
    </cfRule>
  </conditionalFormatting>
  <conditionalFormatting sqref="AD275:AD280">
    <cfRule type="cellIs" dxfId="995" priority="945" operator="equal">
      <formula>"Muy Alta"</formula>
    </cfRule>
    <cfRule type="cellIs" dxfId="994" priority="946" operator="equal">
      <formula>"Alta"</formula>
    </cfRule>
    <cfRule type="cellIs" dxfId="993" priority="947" operator="equal">
      <formula>"Media"</formula>
    </cfRule>
    <cfRule type="cellIs" dxfId="992" priority="948" operator="equal">
      <formula>"Baja"</formula>
    </cfRule>
    <cfRule type="cellIs" dxfId="991" priority="949" operator="equal">
      <formula>"Muy Baja"</formula>
    </cfRule>
  </conditionalFormatting>
  <conditionalFormatting sqref="AF275:AF280">
    <cfRule type="cellIs" dxfId="990" priority="940" operator="equal">
      <formula>"Catastrófico"</formula>
    </cfRule>
    <cfRule type="cellIs" dxfId="989" priority="941" operator="equal">
      <formula>"Mayor"</formula>
    </cfRule>
    <cfRule type="cellIs" dxfId="988" priority="942" operator="equal">
      <formula>"Moderado"</formula>
    </cfRule>
    <cfRule type="cellIs" dxfId="987" priority="943" operator="equal">
      <formula>"Menor"</formula>
    </cfRule>
    <cfRule type="cellIs" dxfId="986" priority="944" operator="equal">
      <formula>"Leve"</formula>
    </cfRule>
  </conditionalFormatting>
  <conditionalFormatting sqref="AH275:AH280">
    <cfRule type="cellIs" dxfId="985" priority="936" operator="equal">
      <formula>"Extremo"</formula>
    </cfRule>
    <cfRule type="cellIs" dxfId="984" priority="937" operator="equal">
      <formula>"Alto"</formula>
    </cfRule>
    <cfRule type="cellIs" dxfId="983" priority="938" operator="equal">
      <formula>"Moderado"</formula>
    </cfRule>
    <cfRule type="cellIs" dxfId="982" priority="939" operator="equal">
      <formula>"Bajo"</formula>
    </cfRule>
  </conditionalFormatting>
  <conditionalFormatting sqref="O275:O280">
    <cfRule type="containsText" dxfId="981" priority="935" operator="containsText" text="❌">
      <formula>NOT(ISERROR(SEARCH("❌",O275)))</formula>
    </cfRule>
  </conditionalFormatting>
  <conditionalFormatting sqref="C275">
    <cfRule type="cellIs" dxfId="980" priority="917" operator="equal">
      <formula>#REF!</formula>
    </cfRule>
    <cfRule type="cellIs" dxfId="979" priority="918" operator="equal">
      <formula>#REF!</formula>
    </cfRule>
    <cfRule type="cellIs" dxfId="978" priority="919" operator="equal">
      <formula>#REF!</formula>
    </cfRule>
    <cfRule type="cellIs" dxfId="977" priority="920" operator="equal">
      <formula>#REF!</formula>
    </cfRule>
    <cfRule type="cellIs" dxfId="976" priority="921" operator="equal">
      <formula>#REF!</formula>
    </cfRule>
    <cfRule type="cellIs" dxfId="975" priority="922" operator="equal">
      <formula>#REF!</formula>
    </cfRule>
    <cfRule type="cellIs" dxfId="974" priority="923" operator="equal">
      <formula>#REF!</formula>
    </cfRule>
    <cfRule type="cellIs" dxfId="973" priority="924" operator="equal">
      <formula>#REF!</formula>
    </cfRule>
    <cfRule type="cellIs" dxfId="972" priority="925" operator="equal">
      <formula>#REF!</formula>
    </cfRule>
    <cfRule type="cellIs" dxfId="971" priority="926" operator="equal">
      <formula>#REF!</formula>
    </cfRule>
    <cfRule type="cellIs" dxfId="970" priority="927" operator="equal">
      <formula>#REF!</formula>
    </cfRule>
    <cfRule type="cellIs" dxfId="969" priority="928" operator="equal">
      <formula>#REF!</formula>
    </cfRule>
    <cfRule type="cellIs" dxfId="968" priority="929" operator="equal">
      <formula>#REF!</formula>
    </cfRule>
    <cfRule type="cellIs" dxfId="967" priority="930" operator="equal">
      <formula>#REF!</formula>
    </cfRule>
    <cfRule type="cellIs" dxfId="966" priority="931" operator="equal">
      <formula>#REF!</formula>
    </cfRule>
    <cfRule type="cellIs" dxfId="965" priority="932" operator="equal">
      <formula>#REF!</formula>
    </cfRule>
    <cfRule type="cellIs" dxfId="964" priority="933" operator="equal">
      <formula>#REF!</formula>
    </cfRule>
    <cfRule type="cellIs" dxfId="963" priority="934" operator="equal">
      <formula>#REF!</formula>
    </cfRule>
  </conditionalFormatting>
  <conditionalFormatting sqref="L269">
    <cfRule type="cellIs" dxfId="962" priority="912" operator="equal">
      <formula>"Muy Alta"</formula>
    </cfRule>
    <cfRule type="cellIs" dxfId="961" priority="913" operator="equal">
      <formula>"Alta"</formula>
    </cfRule>
    <cfRule type="cellIs" dxfId="960" priority="914" operator="equal">
      <formula>"Media"</formula>
    </cfRule>
    <cfRule type="cellIs" dxfId="959" priority="915" operator="equal">
      <formula>"Baja"</formula>
    </cfRule>
    <cfRule type="cellIs" dxfId="958" priority="916" operator="equal">
      <formula>"Muy Baja"</formula>
    </cfRule>
  </conditionalFormatting>
  <conditionalFormatting sqref="P269">
    <cfRule type="cellIs" dxfId="957" priority="907" operator="equal">
      <formula>"Catastrófico"</formula>
    </cfRule>
    <cfRule type="cellIs" dxfId="956" priority="908" operator="equal">
      <formula>"Mayor"</formula>
    </cfRule>
    <cfRule type="cellIs" dxfId="955" priority="909" operator="equal">
      <formula>"Moderado"</formula>
    </cfRule>
    <cfRule type="cellIs" dxfId="954" priority="910" operator="equal">
      <formula>"Menor"</formula>
    </cfRule>
    <cfRule type="cellIs" dxfId="953" priority="911" operator="equal">
      <formula>"Leve"</formula>
    </cfRule>
  </conditionalFormatting>
  <conditionalFormatting sqref="R269">
    <cfRule type="cellIs" dxfId="952" priority="903" operator="equal">
      <formula>"Extremo"</formula>
    </cfRule>
    <cfRule type="cellIs" dxfId="951" priority="904" operator="equal">
      <formula>"Alto"</formula>
    </cfRule>
    <cfRule type="cellIs" dxfId="950" priority="905" operator="equal">
      <formula>"Moderado"</formula>
    </cfRule>
    <cfRule type="cellIs" dxfId="949" priority="906" operator="equal">
      <formula>"Bajo"</formula>
    </cfRule>
  </conditionalFormatting>
  <conditionalFormatting sqref="AD269:AD274">
    <cfRule type="cellIs" dxfId="948" priority="898" operator="equal">
      <formula>"Muy Alta"</formula>
    </cfRule>
    <cfRule type="cellIs" dxfId="947" priority="899" operator="equal">
      <formula>"Alta"</formula>
    </cfRule>
    <cfRule type="cellIs" dxfId="946" priority="900" operator="equal">
      <formula>"Media"</formula>
    </cfRule>
    <cfRule type="cellIs" dxfId="945" priority="901" operator="equal">
      <formula>"Baja"</formula>
    </cfRule>
    <cfRule type="cellIs" dxfId="944" priority="902" operator="equal">
      <formula>"Muy Baja"</formula>
    </cfRule>
  </conditionalFormatting>
  <conditionalFormatting sqref="AF269:AF274">
    <cfRule type="cellIs" dxfId="943" priority="893" operator="equal">
      <formula>"Catastrófico"</formula>
    </cfRule>
    <cfRule type="cellIs" dxfId="942" priority="894" operator="equal">
      <formula>"Mayor"</formula>
    </cfRule>
    <cfRule type="cellIs" dxfId="941" priority="895" operator="equal">
      <formula>"Moderado"</formula>
    </cfRule>
    <cfRule type="cellIs" dxfId="940" priority="896" operator="equal">
      <formula>"Menor"</formula>
    </cfRule>
    <cfRule type="cellIs" dxfId="939" priority="897" operator="equal">
      <formula>"Leve"</formula>
    </cfRule>
  </conditionalFormatting>
  <conditionalFormatting sqref="AH269:AH274">
    <cfRule type="cellIs" dxfId="938" priority="889" operator="equal">
      <formula>"Extremo"</formula>
    </cfRule>
    <cfRule type="cellIs" dxfId="937" priority="890" operator="equal">
      <formula>"Alto"</formula>
    </cfRule>
    <cfRule type="cellIs" dxfId="936" priority="891" operator="equal">
      <formula>"Moderado"</formula>
    </cfRule>
    <cfRule type="cellIs" dxfId="935" priority="892" operator="equal">
      <formula>"Bajo"</formula>
    </cfRule>
  </conditionalFormatting>
  <conditionalFormatting sqref="O269:O274">
    <cfRule type="containsText" dxfId="934" priority="888" operator="containsText" text="❌">
      <formula>NOT(ISERROR(SEARCH("❌",O269)))</formula>
    </cfRule>
  </conditionalFormatting>
  <conditionalFormatting sqref="C269">
    <cfRule type="cellIs" dxfId="933" priority="870" operator="equal">
      <formula>#REF!</formula>
    </cfRule>
    <cfRule type="cellIs" dxfId="932" priority="871" operator="equal">
      <formula>#REF!</formula>
    </cfRule>
    <cfRule type="cellIs" dxfId="931" priority="872" operator="equal">
      <formula>#REF!</formula>
    </cfRule>
    <cfRule type="cellIs" dxfId="930" priority="873" operator="equal">
      <formula>#REF!</formula>
    </cfRule>
    <cfRule type="cellIs" dxfId="929" priority="874" operator="equal">
      <formula>#REF!</formula>
    </cfRule>
    <cfRule type="cellIs" dxfId="928" priority="875" operator="equal">
      <formula>#REF!</formula>
    </cfRule>
    <cfRule type="cellIs" dxfId="927" priority="876" operator="equal">
      <formula>#REF!</formula>
    </cfRule>
    <cfRule type="cellIs" dxfId="926" priority="877" operator="equal">
      <formula>#REF!</formula>
    </cfRule>
    <cfRule type="cellIs" dxfId="925" priority="878" operator="equal">
      <formula>#REF!</formula>
    </cfRule>
    <cfRule type="cellIs" dxfId="924" priority="879" operator="equal">
      <formula>#REF!</formula>
    </cfRule>
    <cfRule type="cellIs" dxfId="923" priority="880" operator="equal">
      <formula>#REF!</formula>
    </cfRule>
    <cfRule type="cellIs" dxfId="922" priority="881" operator="equal">
      <formula>#REF!</formula>
    </cfRule>
    <cfRule type="cellIs" dxfId="921" priority="882" operator="equal">
      <formula>#REF!</formula>
    </cfRule>
    <cfRule type="cellIs" dxfId="920" priority="883" operator="equal">
      <formula>#REF!</formula>
    </cfRule>
    <cfRule type="cellIs" dxfId="919" priority="884" operator="equal">
      <formula>#REF!</formula>
    </cfRule>
    <cfRule type="cellIs" dxfId="918" priority="885" operator="equal">
      <formula>#REF!</formula>
    </cfRule>
    <cfRule type="cellIs" dxfId="917" priority="886" operator="equal">
      <formula>#REF!</formula>
    </cfRule>
    <cfRule type="cellIs" dxfId="916" priority="887" operator="equal">
      <formula>#REF!</formula>
    </cfRule>
  </conditionalFormatting>
  <conditionalFormatting sqref="L263">
    <cfRule type="cellIs" dxfId="915" priority="771" operator="equal">
      <formula>"Muy Alta"</formula>
    </cfRule>
    <cfRule type="cellIs" dxfId="914" priority="772" operator="equal">
      <formula>"Alta"</formula>
    </cfRule>
    <cfRule type="cellIs" dxfId="913" priority="773" operator="equal">
      <formula>"Media"</formula>
    </cfRule>
    <cfRule type="cellIs" dxfId="912" priority="774" operator="equal">
      <formula>"Baja"</formula>
    </cfRule>
    <cfRule type="cellIs" dxfId="911" priority="775" operator="equal">
      <formula>"Muy Baja"</formula>
    </cfRule>
  </conditionalFormatting>
  <conditionalFormatting sqref="P263">
    <cfRule type="cellIs" dxfId="910" priority="766" operator="equal">
      <formula>"Catastrófico"</formula>
    </cfRule>
    <cfRule type="cellIs" dxfId="909" priority="767" operator="equal">
      <formula>"Mayor"</formula>
    </cfRule>
    <cfRule type="cellIs" dxfId="908" priority="768" operator="equal">
      <formula>"Moderado"</formula>
    </cfRule>
    <cfRule type="cellIs" dxfId="907" priority="769" operator="equal">
      <formula>"Menor"</formula>
    </cfRule>
    <cfRule type="cellIs" dxfId="906" priority="770" operator="equal">
      <formula>"Leve"</formula>
    </cfRule>
  </conditionalFormatting>
  <conditionalFormatting sqref="R263">
    <cfRule type="cellIs" dxfId="905" priority="762" operator="equal">
      <formula>"Extremo"</formula>
    </cfRule>
    <cfRule type="cellIs" dxfId="904" priority="763" operator="equal">
      <formula>"Alto"</formula>
    </cfRule>
    <cfRule type="cellIs" dxfId="903" priority="764" operator="equal">
      <formula>"Moderado"</formula>
    </cfRule>
    <cfRule type="cellIs" dxfId="902" priority="765" operator="equal">
      <formula>"Bajo"</formula>
    </cfRule>
  </conditionalFormatting>
  <conditionalFormatting sqref="AD263:AD268">
    <cfRule type="cellIs" dxfId="901" priority="757" operator="equal">
      <formula>"Muy Alta"</formula>
    </cfRule>
    <cfRule type="cellIs" dxfId="900" priority="758" operator="equal">
      <formula>"Alta"</formula>
    </cfRule>
    <cfRule type="cellIs" dxfId="899" priority="759" operator="equal">
      <formula>"Media"</formula>
    </cfRule>
    <cfRule type="cellIs" dxfId="898" priority="760" operator="equal">
      <formula>"Baja"</formula>
    </cfRule>
    <cfRule type="cellIs" dxfId="897" priority="761" operator="equal">
      <formula>"Muy Baja"</formula>
    </cfRule>
  </conditionalFormatting>
  <conditionalFormatting sqref="AF263:AF268">
    <cfRule type="cellIs" dxfId="896" priority="752" operator="equal">
      <formula>"Catastrófico"</formula>
    </cfRule>
    <cfRule type="cellIs" dxfId="895" priority="753" operator="equal">
      <formula>"Mayor"</formula>
    </cfRule>
    <cfRule type="cellIs" dxfId="894" priority="754" operator="equal">
      <formula>"Moderado"</formula>
    </cfRule>
    <cfRule type="cellIs" dxfId="893" priority="755" operator="equal">
      <formula>"Menor"</formula>
    </cfRule>
    <cfRule type="cellIs" dxfId="892" priority="756" operator="equal">
      <formula>"Leve"</formula>
    </cfRule>
  </conditionalFormatting>
  <conditionalFormatting sqref="AH263:AH268">
    <cfRule type="cellIs" dxfId="891" priority="748" operator="equal">
      <formula>"Extremo"</formula>
    </cfRule>
    <cfRule type="cellIs" dxfId="890" priority="749" operator="equal">
      <formula>"Alto"</formula>
    </cfRule>
    <cfRule type="cellIs" dxfId="889" priority="750" operator="equal">
      <formula>"Moderado"</formula>
    </cfRule>
    <cfRule type="cellIs" dxfId="888" priority="751" operator="equal">
      <formula>"Bajo"</formula>
    </cfRule>
  </conditionalFormatting>
  <conditionalFormatting sqref="O263:O268">
    <cfRule type="containsText" dxfId="887" priority="747" operator="containsText" text="❌">
      <formula>NOT(ISERROR(SEARCH("❌",O263)))</formula>
    </cfRule>
  </conditionalFormatting>
  <conditionalFormatting sqref="C263">
    <cfRule type="cellIs" dxfId="886" priority="729" operator="equal">
      <formula>#REF!</formula>
    </cfRule>
    <cfRule type="cellIs" dxfId="885" priority="730" operator="equal">
      <formula>#REF!</formula>
    </cfRule>
    <cfRule type="cellIs" dxfId="884" priority="731" operator="equal">
      <formula>#REF!</formula>
    </cfRule>
    <cfRule type="cellIs" dxfId="883" priority="732" operator="equal">
      <formula>#REF!</formula>
    </cfRule>
    <cfRule type="cellIs" dxfId="882" priority="733" operator="equal">
      <formula>#REF!</formula>
    </cfRule>
    <cfRule type="cellIs" dxfId="881" priority="734" operator="equal">
      <formula>#REF!</formula>
    </cfRule>
    <cfRule type="cellIs" dxfId="880" priority="735" operator="equal">
      <formula>#REF!</formula>
    </cfRule>
    <cfRule type="cellIs" dxfId="879" priority="736" operator="equal">
      <formula>#REF!</formula>
    </cfRule>
    <cfRule type="cellIs" dxfId="878" priority="737" operator="equal">
      <formula>#REF!</formula>
    </cfRule>
    <cfRule type="cellIs" dxfId="877" priority="738" operator="equal">
      <formula>#REF!</formula>
    </cfRule>
    <cfRule type="cellIs" dxfId="876" priority="739" operator="equal">
      <formula>#REF!</formula>
    </cfRule>
    <cfRule type="cellIs" dxfId="875" priority="740" operator="equal">
      <formula>#REF!</formula>
    </cfRule>
    <cfRule type="cellIs" dxfId="874" priority="741" operator="equal">
      <formula>#REF!</formula>
    </cfRule>
    <cfRule type="cellIs" dxfId="873" priority="742" operator="equal">
      <formula>#REF!</formula>
    </cfRule>
    <cfRule type="cellIs" dxfId="872" priority="743" operator="equal">
      <formula>#REF!</formula>
    </cfRule>
    <cfRule type="cellIs" dxfId="871" priority="744" operator="equal">
      <formula>#REF!</formula>
    </cfRule>
    <cfRule type="cellIs" dxfId="870" priority="745" operator="equal">
      <formula>#REF!</formula>
    </cfRule>
    <cfRule type="cellIs" dxfId="869" priority="746" operator="equal">
      <formula>#REF!</formula>
    </cfRule>
  </conditionalFormatting>
  <conditionalFormatting sqref="L287">
    <cfRule type="cellIs" dxfId="868" priority="578" operator="equal">
      <formula>"Muy Alta"</formula>
    </cfRule>
    <cfRule type="cellIs" dxfId="867" priority="579" operator="equal">
      <formula>"Alta"</formula>
    </cfRule>
    <cfRule type="cellIs" dxfId="866" priority="580" operator="equal">
      <formula>"Media"</formula>
    </cfRule>
    <cfRule type="cellIs" dxfId="865" priority="581" operator="equal">
      <formula>"Baja"</formula>
    </cfRule>
    <cfRule type="cellIs" dxfId="864" priority="582" operator="equal">
      <formula>"Muy Baja"</formula>
    </cfRule>
  </conditionalFormatting>
  <conditionalFormatting sqref="P287">
    <cfRule type="cellIs" dxfId="863" priority="573" operator="equal">
      <formula>"Catastrófico"</formula>
    </cfRule>
    <cfRule type="cellIs" dxfId="862" priority="574" operator="equal">
      <formula>"Mayor"</formula>
    </cfRule>
    <cfRule type="cellIs" dxfId="861" priority="575" operator="equal">
      <formula>"Moderado"</formula>
    </cfRule>
    <cfRule type="cellIs" dxfId="860" priority="576" operator="equal">
      <formula>"Menor"</formula>
    </cfRule>
    <cfRule type="cellIs" dxfId="859" priority="577" operator="equal">
      <formula>"Leve"</formula>
    </cfRule>
  </conditionalFormatting>
  <conditionalFormatting sqref="R287">
    <cfRule type="cellIs" dxfId="858" priority="569" operator="equal">
      <formula>"Extremo"</formula>
    </cfRule>
    <cfRule type="cellIs" dxfId="857" priority="570" operator="equal">
      <formula>"Alto"</formula>
    </cfRule>
    <cfRule type="cellIs" dxfId="856" priority="571" operator="equal">
      <formula>"Moderado"</formula>
    </cfRule>
    <cfRule type="cellIs" dxfId="855" priority="572" operator="equal">
      <formula>"Bajo"</formula>
    </cfRule>
  </conditionalFormatting>
  <conditionalFormatting sqref="AD287:AD292">
    <cfRule type="cellIs" dxfId="854" priority="564" operator="equal">
      <formula>"Muy Alta"</formula>
    </cfRule>
    <cfRule type="cellIs" dxfId="853" priority="565" operator="equal">
      <formula>"Alta"</formula>
    </cfRule>
    <cfRule type="cellIs" dxfId="852" priority="566" operator="equal">
      <formula>"Media"</formula>
    </cfRule>
    <cfRule type="cellIs" dxfId="851" priority="567" operator="equal">
      <formula>"Baja"</formula>
    </cfRule>
    <cfRule type="cellIs" dxfId="850" priority="568" operator="equal">
      <formula>"Muy Baja"</formula>
    </cfRule>
  </conditionalFormatting>
  <conditionalFormatting sqref="AF287:AF292">
    <cfRule type="cellIs" dxfId="849" priority="559" operator="equal">
      <formula>"Catastrófico"</formula>
    </cfRule>
    <cfRule type="cellIs" dxfId="848" priority="560" operator="equal">
      <formula>"Mayor"</formula>
    </cfRule>
    <cfRule type="cellIs" dxfId="847" priority="561" operator="equal">
      <formula>"Moderado"</formula>
    </cfRule>
    <cfRule type="cellIs" dxfId="846" priority="562" operator="equal">
      <formula>"Menor"</formula>
    </cfRule>
    <cfRule type="cellIs" dxfId="845" priority="563" operator="equal">
      <formula>"Leve"</formula>
    </cfRule>
  </conditionalFormatting>
  <conditionalFormatting sqref="AH287:AH292">
    <cfRule type="cellIs" dxfId="844" priority="555" operator="equal">
      <formula>"Extremo"</formula>
    </cfRule>
    <cfRule type="cellIs" dxfId="843" priority="556" operator="equal">
      <formula>"Alto"</formula>
    </cfRule>
    <cfRule type="cellIs" dxfId="842" priority="557" operator="equal">
      <formula>"Moderado"</formula>
    </cfRule>
    <cfRule type="cellIs" dxfId="841" priority="558" operator="equal">
      <formula>"Bajo"</formula>
    </cfRule>
  </conditionalFormatting>
  <conditionalFormatting sqref="O287:O292">
    <cfRule type="containsText" dxfId="840" priority="554" operator="containsText" text="❌">
      <formula>NOT(ISERROR(SEARCH("❌",O287)))</formula>
    </cfRule>
  </conditionalFormatting>
  <conditionalFormatting sqref="C287">
    <cfRule type="cellIs" dxfId="839" priority="536" operator="equal">
      <formula>#REF!</formula>
    </cfRule>
    <cfRule type="cellIs" dxfId="838" priority="537" operator="equal">
      <formula>#REF!</formula>
    </cfRule>
    <cfRule type="cellIs" dxfId="837" priority="538" operator="equal">
      <formula>#REF!</formula>
    </cfRule>
    <cfRule type="cellIs" dxfId="836" priority="539" operator="equal">
      <formula>#REF!</formula>
    </cfRule>
    <cfRule type="cellIs" dxfId="835" priority="540" operator="equal">
      <formula>#REF!</formula>
    </cfRule>
    <cfRule type="cellIs" dxfId="834" priority="541" operator="equal">
      <formula>#REF!</formula>
    </cfRule>
    <cfRule type="cellIs" dxfId="833" priority="542" operator="equal">
      <formula>#REF!</formula>
    </cfRule>
    <cfRule type="cellIs" dxfId="832" priority="543" operator="equal">
      <formula>#REF!</formula>
    </cfRule>
    <cfRule type="cellIs" dxfId="831" priority="544" operator="equal">
      <formula>#REF!</formula>
    </cfRule>
    <cfRule type="cellIs" dxfId="830" priority="545" operator="equal">
      <formula>#REF!</formula>
    </cfRule>
    <cfRule type="cellIs" dxfId="829" priority="546" operator="equal">
      <formula>#REF!</formula>
    </cfRule>
    <cfRule type="cellIs" dxfId="828" priority="547" operator="equal">
      <formula>#REF!</formula>
    </cfRule>
    <cfRule type="cellIs" dxfId="827" priority="548" operator="equal">
      <formula>#REF!</formula>
    </cfRule>
    <cfRule type="cellIs" dxfId="826" priority="549" operator="equal">
      <formula>#REF!</formula>
    </cfRule>
    <cfRule type="cellIs" dxfId="825" priority="550" operator="equal">
      <formula>#REF!</formula>
    </cfRule>
    <cfRule type="cellIs" dxfId="824" priority="551" operator="equal">
      <formula>#REF!</formula>
    </cfRule>
    <cfRule type="cellIs" dxfId="823" priority="552" operator="equal">
      <formula>#REF!</formula>
    </cfRule>
    <cfRule type="cellIs" dxfId="822" priority="553" operator="equal">
      <formula>#REF!</formula>
    </cfRule>
  </conditionalFormatting>
  <conditionalFormatting sqref="C43">
    <cfRule type="cellIs" dxfId="821" priority="489" operator="equal">
      <formula>#REF!</formula>
    </cfRule>
    <cfRule type="cellIs" dxfId="820" priority="490" operator="equal">
      <formula>#REF!</formula>
    </cfRule>
    <cfRule type="cellIs" dxfId="819" priority="491" operator="equal">
      <formula>#REF!</formula>
    </cfRule>
    <cfRule type="cellIs" dxfId="818" priority="492" operator="equal">
      <formula>#REF!</formula>
    </cfRule>
    <cfRule type="cellIs" dxfId="817" priority="493" operator="equal">
      <formula>#REF!</formula>
    </cfRule>
    <cfRule type="cellIs" dxfId="816" priority="494" operator="equal">
      <formula>#REF!</formula>
    </cfRule>
    <cfRule type="cellIs" dxfId="815" priority="495" operator="equal">
      <formula>#REF!</formula>
    </cfRule>
    <cfRule type="cellIs" dxfId="814" priority="496" operator="equal">
      <formula>#REF!</formula>
    </cfRule>
    <cfRule type="cellIs" dxfId="813" priority="497" operator="equal">
      <formula>#REF!</formula>
    </cfRule>
    <cfRule type="cellIs" dxfId="812" priority="498" operator="equal">
      <formula>#REF!</formula>
    </cfRule>
    <cfRule type="cellIs" dxfId="811" priority="499" operator="equal">
      <formula>#REF!</formula>
    </cfRule>
    <cfRule type="cellIs" dxfId="810" priority="500" operator="equal">
      <formula>#REF!</formula>
    </cfRule>
    <cfRule type="cellIs" dxfId="809" priority="501" operator="equal">
      <formula>#REF!</formula>
    </cfRule>
    <cfRule type="cellIs" dxfId="808" priority="502" operator="equal">
      <formula>#REF!</formula>
    </cfRule>
    <cfRule type="cellIs" dxfId="807" priority="503" operator="equal">
      <formula>#REF!</formula>
    </cfRule>
    <cfRule type="cellIs" dxfId="806" priority="504" operator="equal">
      <formula>#REF!</formula>
    </cfRule>
    <cfRule type="cellIs" dxfId="805" priority="505" operator="equal">
      <formula>#REF!</formula>
    </cfRule>
    <cfRule type="cellIs" dxfId="804" priority="506" operator="equal">
      <formula>#REF!</formula>
    </cfRule>
  </conditionalFormatting>
  <conditionalFormatting sqref="L43">
    <cfRule type="cellIs" dxfId="803" priority="531" operator="equal">
      <formula>"Muy Alta"</formula>
    </cfRule>
    <cfRule type="cellIs" dxfId="802" priority="532" operator="equal">
      <formula>"Alta"</formula>
    </cfRule>
    <cfRule type="cellIs" dxfId="801" priority="533" operator="equal">
      <formula>"Media"</formula>
    </cfRule>
    <cfRule type="cellIs" dxfId="800" priority="534" operator="equal">
      <formula>"Baja"</formula>
    </cfRule>
    <cfRule type="cellIs" dxfId="799" priority="535" operator="equal">
      <formula>"Muy Baja"</formula>
    </cfRule>
  </conditionalFormatting>
  <conditionalFormatting sqref="P43">
    <cfRule type="cellIs" dxfId="798" priority="526" operator="equal">
      <formula>"Catastrófico"</formula>
    </cfRule>
    <cfRule type="cellIs" dxfId="797" priority="527" operator="equal">
      <formula>"Mayor"</formula>
    </cfRule>
    <cfRule type="cellIs" dxfId="796" priority="528" operator="equal">
      <formula>"Moderado"</formula>
    </cfRule>
    <cfRule type="cellIs" dxfId="795" priority="529" operator="equal">
      <formula>"Menor"</formula>
    </cfRule>
    <cfRule type="cellIs" dxfId="794" priority="530" operator="equal">
      <formula>"Leve"</formula>
    </cfRule>
  </conditionalFormatting>
  <conditionalFormatting sqref="R43">
    <cfRule type="cellIs" dxfId="793" priority="522" operator="equal">
      <formula>"Extremo"</formula>
    </cfRule>
    <cfRule type="cellIs" dxfId="792" priority="523" operator="equal">
      <formula>"Alto"</formula>
    </cfRule>
    <cfRule type="cellIs" dxfId="791" priority="524" operator="equal">
      <formula>"Moderado"</formula>
    </cfRule>
    <cfRule type="cellIs" dxfId="790" priority="525" operator="equal">
      <formula>"Bajo"</formula>
    </cfRule>
  </conditionalFormatting>
  <conditionalFormatting sqref="AD43:AD48">
    <cfRule type="cellIs" dxfId="789" priority="517" operator="equal">
      <formula>"Muy Alta"</formula>
    </cfRule>
    <cfRule type="cellIs" dxfId="788" priority="518" operator="equal">
      <formula>"Alta"</formula>
    </cfRule>
    <cfRule type="cellIs" dxfId="787" priority="519" operator="equal">
      <formula>"Media"</formula>
    </cfRule>
    <cfRule type="cellIs" dxfId="786" priority="520" operator="equal">
      <formula>"Baja"</formula>
    </cfRule>
    <cfRule type="cellIs" dxfId="785" priority="521" operator="equal">
      <formula>"Muy Baja"</formula>
    </cfRule>
  </conditionalFormatting>
  <conditionalFormatting sqref="AF43:AF48">
    <cfRule type="cellIs" dxfId="784" priority="512" operator="equal">
      <formula>"Catastrófico"</formula>
    </cfRule>
    <cfRule type="cellIs" dxfId="783" priority="513" operator="equal">
      <formula>"Mayor"</formula>
    </cfRule>
    <cfRule type="cellIs" dxfId="782" priority="514" operator="equal">
      <formula>"Moderado"</formula>
    </cfRule>
    <cfRule type="cellIs" dxfId="781" priority="515" operator="equal">
      <formula>"Menor"</formula>
    </cfRule>
    <cfRule type="cellIs" dxfId="780" priority="516" operator="equal">
      <formula>"Leve"</formula>
    </cfRule>
  </conditionalFormatting>
  <conditionalFormatting sqref="AH43:AH48">
    <cfRule type="cellIs" dxfId="779" priority="508" operator="equal">
      <formula>"Extremo"</formula>
    </cfRule>
    <cfRule type="cellIs" dxfId="778" priority="509" operator="equal">
      <formula>"Alto"</formula>
    </cfRule>
    <cfRule type="cellIs" dxfId="777" priority="510" operator="equal">
      <formula>"Moderado"</formula>
    </cfRule>
    <cfRule type="cellIs" dxfId="776" priority="511" operator="equal">
      <formula>"Bajo"</formula>
    </cfRule>
  </conditionalFormatting>
  <conditionalFormatting sqref="O43:O48">
    <cfRule type="containsText" dxfId="775" priority="507" operator="containsText" text="❌">
      <formula>NOT(ISERROR(SEARCH("❌",O43)))</formula>
    </cfRule>
  </conditionalFormatting>
  <conditionalFormatting sqref="C13">
    <cfRule type="cellIs" dxfId="774" priority="471" operator="equal">
      <formula>#REF!</formula>
    </cfRule>
    <cfRule type="cellIs" dxfId="773" priority="472" operator="equal">
      <formula>#REF!</formula>
    </cfRule>
    <cfRule type="cellIs" dxfId="772" priority="473" operator="equal">
      <formula>#REF!</formula>
    </cfRule>
    <cfRule type="cellIs" dxfId="771" priority="474" operator="equal">
      <formula>#REF!</formula>
    </cfRule>
    <cfRule type="cellIs" dxfId="770" priority="475" operator="equal">
      <formula>#REF!</formula>
    </cfRule>
    <cfRule type="cellIs" dxfId="769" priority="476" operator="equal">
      <formula>#REF!</formula>
    </cfRule>
    <cfRule type="cellIs" dxfId="768" priority="477" operator="equal">
      <formula>#REF!</formula>
    </cfRule>
    <cfRule type="cellIs" dxfId="767" priority="478" operator="equal">
      <formula>#REF!</formula>
    </cfRule>
    <cfRule type="cellIs" dxfId="766" priority="479" operator="equal">
      <formula>#REF!</formula>
    </cfRule>
    <cfRule type="cellIs" dxfId="765" priority="480" operator="equal">
      <formula>#REF!</formula>
    </cfRule>
    <cfRule type="cellIs" dxfId="764" priority="481" operator="equal">
      <formula>#REF!</formula>
    </cfRule>
    <cfRule type="cellIs" dxfId="763" priority="482" operator="equal">
      <formula>#REF!</formula>
    </cfRule>
    <cfRule type="cellIs" dxfId="762" priority="483" operator="equal">
      <formula>#REF!</formula>
    </cfRule>
    <cfRule type="cellIs" dxfId="761" priority="484" operator="equal">
      <formula>#REF!</formula>
    </cfRule>
    <cfRule type="cellIs" dxfId="760" priority="485" operator="equal">
      <formula>#REF!</formula>
    </cfRule>
    <cfRule type="cellIs" dxfId="759" priority="486" operator="equal">
      <formula>#REF!</formula>
    </cfRule>
    <cfRule type="cellIs" dxfId="758" priority="487" operator="equal">
      <formula>#REF!</formula>
    </cfRule>
    <cfRule type="cellIs" dxfId="757" priority="488" operator="equal">
      <formula>#REF!</formula>
    </cfRule>
  </conditionalFormatting>
  <conditionalFormatting sqref="L13">
    <cfRule type="cellIs" dxfId="756" priority="466" operator="equal">
      <formula>"Muy Alta"</formula>
    </cfRule>
    <cfRule type="cellIs" dxfId="755" priority="467" operator="equal">
      <formula>"Alta"</formula>
    </cfRule>
    <cfRule type="cellIs" dxfId="754" priority="468" operator="equal">
      <formula>"Media"</formula>
    </cfRule>
    <cfRule type="cellIs" dxfId="753" priority="469" operator="equal">
      <formula>"Baja"</formula>
    </cfRule>
    <cfRule type="cellIs" dxfId="752" priority="470" operator="equal">
      <formula>"Muy Baja"</formula>
    </cfRule>
  </conditionalFormatting>
  <conditionalFormatting sqref="P13">
    <cfRule type="cellIs" dxfId="751" priority="461" operator="equal">
      <formula>"Catastrófico"</formula>
    </cfRule>
    <cfRule type="cellIs" dxfId="750" priority="462" operator="equal">
      <formula>"Mayor"</formula>
    </cfRule>
    <cfRule type="cellIs" dxfId="749" priority="463" operator="equal">
      <formula>"Moderado"</formula>
    </cfRule>
    <cfRule type="cellIs" dxfId="748" priority="464" operator="equal">
      <formula>"Menor"</formula>
    </cfRule>
    <cfRule type="cellIs" dxfId="747" priority="465" operator="equal">
      <formula>"Leve"</formula>
    </cfRule>
  </conditionalFormatting>
  <conditionalFormatting sqref="R13">
    <cfRule type="cellIs" dxfId="746" priority="457" operator="equal">
      <formula>"Extremo"</formula>
    </cfRule>
    <cfRule type="cellIs" dxfId="745" priority="458" operator="equal">
      <formula>"Alto"</formula>
    </cfRule>
    <cfRule type="cellIs" dxfId="744" priority="459" operator="equal">
      <formula>"Moderado"</formula>
    </cfRule>
    <cfRule type="cellIs" dxfId="743" priority="460" operator="equal">
      <formula>"Bajo"</formula>
    </cfRule>
  </conditionalFormatting>
  <conditionalFormatting sqref="AD13:AD18">
    <cfRule type="cellIs" dxfId="742" priority="452" operator="equal">
      <formula>"Muy Alta"</formula>
    </cfRule>
    <cfRule type="cellIs" dxfId="741" priority="453" operator="equal">
      <formula>"Alta"</formula>
    </cfRule>
    <cfRule type="cellIs" dxfId="740" priority="454" operator="equal">
      <formula>"Media"</formula>
    </cfRule>
    <cfRule type="cellIs" dxfId="739" priority="455" operator="equal">
      <formula>"Baja"</formula>
    </cfRule>
    <cfRule type="cellIs" dxfId="738" priority="456" operator="equal">
      <formula>"Muy Baja"</formula>
    </cfRule>
  </conditionalFormatting>
  <conditionalFormatting sqref="AF13:AF18">
    <cfRule type="cellIs" dxfId="737" priority="447" operator="equal">
      <formula>"Catastrófico"</formula>
    </cfRule>
    <cfRule type="cellIs" dxfId="736" priority="448" operator="equal">
      <formula>"Mayor"</formula>
    </cfRule>
    <cfRule type="cellIs" dxfId="735" priority="449" operator="equal">
      <formula>"Moderado"</formula>
    </cfRule>
    <cfRule type="cellIs" dxfId="734" priority="450" operator="equal">
      <formula>"Menor"</formula>
    </cfRule>
    <cfRule type="cellIs" dxfId="733" priority="451" operator="equal">
      <formula>"Leve"</formula>
    </cfRule>
  </conditionalFormatting>
  <conditionalFormatting sqref="AH13:AH18">
    <cfRule type="cellIs" dxfId="732" priority="443" operator="equal">
      <formula>"Extremo"</formula>
    </cfRule>
    <cfRule type="cellIs" dxfId="731" priority="444" operator="equal">
      <formula>"Alto"</formula>
    </cfRule>
    <cfRule type="cellIs" dxfId="730" priority="445" operator="equal">
      <formula>"Moderado"</formula>
    </cfRule>
    <cfRule type="cellIs" dxfId="729" priority="446" operator="equal">
      <formula>"Bajo"</formula>
    </cfRule>
  </conditionalFormatting>
  <conditionalFormatting sqref="O13:O18">
    <cfRule type="containsText" dxfId="728" priority="442" operator="containsText" text="❌">
      <formula>NOT(ISERROR(SEARCH("❌",O13)))</formula>
    </cfRule>
  </conditionalFormatting>
  <conditionalFormatting sqref="L25">
    <cfRule type="cellIs" dxfId="727" priority="437" operator="equal">
      <formula>"Muy Alta"</formula>
    </cfRule>
    <cfRule type="cellIs" dxfId="726" priority="438" operator="equal">
      <formula>"Alta"</formula>
    </cfRule>
    <cfRule type="cellIs" dxfId="725" priority="439" operator="equal">
      <formula>"Media"</formula>
    </cfRule>
    <cfRule type="cellIs" dxfId="724" priority="440" operator="equal">
      <formula>"Baja"</formula>
    </cfRule>
    <cfRule type="cellIs" dxfId="723" priority="441" operator="equal">
      <formula>"Muy Baja"</formula>
    </cfRule>
  </conditionalFormatting>
  <conditionalFormatting sqref="P25">
    <cfRule type="cellIs" dxfId="722" priority="432" operator="equal">
      <formula>"Catastrófico"</formula>
    </cfRule>
    <cfRule type="cellIs" dxfId="721" priority="433" operator="equal">
      <formula>"Mayor"</formula>
    </cfRule>
    <cfRule type="cellIs" dxfId="720" priority="434" operator="equal">
      <formula>"Moderado"</formula>
    </cfRule>
    <cfRule type="cellIs" dxfId="719" priority="435" operator="equal">
      <formula>"Menor"</formula>
    </cfRule>
    <cfRule type="cellIs" dxfId="718" priority="436" operator="equal">
      <formula>"Leve"</formula>
    </cfRule>
  </conditionalFormatting>
  <conditionalFormatting sqref="R25">
    <cfRule type="cellIs" dxfId="717" priority="428" operator="equal">
      <formula>"Extremo"</formula>
    </cfRule>
    <cfRule type="cellIs" dxfId="716" priority="429" operator="equal">
      <formula>"Alto"</formula>
    </cfRule>
    <cfRule type="cellIs" dxfId="715" priority="430" operator="equal">
      <formula>"Moderado"</formula>
    </cfRule>
    <cfRule type="cellIs" dxfId="714" priority="431" operator="equal">
      <formula>"Bajo"</formula>
    </cfRule>
  </conditionalFormatting>
  <conditionalFormatting sqref="AD25:AD30">
    <cfRule type="cellIs" dxfId="713" priority="423" operator="equal">
      <formula>"Muy Alta"</formula>
    </cfRule>
    <cfRule type="cellIs" dxfId="712" priority="424" operator="equal">
      <formula>"Alta"</formula>
    </cfRule>
    <cfRule type="cellIs" dxfId="711" priority="425" operator="equal">
      <formula>"Media"</formula>
    </cfRule>
    <cfRule type="cellIs" dxfId="710" priority="426" operator="equal">
      <formula>"Baja"</formula>
    </cfRule>
    <cfRule type="cellIs" dxfId="709" priority="427" operator="equal">
      <formula>"Muy Baja"</formula>
    </cfRule>
  </conditionalFormatting>
  <conditionalFormatting sqref="AF25:AF30">
    <cfRule type="cellIs" dxfId="708" priority="418" operator="equal">
      <formula>"Catastrófico"</formula>
    </cfRule>
    <cfRule type="cellIs" dxfId="707" priority="419" operator="equal">
      <formula>"Mayor"</formula>
    </cfRule>
    <cfRule type="cellIs" dxfId="706" priority="420" operator="equal">
      <formula>"Moderado"</formula>
    </cfRule>
    <cfRule type="cellIs" dxfId="705" priority="421" operator="equal">
      <formula>"Menor"</formula>
    </cfRule>
    <cfRule type="cellIs" dxfId="704" priority="422" operator="equal">
      <formula>"Leve"</formula>
    </cfRule>
  </conditionalFormatting>
  <conditionalFormatting sqref="AH25:AH30">
    <cfRule type="cellIs" dxfId="703" priority="414" operator="equal">
      <formula>"Extremo"</formula>
    </cfRule>
    <cfRule type="cellIs" dxfId="702" priority="415" operator="equal">
      <formula>"Alto"</formula>
    </cfRule>
    <cfRule type="cellIs" dxfId="701" priority="416" operator="equal">
      <formula>"Moderado"</formula>
    </cfRule>
    <cfRule type="cellIs" dxfId="700" priority="417" operator="equal">
      <formula>"Bajo"</formula>
    </cfRule>
  </conditionalFormatting>
  <conditionalFormatting sqref="O25:O30">
    <cfRule type="containsText" dxfId="699" priority="413" operator="containsText" text="❌">
      <formula>NOT(ISERROR(SEARCH("❌",O25)))</formula>
    </cfRule>
  </conditionalFormatting>
  <conditionalFormatting sqref="C25">
    <cfRule type="cellIs" dxfId="698" priority="395" operator="equal">
      <formula>#REF!</formula>
    </cfRule>
    <cfRule type="cellIs" dxfId="697" priority="396" operator="equal">
      <formula>#REF!</formula>
    </cfRule>
    <cfRule type="cellIs" dxfId="696" priority="397" operator="equal">
      <formula>#REF!</formula>
    </cfRule>
    <cfRule type="cellIs" dxfId="695" priority="398" operator="equal">
      <formula>#REF!</formula>
    </cfRule>
    <cfRule type="cellIs" dxfId="694" priority="399" operator="equal">
      <formula>#REF!</formula>
    </cfRule>
    <cfRule type="cellIs" dxfId="693" priority="400" operator="equal">
      <formula>#REF!</formula>
    </cfRule>
    <cfRule type="cellIs" dxfId="692" priority="401" operator="equal">
      <formula>#REF!</formula>
    </cfRule>
    <cfRule type="cellIs" dxfId="691" priority="402" operator="equal">
      <formula>#REF!</formula>
    </cfRule>
    <cfRule type="cellIs" dxfId="690" priority="403" operator="equal">
      <formula>#REF!</formula>
    </cfRule>
    <cfRule type="cellIs" dxfId="689" priority="404" operator="equal">
      <formula>#REF!</formula>
    </cfRule>
    <cfRule type="cellIs" dxfId="688" priority="405" operator="equal">
      <formula>#REF!</formula>
    </cfRule>
    <cfRule type="cellIs" dxfId="687" priority="406" operator="equal">
      <formula>#REF!</formula>
    </cfRule>
    <cfRule type="cellIs" dxfId="686" priority="407" operator="equal">
      <formula>#REF!</formula>
    </cfRule>
    <cfRule type="cellIs" dxfId="685" priority="408" operator="equal">
      <formula>#REF!</formula>
    </cfRule>
    <cfRule type="cellIs" dxfId="684" priority="409" operator="equal">
      <formula>#REF!</formula>
    </cfRule>
    <cfRule type="cellIs" dxfId="683" priority="410" operator="equal">
      <formula>#REF!</formula>
    </cfRule>
    <cfRule type="cellIs" dxfId="682" priority="411" operator="equal">
      <formula>#REF!</formula>
    </cfRule>
    <cfRule type="cellIs" dxfId="681" priority="412" operator="equal">
      <formula>#REF!</formula>
    </cfRule>
  </conditionalFormatting>
  <conditionalFormatting sqref="L31">
    <cfRule type="cellIs" dxfId="680" priority="296" operator="equal">
      <formula>"Muy Alta"</formula>
    </cfRule>
    <cfRule type="cellIs" dxfId="679" priority="297" operator="equal">
      <formula>"Alta"</formula>
    </cfRule>
    <cfRule type="cellIs" dxfId="678" priority="298" operator="equal">
      <formula>"Media"</formula>
    </cfRule>
    <cfRule type="cellIs" dxfId="677" priority="299" operator="equal">
      <formula>"Baja"</formula>
    </cfRule>
    <cfRule type="cellIs" dxfId="676" priority="300" operator="equal">
      <formula>"Muy Baja"</formula>
    </cfRule>
  </conditionalFormatting>
  <conditionalFormatting sqref="P31">
    <cfRule type="cellIs" dxfId="675" priority="291" operator="equal">
      <formula>"Catastrófico"</formula>
    </cfRule>
    <cfRule type="cellIs" dxfId="674" priority="292" operator="equal">
      <formula>"Mayor"</formula>
    </cfRule>
    <cfRule type="cellIs" dxfId="673" priority="293" operator="equal">
      <formula>"Moderado"</formula>
    </cfRule>
    <cfRule type="cellIs" dxfId="672" priority="294" operator="equal">
      <formula>"Menor"</formula>
    </cfRule>
    <cfRule type="cellIs" dxfId="671" priority="295" operator="equal">
      <formula>"Leve"</formula>
    </cfRule>
  </conditionalFormatting>
  <conditionalFormatting sqref="R31">
    <cfRule type="cellIs" dxfId="670" priority="287" operator="equal">
      <formula>"Extremo"</formula>
    </cfRule>
    <cfRule type="cellIs" dxfId="669" priority="288" operator="equal">
      <formula>"Alto"</formula>
    </cfRule>
    <cfRule type="cellIs" dxfId="668" priority="289" operator="equal">
      <formula>"Moderado"</formula>
    </cfRule>
    <cfRule type="cellIs" dxfId="667" priority="290" operator="equal">
      <formula>"Bajo"</formula>
    </cfRule>
  </conditionalFormatting>
  <conditionalFormatting sqref="AD31:AD36">
    <cfRule type="cellIs" dxfId="666" priority="282" operator="equal">
      <formula>"Muy Alta"</formula>
    </cfRule>
    <cfRule type="cellIs" dxfId="665" priority="283" operator="equal">
      <formula>"Alta"</formula>
    </cfRule>
    <cfRule type="cellIs" dxfId="664" priority="284" operator="equal">
      <formula>"Media"</formula>
    </cfRule>
    <cfRule type="cellIs" dxfId="663" priority="285" operator="equal">
      <formula>"Baja"</formula>
    </cfRule>
    <cfRule type="cellIs" dxfId="662" priority="286" operator="equal">
      <formula>"Muy Baja"</formula>
    </cfRule>
  </conditionalFormatting>
  <conditionalFormatting sqref="AF31:AF36">
    <cfRule type="cellIs" dxfId="661" priority="277" operator="equal">
      <formula>"Catastrófico"</formula>
    </cfRule>
    <cfRule type="cellIs" dxfId="660" priority="278" operator="equal">
      <formula>"Mayor"</formula>
    </cfRule>
    <cfRule type="cellIs" dxfId="659" priority="279" operator="equal">
      <formula>"Moderado"</formula>
    </cfRule>
    <cfRule type="cellIs" dxfId="658" priority="280" operator="equal">
      <formula>"Menor"</formula>
    </cfRule>
    <cfRule type="cellIs" dxfId="657" priority="281" operator="equal">
      <formula>"Leve"</formula>
    </cfRule>
  </conditionalFormatting>
  <conditionalFormatting sqref="AH31:AH36">
    <cfRule type="cellIs" dxfId="656" priority="273" operator="equal">
      <formula>"Extremo"</formula>
    </cfRule>
    <cfRule type="cellIs" dxfId="655" priority="274" operator="equal">
      <formula>"Alto"</formula>
    </cfRule>
    <cfRule type="cellIs" dxfId="654" priority="275" operator="equal">
      <formula>"Moderado"</formula>
    </cfRule>
    <cfRule type="cellIs" dxfId="653" priority="276" operator="equal">
      <formula>"Bajo"</formula>
    </cfRule>
  </conditionalFormatting>
  <conditionalFormatting sqref="O31:O36">
    <cfRule type="containsText" dxfId="652" priority="272" operator="containsText" text="❌">
      <formula>NOT(ISERROR(SEARCH("❌",O31)))</formula>
    </cfRule>
  </conditionalFormatting>
  <conditionalFormatting sqref="C31 C37">
    <cfRule type="cellIs" dxfId="651" priority="254" operator="equal">
      <formula>#REF!</formula>
    </cfRule>
    <cfRule type="cellIs" dxfId="650" priority="255" operator="equal">
      <formula>#REF!</formula>
    </cfRule>
    <cfRule type="cellIs" dxfId="649" priority="256" operator="equal">
      <formula>#REF!</formula>
    </cfRule>
    <cfRule type="cellIs" dxfId="648" priority="257" operator="equal">
      <formula>#REF!</formula>
    </cfRule>
    <cfRule type="cellIs" dxfId="647" priority="258" operator="equal">
      <formula>#REF!</formula>
    </cfRule>
    <cfRule type="cellIs" dxfId="646" priority="259" operator="equal">
      <formula>#REF!</formula>
    </cfRule>
    <cfRule type="cellIs" dxfId="645" priority="260" operator="equal">
      <formula>#REF!</formula>
    </cfRule>
    <cfRule type="cellIs" dxfId="644" priority="261" operator="equal">
      <formula>#REF!</formula>
    </cfRule>
    <cfRule type="cellIs" dxfId="643" priority="262" operator="equal">
      <formula>#REF!</formula>
    </cfRule>
    <cfRule type="cellIs" dxfId="642" priority="263" operator="equal">
      <formula>#REF!</formula>
    </cfRule>
    <cfRule type="cellIs" dxfId="641" priority="264" operator="equal">
      <formula>#REF!</formula>
    </cfRule>
    <cfRule type="cellIs" dxfId="640" priority="265" operator="equal">
      <formula>#REF!</formula>
    </cfRule>
    <cfRule type="cellIs" dxfId="639" priority="266" operator="equal">
      <formula>#REF!</formula>
    </cfRule>
    <cfRule type="cellIs" dxfId="638" priority="267" operator="equal">
      <formula>#REF!</formula>
    </cfRule>
    <cfRule type="cellIs" dxfId="637" priority="268" operator="equal">
      <formula>#REF!</formula>
    </cfRule>
    <cfRule type="cellIs" dxfId="636" priority="269" operator="equal">
      <formula>#REF!</formula>
    </cfRule>
    <cfRule type="cellIs" dxfId="635" priority="270" operator="equal">
      <formula>#REF!</formula>
    </cfRule>
    <cfRule type="cellIs" dxfId="634" priority="271" operator="equal">
      <formula>#REF!</formula>
    </cfRule>
  </conditionalFormatting>
  <conditionalFormatting sqref="L49">
    <cfRule type="cellIs" dxfId="633" priority="184" operator="equal">
      <formula>"Muy Alta"</formula>
    </cfRule>
    <cfRule type="cellIs" dxfId="632" priority="185" operator="equal">
      <formula>"Alta"</formula>
    </cfRule>
    <cfRule type="cellIs" dxfId="631" priority="186" operator="equal">
      <formula>"Media"</formula>
    </cfRule>
    <cfRule type="cellIs" dxfId="630" priority="187" operator="equal">
      <formula>"Baja"</formula>
    </cfRule>
    <cfRule type="cellIs" dxfId="629" priority="188" operator="equal">
      <formula>"Muy Baja"</formula>
    </cfRule>
  </conditionalFormatting>
  <conditionalFormatting sqref="P49">
    <cfRule type="cellIs" dxfId="628" priority="179" operator="equal">
      <formula>"Catastrófico"</formula>
    </cfRule>
    <cfRule type="cellIs" dxfId="627" priority="180" operator="equal">
      <formula>"Mayor"</formula>
    </cfRule>
    <cfRule type="cellIs" dxfId="626" priority="181" operator="equal">
      <formula>"Moderado"</formula>
    </cfRule>
    <cfRule type="cellIs" dxfId="625" priority="182" operator="equal">
      <formula>"Menor"</formula>
    </cfRule>
    <cfRule type="cellIs" dxfId="624" priority="183" operator="equal">
      <formula>"Leve"</formula>
    </cfRule>
  </conditionalFormatting>
  <conditionalFormatting sqref="R49">
    <cfRule type="cellIs" dxfId="623" priority="175" operator="equal">
      <formula>"Extremo"</formula>
    </cfRule>
    <cfRule type="cellIs" dxfId="622" priority="176" operator="equal">
      <formula>"Alto"</formula>
    </cfRule>
    <cfRule type="cellIs" dxfId="621" priority="177" operator="equal">
      <formula>"Moderado"</formula>
    </cfRule>
    <cfRule type="cellIs" dxfId="620" priority="178" operator="equal">
      <formula>"Bajo"</formula>
    </cfRule>
  </conditionalFormatting>
  <conditionalFormatting sqref="AD49:AD54">
    <cfRule type="cellIs" dxfId="619" priority="170" operator="equal">
      <formula>"Muy Alta"</formula>
    </cfRule>
    <cfRule type="cellIs" dxfId="618" priority="171" operator="equal">
      <formula>"Alta"</formula>
    </cfRule>
    <cfRule type="cellIs" dxfId="617" priority="172" operator="equal">
      <formula>"Media"</formula>
    </cfRule>
    <cfRule type="cellIs" dxfId="616" priority="173" operator="equal">
      <formula>"Baja"</formula>
    </cfRule>
    <cfRule type="cellIs" dxfId="615" priority="174" operator="equal">
      <formula>"Muy Baja"</formula>
    </cfRule>
  </conditionalFormatting>
  <conditionalFormatting sqref="AF49:AF54">
    <cfRule type="cellIs" dxfId="614" priority="165" operator="equal">
      <formula>"Catastrófico"</formula>
    </cfRule>
    <cfRule type="cellIs" dxfId="613" priority="166" operator="equal">
      <formula>"Mayor"</formula>
    </cfRule>
    <cfRule type="cellIs" dxfId="612" priority="167" operator="equal">
      <formula>"Moderado"</formula>
    </cfRule>
    <cfRule type="cellIs" dxfId="611" priority="168" operator="equal">
      <formula>"Menor"</formula>
    </cfRule>
    <cfRule type="cellIs" dxfId="610" priority="169" operator="equal">
      <formula>"Leve"</formula>
    </cfRule>
  </conditionalFormatting>
  <conditionalFormatting sqref="AH49:AH54">
    <cfRule type="cellIs" dxfId="609" priority="161" operator="equal">
      <formula>"Extremo"</formula>
    </cfRule>
    <cfRule type="cellIs" dxfId="608" priority="162" operator="equal">
      <formula>"Alto"</formula>
    </cfRule>
    <cfRule type="cellIs" dxfId="607" priority="163" operator="equal">
      <formula>"Moderado"</formula>
    </cfRule>
    <cfRule type="cellIs" dxfId="606" priority="164" operator="equal">
      <formula>"Bajo"</formula>
    </cfRule>
  </conditionalFormatting>
  <conditionalFormatting sqref="O49:O54">
    <cfRule type="containsText" dxfId="605" priority="160" operator="containsText" text="❌">
      <formula>NOT(ISERROR(SEARCH("❌",O49)))</formula>
    </cfRule>
  </conditionalFormatting>
  <conditionalFormatting sqref="C55 C49 C61 C67 C73 C79 C85 C91 C97">
    <cfRule type="cellIs" dxfId="604" priority="95" operator="equal">
      <formula>#REF!</formula>
    </cfRule>
    <cfRule type="cellIs" dxfId="603" priority="96" operator="equal">
      <formula>#REF!</formula>
    </cfRule>
    <cfRule type="cellIs" dxfId="602" priority="97" operator="equal">
      <formula>#REF!</formula>
    </cfRule>
    <cfRule type="cellIs" dxfId="601" priority="98" operator="equal">
      <formula>#REF!</formula>
    </cfRule>
    <cfRule type="cellIs" dxfId="600" priority="99" operator="equal">
      <formula>#REF!</formula>
    </cfRule>
    <cfRule type="cellIs" dxfId="599" priority="100" operator="equal">
      <formula>#REF!</formula>
    </cfRule>
    <cfRule type="cellIs" dxfId="598" priority="101" operator="equal">
      <formula>#REF!</formula>
    </cfRule>
    <cfRule type="cellIs" dxfId="597" priority="102" operator="equal">
      <formula>#REF!</formula>
    </cfRule>
    <cfRule type="cellIs" dxfId="596" priority="103" operator="equal">
      <formula>#REF!</formula>
    </cfRule>
    <cfRule type="cellIs" dxfId="595" priority="104" operator="equal">
      <formula>#REF!</formula>
    </cfRule>
    <cfRule type="cellIs" dxfId="594" priority="105" operator="equal">
      <formula>#REF!</formula>
    </cfRule>
    <cfRule type="cellIs" dxfId="593" priority="106" operator="equal">
      <formula>#REF!</formula>
    </cfRule>
    <cfRule type="cellIs" dxfId="592" priority="107" operator="equal">
      <formula>#REF!</formula>
    </cfRule>
    <cfRule type="cellIs" dxfId="591" priority="108" operator="equal">
      <formula>#REF!</formula>
    </cfRule>
    <cfRule type="cellIs" dxfId="590" priority="109" operator="equal">
      <formula>#REF!</formula>
    </cfRule>
    <cfRule type="cellIs" dxfId="589" priority="110" operator="equal">
      <formula>#REF!</formula>
    </cfRule>
    <cfRule type="cellIs" dxfId="588" priority="111" operator="equal">
      <formula>#REF!</formula>
    </cfRule>
    <cfRule type="cellIs" dxfId="587" priority="112" operator="equal">
      <formula>#REF!</formula>
    </cfRule>
  </conditionalFormatting>
  <conditionalFormatting sqref="L55">
    <cfRule type="cellIs" dxfId="586" priority="137" operator="equal">
      <formula>"Muy Alta"</formula>
    </cfRule>
    <cfRule type="cellIs" dxfId="585" priority="138" operator="equal">
      <formula>"Alta"</formula>
    </cfRule>
    <cfRule type="cellIs" dxfId="584" priority="139" operator="equal">
      <formula>"Media"</formula>
    </cfRule>
    <cfRule type="cellIs" dxfId="583" priority="140" operator="equal">
      <formula>"Baja"</formula>
    </cfRule>
    <cfRule type="cellIs" dxfId="582" priority="141" operator="equal">
      <formula>"Muy Baja"</formula>
    </cfRule>
  </conditionalFormatting>
  <conditionalFormatting sqref="P55">
    <cfRule type="cellIs" dxfId="581" priority="132" operator="equal">
      <formula>"Catastrófico"</formula>
    </cfRule>
    <cfRule type="cellIs" dxfId="580" priority="133" operator="equal">
      <formula>"Mayor"</formula>
    </cfRule>
    <cfRule type="cellIs" dxfId="579" priority="134" operator="equal">
      <formula>"Moderado"</formula>
    </cfRule>
    <cfRule type="cellIs" dxfId="578" priority="135" operator="equal">
      <formula>"Menor"</formula>
    </cfRule>
    <cfRule type="cellIs" dxfId="577" priority="136" operator="equal">
      <formula>"Leve"</formula>
    </cfRule>
  </conditionalFormatting>
  <conditionalFormatting sqref="R55">
    <cfRule type="cellIs" dxfId="576" priority="128" operator="equal">
      <formula>"Extremo"</formula>
    </cfRule>
    <cfRule type="cellIs" dxfId="575" priority="129" operator="equal">
      <formula>"Alto"</formula>
    </cfRule>
    <cfRule type="cellIs" dxfId="574" priority="130" operator="equal">
      <formula>"Moderado"</formula>
    </cfRule>
    <cfRule type="cellIs" dxfId="573" priority="131" operator="equal">
      <formula>"Bajo"</formula>
    </cfRule>
  </conditionalFormatting>
  <conditionalFormatting sqref="AD55:AD60">
    <cfRule type="cellIs" dxfId="572" priority="123" operator="equal">
      <formula>"Muy Alta"</formula>
    </cfRule>
    <cfRule type="cellIs" dxfId="571" priority="124" operator="equal">
      <formula>"Alta"</formula>
    </cfRule>
    <cfRule type="cellIs" dxfId="570" priority="125" operator="equal">
      <formula>"Media"</formula>
    </cfRule>
    <cfRule type="cellIs" dxfId="569" priority="126" operator="equal">
      <formula>"Baja"</formula>
    </cfRule>
    <cfRule type="cellIs" dxfId="568" priority="127" operator="equal">
      <formula>"Muy Baja"</formula>
    </cfRule>
  </conditionalFormatting>
  <conditionalFormatting sqref="AF55:AF60">
    <cfRule type="cellIs" dxfId="567" priority="118" operator="equal">
      <formula>"Catastrófico"</formula>
    </cfRule>
    <cfRule type="cellIs" dxfId="566" priority="119" operator="equal">
      <formula>"Mayor"</formula>
    </cfRule>
    <cfRule type="cellIs" dxfId="565" priority="120" operator="equal">
      <formula>"Moderado"</formula>
    </cfRule>
    <cfRule type="cellIs" dxfId="564" priority="121" operator="equal">
      <formula>"Menor"</formula>
    </cfRule>
    <cfRule type="cellIs" dxfId="563" priority="122" operator="equal">
      <formula>"Leve"</formula>
    </cfRule>
  </conditionalFormatting>
  <conditionalFormatting sqref="AH55:AH60">
    <cfRule type="cellIs" dxfId="562" priority="114" operator="equal">
      <formula>"Extremo"</formula>
    </cfRule>
    <cfRule type="cellIs" dxfId="561" priority="115" operator="equal">
      <formula>"Alto"</formula>
    </cfRule>
    <cfRule type="cellIs" dxfId="560" priority="116" operator="equal">
      <formula>"Moderado"</formula>
    </cfRule>
    <cfRule type="cellIs" dxfId="559" priority="117" operator="equal">
      <formula>"Bajo"</formula>
    </cfRule>
  </conditionalFormatting>
  <conditionalFormatting sqref="O55:O60">
    <cfRule type="containsText" dxfId="558" priority="113" operator="containsText" text="❌">
      <formula>NOT(ISERROR(SEARCH("❌",O55)))</formula>
    </cfRule>
  </conditionalFormatting>
  <conditionalFormatting sqref="C215">
    <cfRule type="cellIs" dxfId="557" priority="1" operator="equal">
      <formula>#REF!</formula>
    </cfRule>
    <cfRule type="cellIs" dxfId="556" priority="2" operator="equal">
      <formula>#REF!</formula>
    </cfRule>
    <cfRule type="cellIs" dxfId="555" priority="3" operator="equal">
      <formula>#REF!</formula>
    </cfRule>
    <cfRule type="cellIs" dxfId="554" priority="4" operator="equal">
      <formula>#REF!</formula>
    </cfRule>
    <cfRule type="cellIs" dxfId="553" priority="5" operator="equal">
      <formula>#REF!</formula>
    </cfRule>
    <cfRule type="cellIs" dxfId="552" priority="6" operator="equal">
      <formula>#REF!</formula>
    </cfRule>
    <cfRule type="cellIs" dxfId="551" priority="7" operator="equal">
      <formula>#REF!</formula>
    </cfRule>
    <cfRule type="cellIs" dxfId="550" priority="8" operator="equal">
      <formula>#REF!</formula>
    </cfRule>
    <cfRule type="cellIs" dxfId="549" priority="9" operator="equal">
      <formula>#REF!</formula>
    </cfRule>
    <cfRule type="cellIs" dxfId="548" priority="10" operator="equal">
      <formula>#REF!</formula>
    </cfRule>
    <cfRule type="cellIs" dxfId="547" priority="11" operator="equal">
      <formula>#REF!</formula>
    </cfRule>
    <cfRule type="cellIs" dxfId="546" priority="12" operator="equal">
      <formula>#REF!</formula>
    </cfRule>
    <cfRule type="cellIs" dxfId="545" priority="13" operator="equal">
      <formula>#REF!</formula>
    </cfRule>
    <cfRule type="cellIs" dxfId="544" priority="14" operator="equal">
      <formula>#REF!</formula>
    </cfRule>
    <cfRule type="cellIs" dxfId="543" priority="15" operator="equal">
      <formula>#REF!</formula>
    </cfRule>
    <cfRule type="cellIs" dxfId="542" priority="16" operator="equal">
      <formula>#REF!</formula>
    </cfRule>
    <cfRule type="cellIs" dxfId="541" priority="17" operator="equal">
      <formula>#REF!</formula>
    </cfRule>
    <cfRule type="cellIs" dxfId="540" priority="18" operator="equal">
      <formula>#REF!</formula>
    </cfRule>
  </conditionalFormatting>
  <conditionalFormatting sqref="L215">
    <cfRule type="cellIs" dxfId="539" priority="43" operator="equal">
      <formula>"Muy Alta"</formula>
    </cfRule>
    <cfRule type="cellIs" dxfId="538" priority="44" operator="equal">
      <formula>"Alta"</formula>
    </cfRule>
    <cfRule type="cellIs" dxfId="537" priority="45" operator="equal">
      <formula>"Media"</formula>
    </cfRule>
    <cfRule type="cellIs" dxfId="536" priority="46" operator="equal">
      <formula>"Baja"</formula>
    </cfRule>
    <cfRule type="cellIs" dxfId="535" priority="47" operator="equal">
      <formula>"Muy Baja"</formula>
    </cfRule>
  </conditionalFormatting>
  <conditionalFormatting sqref="P215">
    <cfRule type="cellIs" dxfId="534" priority="38" operator="equal">
      <formula>"Catastrófico"</formula>
    </cfRule>
    <cfRule type="cellIs" dxfId="533" priority="39" operator="equal">
      <formula>"Mayor"</formula>
    </cfRule>
    <cfRule type="cellIs" dxfId="532" priority="40" operator="equal">
      <formula>"Moderado"</formula>
    </cfRule>
    <cfRule type="cellIs" dxfId="531" priority="41" operator="equal">
      <formula>"Menor"</formula>
    </cfRule>
    <cfRule type="cellIs" dxfId="530" priority="42" operator="equal">
      <formula>"Leve"</formula>
    </cfRule>
  </conditionalFormatting>
  <conditionalFormatting sqref="R215">
    <cfRule type="cellIs" dxfId="529" priority="34" operator="equal">
      <formula>"Extremo"</formula>
    </cfRule>
    <cfRule type="cellIs" dxfId="528" priority="35" operator="equal">
      <formula>"Alto"</formula>
    </cfRule>
    <cfRule type="cellIs" dxfId="527" priority="36" operator="equal">
      <formula>"Moderado"</formula>
    </cfRule>
    <cfRule type="cellIs" dxfId="526" priority="37" operator="equal">
      <formula>"Bajo"</formula>
    </cfRule>
  </conditionalFormatting>
  <conditionalFormatting sqref="AD215:AD220">
    <cfRule type="cellIs" dxfId="525" priority="29" operator="equal">
      <formula>"Muy Alta"</formula>
    </cfRule>
    <cfRule type="cellIs" dxfId="524" priority="30" operator="equal">
      <formula>"Alta"</formula>
    </cfRule>
    <cfRule type="cellIs" dxfId="523" priority="31" operator="equal">
      <formula>"Media"</formula>
    </cfRule>
    <cfRule type="cellIs" dxfId="522" priority="32" operator="equal">
      <formula>"Baja"</formula>
    </cfRule>
    <cfRule type="cellIs" dxfId="521" priority="33" operator="equal">
      <formula>"Muy Baja"</formula>
    </cfRule>
  </conditionalFormatting>
  <conditionalFormatting sqref="AF215:AF220">
    <cfRule type="cellIs" dxfId="520" priority="24" operator="equal">
      <formula>"Catastrófico"</formula>
    </cfRule>
    <cfRule type="cellIs" dxfId="519" priority="25" operator="equal">
      <formula>"Mayor"</formula>
    </cfRule>
    <cfRule type="cellIs" dxfId="518" priority="26" operator="equal">
      <formula>"Moderado"</formula>
    </cfRule>
    <cfRule type="cellIs" dxfId="517" priority="27" operator="equal">
      <formula>"Menor"</formula>
    </cfRule>
    <cfRule type="cellIs" dxfId="516" priority="28" operator="equal">
      <formula>"Leve"</formula>
    </cfRule>
  </conditionalFormatting>
  <conditionalFormatting sqref="AH215:AH220">
    <cfRule type="cellIs" dxfId="515" priority="20" operator="equal">
      <formula>"Extremo"</formula>
    </cfRule>
    <cfRule type="cellIs" dxfId="514" priority="21" operator="equal">
      <formula>"Alto"</formula>
    </cfRule>
    <cfRule type="cellIs" dxfId="513" priority="22" operator="equal">
      <formula>"Moderado"</formula>
    </cfRule>
    <cfRule type="cellIs" dxfId="512" priority="23" operator="equal">
      <formula>"Bajo"</formula>
    </cfRule>
  </conditionalFormatting>
  <conditionalFormatting sqref="O215:O220">
    <cfRule type="containsText" dxfId="511" priority="19" operator="containsText" text="❌">
      <formula>NOT(ISERROR(SEARCH("❌",O215)))</formula>
    </cfRule>
  </conditionalFormatting>
  <dataValidations count="1">
    <dataValidation showDropDown="1" showInputMessage="1" showErrorMessage="1" sqref="AJ25:AN25"/>
  </dataValidations>
  <pageMargins left="0.7" right="0.7" top="0.75" bottom="0.75" header="0.3" footer="0.3"/>
  <pageSetup scale="11" orientation="portrait" r:id="rId1"/>
  <drawing r:id="rId2"/>
  <legacyDrawing r:id="rId3"/>
  <extLst>
    <ext xmlns:x14="http://schemas.microsoft.com/office/spreadsheetml/2009/9/main" uri="{CCE6A557-97BC-4b89-ADB6-D9C93CAAB3DF}">
      <x14:dataValidations xmlns:xm="http://schemas.microsoft.com/office/excel/2006/main" count="21">
        <x14:dataValidation type="custom" allowBlank="1" showInputMessage="1" showErrorMessage="1" error="Recuerde que las acciones se generan bajo la medida de mitigar el riesgo">
          <x14:formula1>
            <xm:f>IF(OR(AI11='Opciones Tratamiento'!$B$2,AI11='Opciones Tratamiento'!$B$3,AI11='Opciones Tratamiento'!$B$4),ISBLANK(AI11),ISTEXT(AI11))</xm:f>
          </x14:formula1>
          <xm:sqref>AO207:AP208 AO59:AP60 AO47:AP48 AO23:AP24 AO17:AP18 AO41:AP42 AO65:AP66 AO71:AP72 AO77:AP78 AO83:AP84 AO89:AP90 AO107:AP108 AO95:AP96 AO111:AP112 AO117:AP118 AO129:AP130 AO123:AP124 AO135:AP136 AO159:AP160 AO147:AP148 AO141:AP142 AO165:AP166 AO153:AP154 AO177:AP178 AO183:AP184 AO171:AP172 AO189:AP190 AO195:AP196 AO201:AP202 AO249:AP250 AO225:AP244 AO35:AP36 AO101:AP102 AO11:AP12 AO29:AP30 AO53:AP54 AO213:AP214 AO219:AP220 AO255:AP286</xm:sqref>
        </x14:dataValidation>
        <x14:dataValidation type="custom" allowBlank="1" showInputMessage="1" showErrorMessage="1" error="Recuerde que las acciones se generan bajo la medida de mitigar el riesgo">
          <x14:formula1>
            <xm:f>IF(OR(AI11='Opciones Tratamiento'!$B$2,AI11='Opciones Tratamiento'!$B$3,AI11='Opciones Tratamiento'!$B$4),ISBLANK(AI11),ISTEXT(AI11))</xm:f>
          </x14:formula1>
          <xm:sqref>AQ207:AQ208 AQ59:AQ60 AQ47:AQ48 AQ23:AQ24 AQ17:AQ18 AQ41:AQ42 AQ65:AQ66 AQ71:AQ72 AQ77:AQ78 AQ83:AQ84 AQ89:AQ90 AQ107:AQ108 AQ95:AQ96 AQ111:AQ112 AQ117:AQ118 AQ129:AQ130 AQ123:AQ124 AQ135:AQ136 AQ159:AQ160 AQ147:AQ148 AQ141:AQ142 AQ165:AQ166 AQ153:AQ154 AQ177:AQ178 AQ183:AQ184 AQ171:AQ172 AQ189:AQ190 AQ195:AQ196 AQ201:AQ202 AQ249:AQ250 AQ225:AQ244 AQ35:AQ36 AQ101:AQ102 AQ11:AQ12 AQ29:AQ30 AQ53:AQ54 AQ213:AQ214 AQ219:AQ220 AQ255:AQ286</xm:sqref>
        </x14:dataValidation>
        <x14:dataValidation type="custom" allowBlank="1" showInputMessage="1" showErrorMessage="1" error="Recuerde que las acciones se generan bajo la medida de mitigar el riesgo">
          <x14:formula1>
            <xm:f>IF(OR(AI11='Opciones Tratamiento'!$B$2,AI11='Opciones Tratamiento'!$B$3,AI11='Opciones Tratamiento'!$B$4),ISBLANK(AI11),ISTEXT(AI11))</xm:f>
          </x14:formula1>
          <xm:sqref>AR207:AR208 AR59:AR60 AR47:AR48 AR23:AR24 AR17:AR18 AR41:AR42 AR65:AR66 AR71:AR72 AR77:AR78 AR83:AR84 AR89:AR90 AR107:AR108 AR95:AR96 AR111:AR112 AR117:AR118 AR129:AR130 AR123:AR124 AR135:AR136 AR159:AR160 AR147:AR148 AR141:AR142 AR165:AR166 AR153:AR154 AR177:AR178 AR183:AR184 AR171:AR172 AR189:AR190 AR195:AR196 AR201:AR202 AR249:AR250 AR225:AR244 AR35:AR36 AR101:AR102 AR11:AR12 AR29:AR30 AR53:AR54 AR213:AR214 AR219:AR220 AR255:AR286</xm:sqref>
        </x14:dataValidation>
        <x14:dataValidation type="custom" allowBlank="1" showInputMessage="1" showErrorMessage="1" error="Recuerde que las acciones se generan bajo la medida de mitigar el riesgo">
          <x14:formula1>
            <xm:f>IF(OR(AI11='Opciones Tratamiento'!$B$2,AI11='Opciones Tratamiento'!$B$3,AI11='Opciones Tratamiento'!$B$4),ISBLANK(AI11),ISTEXT(AI11))</xm:f>
          </x14:formula1>
          <xm:sqref>AS207:AS208 AS59:AS60 AS47:AS48 AS23:AS24 AS17:AS18 AS41:AS42 AS65:AS66 AS71:AS72 AS77:AS78 AS83:AS84 AS89:AS90 AS107:AS108 AS95:AS96 AS111:AS112 AS117:AS118 AS129:AS130 AS123:AS124 AS135:AS136 AS159:AS160 AS147:AS148 AS141:AS142 AS165:AS166 AS153:AS154 AS177:AS178 AS183:AS184 AS171:AS172 AS189:AS190 AS195:AS196 AS201:AS202 AS249:AS250 AS225:AS244 AS35:AS36 AS101:AS102 AS11:AS12 AS29:AS30 AS53:AS54 AS213:AS214 AS219:AS220 AS255:AS286</xm:sqref>
        </x14:dataValidation>
        <x14:dataValidation type="list" allowBlank="1" showInputMessage="1" showErrorMessage="1">
          <x14:formula1>
            <xm:f>Listas!$B$5:$B$35</xm:f>
          </x14:formula1>
          <xm:sqref>C7:C12 C19:C118</xm:sqref>
        </x14:dataValidation>
        <x14:dataValidation type="list" allowBlank="1" showInputMessage="1" showErrorMessage="1">
          <x14:formula1>
            <xm:f>'Opciones Tratamiento'!$E$2:$E$4</xm:f>
          </x14:formula1>
          <xm:sqref>E7:E54 E61:E292</xm:sqref>
        </x14:dataValidation>
        <x14:dataValidation type="list" allowBlank="1" showInputMessage="1" showErrorMessage="1">
          <x14:formula1>
            <xm:f>'Opciones Tratamiento'!$E$9:$E$10</xm:f>
          </x14:formula1>
          <xm:sqref>U7:U24 U29:U292</xm:sqref>
        </x14:dataValidation>
        <x14:dataValidation type="list" allowBlank="1" showInputMessage="1" showErrorMessage="1">
          <x14:formula1>
            <xm:f>'[4]Opciones Tratamiento'!#REF!</xm:f>
          </x14:formula1>
          <xm:sqref>U25:U28</xm:sqref>
        </x14:dataValidation>
        <x14:dataValidation type="list" allowBlank="1" showInputMessage="1" showErrorMessage="1">
          <x14:formula1>
            <xm:f>Listas!$B$5:$B$33</xm:f>
          </x14:formula1>
          <xm:sqref>C13:C18</xm:sqref>
        </x14:dataValidation>
        <x14:dataValidation type="list" allowBlank="1" showInputMessage="1" showErrorMessage="1">
          <x14:formula1>
            <xm:f>'[5]Opciones Tratamiento'!#REF!</xm:f>
          </x14:formula1>
          <xm:sqref>E55:E60</xm:sqref>
        </x14:dataValidation>
        <x14:dataValidation type="list" allowBlank="1" showInputMessage="1" showErrorMessage="1">
          <x14:formula1>
            <xm:f>'Opciones Tratamiento'!$B$2:$B$5</xm:f>
          </x14:formula1>
          <xm:sqref>AI7:AI292</xm:sqref>
        </x14:dataValidation>
        <x14:dataValidation type="list" allowBlank="1" showInputMessage="1" showErrorMessage="1">
          <x14:formula1>
            <xm:f>Listas!$B$5:$B$34</xm:f>
          </x14:formula1>
          <xm:sqref>C119:C292</xm:sqref>
        </x14:dataValidation>
        <x14:dataValidation type="list" allowBlank="1" showInputMessage="1" showErrorMessage="1">
          <x14:formula1>
            <xm:f>'Tabla Valoración controles'!$D$4:$D$6</xm:f>
          </x14:formula1>
          <xm:sqref>W7:W292</xm:sqref>
        </x14:dataValidation>
        <x14:dataValidation type="list" allowBlank="1" showInputMessage="1" showErrorMessage="1">
          <x14:formula1>
            <xm:f>'Tabla Valoración controles'!$D$7:$D$8</xm:f>
          </x14:formula1>
          <xm:sqref>X7:X292</xm:sqref>
        </x14:dataValidation>
        <x14:dataValidation type="list" allowBlank="1" showInputMessage="1" showErrorMessage="1">
          <x14:formula1>
            <xm:f>'Tabla Valoración controles'!$D$9:$D$10</xm:f>
          </x14:formula1>
          <xm:sqref>Z7:Z292</xm:sqref>
        </x14:dataValidation>
        <x14:dataValidation type="list" allowBlank="1" showInputMessage="1" showErrorMessage="1">
          <x14:formula1>
            <xm:f>'Tabla Valoración controles'!$D$11:$D$12</xm:f>
          </x14:formula1>
          <xm:sqref>AA7:AA292</xm:sqref>
        </x14:dataValidation>
        <x14:dataValidation type="list" allowBlank="1" showInputMessage="1" showErrorMessage="1">
          <x14:formula1>
            <xm:f>'Tabla Valoración controles'!$D$13:$D$14</xm:f>
          </x14:formula1>
          <xm:sqref>AB7:AB292</xm:sqref>
        </x14:dataValidation>
        <x14:dataValidation type="list" allowBlank="1" showInputMessage="1" showErrorMessage="1">
          <x14:formula1>
            <xm:f>'Tabla Impacto'!$F$210:$F$221</xm:f>
          </x14:formula1>
          <xm:sqref>N7:N292</xm:sqref>
        </x14:dataValidation>
        <x14:dataValidation type="list" allowBlank="1" showInputMessage="1" showErrorMessage="1">
          <x14:formula1>
            <xm:f>Listas!$K$5:$K$11</xm:f>
          </x14:formula1>
          <xm:sqref>D7:D292</xm:sqref>
        </x14:dataValidation>
        <x14:dataValidation type="list" allowBlank="1" showInputMessage="1" showErrorMessage="1">
          <x14:formula1>
            <xm:f>'Opciones Tratamiento'!$B$15:$B$24</xm:f>
          </x14:formula1>
          <xm:sqref>I7:I292</xm:sqref>
        </x14:dataValidation>
        <x14:dataValidation type="list" allowBlank="1" showInputMessage="1" showErrorMessage="1">
          <x14:formula1>
            <xm:f>Listas!$L$5:$L$6</xm:f>
          </x14:formula1>
          <xm:sqref>B7:B292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4"/>
  <sheetViews>
    <sheetView zoomScale="70" zoomScaleNormal="70" workbookViewId="0">
      <selection activeCell="A56" sqref="A56:XFD62"/>
    </sheetView>
  </sheetViews>
  <sheetFormatPr baseColWidth="10" defaultColWidth="11.42578125" defaultRowHeight="15" x14ac:dyDescent="0.25"/>
  <cols>
    <col min="1" max="1" width="2.85546875" style="72" customWidth="1"/>
    <col min="2" max="2" width="24.7109375" style="72" customWidth="1"/>
    <col min="3" max="3" width="22.42578125" style="72" customWidth="1"/>
    <col min="4" max="4" width="16" style="72" customWidth="1"/>
    <col min="5" max="5" width="26.42578125" style="72" customWidth="1"/>
    <col min="6" max="6" width="30.140625" style="72" customWidth="1"/>
    <col min="7" max="8" width="24.7109375" style="72" customWidth="1"/>
    <col min="9" max="16384" width="11.42578125" style="72"/>
  </cols>
  <sheetData>
    <row r="1" spans="1:8" s="131" customFormat="1" ht="28.5" customHeight="1" thickTop="1" x14ac:dyDescent="0.2">
      <c r="A1" s="543"/>
      <c r="B1" s="544"/>
      <c r="C1" s="410" t="s">
        <v>274</v>
      </c>
      <c r="D1" s="410"/>
      <c r="E1" s="410"/>
      <c r="F1" s="410"/>
      <c r="G1" s="410"/>
      <c r="H1" s="411"/>
    </row>
    <row r="2" spans="1:8" s="131" customFormat="1" ht="27.75" customHeight="1" x14ac:dyDescent="0.2">
      <c r="A2" s="545"/>
      <c r="B2" s="546"/>
      <c r="C2" s="412" t="s">
        <v>588</v>
      </c>
      <c r="D2" s="412"/>
      <c r="E2" s="412"/>
      <c r="F2" s="412"/>
      <c r="G2" s="412"/>
      <c r="H2" s="413"/>
    </row>
    <row r="3" spans="1:8" s="131" customFormat="1" ht="24" customHeight="1" thickBot="1" x14ac:dyDescent="0.25">
      <c r="A3" s="547"/>
      <c r="B3" s="548"/>
      <c r="C3" s="414"/>
      <c r="D3" s="414"/>
      <c r="E3" s="414"/>
      <c r="F3" s="414"/>
      <c r="G3" s="414"/>
      <c r="H3" s="415"/>
    </row>
    <row r="4" spans="1:8" ht="16.5" thickTop="1" thickBot="1" x14ac:dyDescent="0.3"/>
    <row r="5" spans="1:8" x14ac:dyDescent="0.25">
      <c r="B5" s="549" t="s">
        <v>298</v>
      </c>
      <c r="C5" s="550"/>
      <c r="D5" s="550"/>
      <c r="E5" s="550"/>
      <c r="F5" s="550"/>
      <c r="G5" s="550"/>
      <c r="H5" s="551"/>
    </row>
    <row r="6" spans="1:8" ht="69" customHeight="1" x14ac:dyDescent="0.25">
      <c r="B6" s="552" t="s">
        <v>564</v>
      </c>
      <c r="C6" s="553"/>
      <c r="D6" s="553"/>
      <c r="E6" s="553"/>
      <c r="F6" s="553"/>
      <c r="G6" s="553"/>
      <c r="H6" s="554"/>
    </row>
    <row r="7" spans="1:8" ht="63" customHeight="1" x14ac:dyDescent="0.25">
      <c r="B7" s="552" t="s">
        <v>565</v>
      </c>
      <c r="C7" s="553"/>
      <c r="D7" s="553"/>
      <c r="E7" s="553"/>
      <c r="F7" s="553"/>
      <c r="G7" s="553"/>
      <c r="H7" s="554"/>
    </row>
    <row r="8" spans="1:8" x14ac:dyDescent="0.25">
      <c r="B8" s="555" t="s">
        <v>130</v>
      </c>
      <c r="C8" s="556"/>
      <c r="D8" s="556"/>
      <c r="E8" s="556"/>
      <c r="F8" s="556"/>
      <c r="G8" s="556"/>
      <c r="H8" s="557"/>
    </row>
    <row r="9" spans="1:8" ht="114" customHeight="1" x14ac:dyDescent="0.25">
      <c r="B9" s="558" t="s">
        <v>545</v>
      </c>
      <c r="C9" s="416"/>
      <c r="D9" s="416"/>
      <c r="E9" s="416"/>
      <c r="F9" s="416"/>
      <c r="G9" s="416"/>
      <c r="H9" s="559"/>
    </row>
    <row r="10" spans="1:8" ht="20.100000000000001" customHeight="1" x14ac:dyDescent="0.25">
      <c r="B10" s="212" t="s">
        <v>299</v>
      </c>
      <c r="C10" s="412" t="s">
        <v>300</v>
      </c>
      <c r="D10" s="412"/>
      <c r="E10" s="412"/>
      <c r="F10" s="412"/>
      <c r="G10" s="213"/>
      <c r="H10" s="214"/>
    </row>
    <row r="11" spans="1:8" ht="30" x14ac:dyDescent="0.25">
      <c r="B11" s="212"/>
      <c r="C11" s="215" t="s">
        <v>566</v>
      </c>
      <c r="D11" s="216" t="s">
        <v>301</v>
      </c>
      <c r="E11" s="215" t="s">
        <v>302</v>
      </c>
      <c r="F11" s="215" t="s">
        <v>303</v>
      </c>
      <c r="G11" s="213"/>
      <c r="H11" s="214"/>
    </row>
    <row r="12" spans="1:8" ht="95.25" customHeight="1" x14ac:dyDescent="0.25">
      <c r="B12" s="212"/>
      <c r="C12" s="217" t="s">
        <v>304</v>
      </c>
      <c r="D12" s="189" t="s">
        <v>305</v>
      </c>
      <c r="E12" s="189" t="s">
        <v>305</v>
      </c>
      <c r="F12" s="189" t="s">
        <v>305</v>
      </c>
      <c r="G12" s="213"/>
      <c r="H12" s="214"/>
    </row>
    <row r="13" spans="1:8" ht="16.5" x14ac:dyDescent="0.3">
      <c r="B13" s="560"/>
      <c r="C13" s="401"/>
      <c r="D13" s="401"/>
      <c r="E13" s="401"/>
      <c r="F13" s="401"/>
      <c r="G13" s="401"/>
      <c r="H13" s="561"/>
    </row>
    <row r="14" spans="1:8" ht="39.75" customHeight="1" x14ac:dyDescent="0.25">
      <c r="B14" s="537" t="s">
        <v>546</v>
      </c>
      <c r="C14" s="538"/>
      <c r="D14" s="538"/>
      <c r="E14" s="538"/>
      <c r="F14" s="538"/>
      <c r="G14" s="538"/>
      <c r="H14" s="539"/>
    </row>
    <row r="15" spans="1:8" ht="42" customHeight="1" thickBot="1" x14ac:dyDescent="0.3">
      <c r="B15" s="540"/>
      <c r="C15" s="541"/>
      <c r="D15" s="541"/>
      <c r="E15" s="541"/>
      <c r="F15" s="541"/>
      <c r="G15" s="541"/>
      <c r="H15" s="542"/>
    </row>
    <row r="16" spans="1:8" ht="17.25" thickBot="1" x14ac:dyDescent="0.35">
      <c r="B16" s="191"/>
      <c r="C16" s="192"/>
      <c r="D16" s="193"/>
      <c r="E16" s="194"/>
      <c r="F16" s="194"/>
      <c r="G16" s="195"/>
      <c r="H16" s="196"/>
    </row>
    <row r="17" spans="2:8" ht="17.25" thickTop="1" x14ac:dyDescent="0.3">
      <c r="B17" s="218"/>
      <c r="C17" s="562" t="s">
        <v>131</v>
      </c>
      <c r="D17" s="563"/>
      <c r="E17" s="564" t="s">
        <v>169</v>
      </c>
      <c r="F17" s="565"/>
      <c r="G17" s="192"/>
      <c r="H17" s="196"/>
    </row>
    <row r="18" spans="2:8" ht="93" customHeight="1" x14ac:dyDescent="0.3">
      <c r="B18" s="218"/>
      <c r="C18" s="566" t="s">
        <v>133</v>
      </c>
      <c r="D18" s="567"/>
      <c r="E18" s="568" t="s">
        <v>547</v>
      </c>
      <c r="F18" s="569"/>
      <c r="G18" s="192"/>
      <c r="H18" s="196"/>
    </row>
    <row r="19" spans="2:8" ht="28.5" customHeight="1" x14ac:dyDescent="0.3">
      <c r="B19" s="218"/>
      <c r="C19" s="566" t="s">
        <v>162</v>
      </c>
      <c r="D19" s="567"/>
      <c r="E19" s="568" t="s">
        <v>167</v>
      </c>
      <c r="F19" s="569"/>
      <c r="G19" s="192"/>
      <c r="H19" s="196"/>
    </row>
    <row r="20" spans="2:8" ht="232.5" customHeight="1" x14ac:dyDescent="0.3">
      <c r="B20" s="218"/>
      <c r="C20" s="570" t="s">
        <v>306</v>
      </c>
      <c r="D20" s="571"/>
      <c r="E20" s="572" t="s">
        <v>567</v>
      </c>
      <c r="F20" s="573"/>
      <c r="G20" s="192"/>
      <c r="H20" s="196"/>
    </row>
    <row r="21" spans="2:8" ht="109.5" customHeight="1" x14ac:dyDescent="0.3">
      <c r="B21" s="218"/>
      <c r="C21" s="570" t="s">
        <v>0</v>
      </c>
      <c r="D21" s="571"/>
      <c r="E21" s="568" t="s">
        <v>548</v>
      </c>
      <c r="F21" s="569"/>
      <c r="G21" s="192"/>
      <c r="H21" s="196"/>
    </row>
    <row r="22" spans="2:8" ht="16.5" x14ac:dyDescent="0.3">
      <c r="B22" s="218"/>
      <c r="C22" s="570" t="s">
        <v>36</v>
      </c>
      <c r="D22" s="571"/>
      <c r="E22" s="568" t="s">
        <v>233</v>
      </c>
      <c r="F22" s="569"/>
      <c r="G22" s="192"/>
      <c r="H22" s="196"/>
    </row>
    <row r="23" spans="2:8" ht="58.5" customHeight="1" x14ac:dyDescent="0.3">
      <c r="B23" s="218"/>
      <c r="C23" s="219" t="s">
        <v>307</v>
      </c>
      <c r="D23" s="220"/>
      <c r="E23" s="572" t="s">
        <v>325</v>
      </c>
      <c r="F23" s="573"/>
      <c r="G23" s="192"/>
      <c r="H23" s="196"/>
    </row>
    <row r="24" spans="2:8" ht="137.25" customHeight="1" x14ac:dyDescent="0.3">
      <c r="B24" s="218"/>
      <c r="C24" s="574" t="s">
        <v>36</v>
      </c>
      <c r="D24" s="221" t="s">
        <v>3</v>
      </c>
      <c r="E24" s="568" t="s">
        <v>324</v>
      </c>
      <c r="F24" s="569"/>
      <c r="G24" s="192"/>
      <c r="H24" s="196"/>
    </row>
    <row r="25" spans="2:8" ht="54" customHeight="1" x14ac:dyDescent="0.3">
      <c r="B25" s="218"/>
      <c r="C25" s="574"/>
      <c r="D25" s="221" t="s">
        <v>1</v>
      </c>
      <c r="E25" s="568" t="s">
        <v>549</v>
      </c>
      <c r="F25" s="569"/>
      <c r="G25" s="192"/>
      <c r="H25" s="196"/>
    </row>
    <row r="26" spans="2:8" ht="69" customHeight="1" x14ac:dyDescent="0.3">
      <c r="B26" s="218"/>
      <c r="C26" s="570" t="s">
        <v>550</v>
      </c>
      <c r="D26" s="571"/>
      <c r="E26" s="568" t="s">
        <v>308</v>
      </c>
      <c r="F26" s="569"/>
      <c r="G26" s="192"/>
      <c r="H26" s="196"/>
    </row>
    <row r="27" spans="2:8" ht="75" customHeight="1" x14ac:dyDescent="0.3">
      <c r="B27" s="218"/>
      <c r="C27" s="570" t="s">
        <v>129</v>
      </c>
      <c r="D27" s="571"/>
      <c r="E27" s="568" t="s">
        <v>586</v>
      </c>
      <c r="F27" s="569"/>
      <c r="G27" s="192"/>
      <c r="H27" s="196"/>
    </row>
    <row r="28" spans="2:8" ht="54" customHeight="1" x14ac:dyDescent="0.3">
      <c r="B28" s="218"/>
      <c r="C28" s="570" t="s">
        <v>309</v>
      </c>
      <c r="D28" s="571"/>
      <c r="E28" s="568" t="s">
        <v>551</v>
      </c>
      <c r="F28" s="569"/>
      <c r="G28" s="192"/>
      <c r="H28" s="196"/>
    </row>
    <row r="29" spans="2:8" ht="63.75" customHeight="1" x14ac:dyDescent="0.3">
      <c r="B29" s="218"/>
      <c r="C29" s="574" t="s">
        <v>267</v>
      </c>
      <c r="D29" s="221" t="s">
        <v>268</v>
      </c>
      <c r="E29" s="568" t="s">
        <v>552</v>
      </c>
      <c r="F29" s="569"/>
      <c r="G29" s="192"/>
      <c r="H29" s="196"/>
    </row>
    <row r="30" spans="2:8" ht="90.75" customHeight="1" x14ac:dyDescent="0.3">
      <c r="B30" s="218"/>
      <c r="C30" s="574"/>
      <c r="D30" s="221" t="s">
        <v>269</v>
      </c>
      <c r="E30" s="568" t="s">
        <v>553</v>
      </c>
      <c r="F30" s="569"/>
      <c r="G30" s="192"/>
      <c r="H30" s="196"/>
    </row>
    <row r="31" spans="2:8" ht="93" customHeight="1" x14ac:dyDescent="0.3">
      <c r="B31" s="218"/>
      <c r="C31" s="574"/>
      <c r="D31" s="221" t="s">
        <v>310</v>
      </c>
      <c r="E31" s="568" t="s">
        <v>554</v>
      </c>
      <c r="F31" s="569"/>
      <c r="G31" s="192"/>
      <c r="H31" s="196"/>
    </row>
    <row r="32" spans="2:8" ht="110.25" customHeight="1" x14ac:dyDescent="0.3">
      <c r="B32" s="218"/>
      <c r="C32" s="574"/>
      <c r="D32" s="221" t="s">
        <v>270</v>
      </c>
      <c r="E32" s="568" t="s">
        <v>555</v>
      </c>
      <c r="F32" s="569"/>
      <c r="G32" s="192"/>
      <c r="H32" s="196"/>
    </row>
    <row r="33" spans="2:8" ht="96" customHeight="1" x14ac:dyDescent="0.3">
      <c r="B33" s="218"/>
      <c r="C33" s="574"/>
      <c r="D33" s="221" t="s">
        <v>311</v>
      </c>
      <c r="E33" s="568" t="s">
        <v>556</v>
      </c>
      <c r="F33" s="569"/>
      <c r="G33" s="192"/>
      <c r="H33" s="196"/>
    </row>
    <row r="34" spans="2:8" ht="108" customHeight="1" x14ac:dyDescent="0.3">
      <c r="B34" s="218"/>
      <c r="C34" s="574"/>
      <c r="D34" s="221" t="s">
        <v>271</v>
      </c>
      <c r="E34" s="568" t="s">
        <v>557</v>
      </c>
      <c r="F34" s="569"/>
      <c r="G34" s="192"/>
      <c r="H34" s="196"/>
    </row>
    <row r="35" spans="2:8" ht="102.75" customHeight="1" x14ac:dyDescent="0.3">
      <c r="B35" s="218"/>
      <c r="C35" s="574"/>
      <c r="D35" s="221" t="s">
        <v>272</v>
      </c>
      <c r="E35" s="568" t="s">
        <v>558</v>
      </c>
      <c r="F35" s="569"/>
      <c r="G35" s="192"/>
      <c r="H35" s="196"/>
    </row>
    <row r="36" spans="2:8" ht="116.25" customHeight="1" x14ac:dyDescent="0.3">
      <c r="B36" s="218"/>
      <c r="C36" s="570" t="s">
        <v>312</v>
      </c>
      <c r="D36" s="571"/>
      <c r="E36" s="568" t="s">
        <v>313</v>
      </c>
      <c r="F36" s="569"/>
      <c r="G36" s="192"/>
      <c r="H36" s="196"/>
    </row>
    <row r="37" spans="2:8" ht="133.5" customHeight="1" x14ac:dyDescent="0.3">
      <c r="B37" s="218"/>
      <c r="C37" s="570" t="s">
        <v>314</v>
      </c>
      <c r="D37" s="571"/>
      <c r="E37" s="568" t="s">
        <v>559</v>
      </c>
      <c r="F37" s="569"/>
      <c r="G37" s="192"/>
      <c r="H37" s="196"/>
    </row>
    <row r="38" spans="2:8" ht="91.5" customHeight="1" x14ac:dyDescent="0.3">
      <c r="B38" s="218"/>
      <c r="C38" s="574" t="s">
        <v>560</v>
      </c>
      <c r="D38" s="220" t="s">
        <v>315</v>
      </c>
      <c r="E38" s="568" t="s">
        <v>568</v>
      </c>
      <c r="F38" s="569"/>
      <c r="G38" s="192"/>
      <c r="H38" s="196"/>
    </row>
    <row r="39" spans="2:8" ht="72" customHeight="1" x14ac:dyDescent="0.3">
      <c r="B39" s="218"/>
      <c r="C39" s="574"/>
      <c r="D39" s="220" t="s">
        <v>316</v>
      </c>
      <c r="E39" s="568" t="s">
        <v>561</v>
      </c>
      <c r="F39" s="569"/>
      <c r="G39" s="192"/>
      <c r="H39" s="196"/>
    </row>
    <row r="40" spans="2:8" ht="166.5" customHeight="1" x14ac:dyDescent="0.3">
      <c r="B40" s="218"/>
      <c r="C40" s="574"/>
      <c r="D40" s="220" t="s">
        <v>317</v>
      </c>
      <c r="E40" s="568" t="s">
        <v>326</v>
      </c>
      <c r="F40" s="569"/>
      <c r="G40" s="192"/>
      <c r="H40" s="196"/>
    </row>
    <row r="41" spans="2:8" ht="38.25" customHeight="1" x14ac:dyDescent="0.3">
      <c r="B41" s="218"/>
      <c r="C41" s="574" t="s">
        <v>36</v>
      </c>
      <c r="D41" s="221" t="s">
        <v>3</v>
      </c>
      <c r="E41" s="568" t="s">
        <v>318</v>
      </c>
      <c r="F41" s="569"/>
      <c r="G41" s="192"/>
      <c r="H41" s="196"/>
    </row>
    <row r="42" spans="2:8" ht="54.75" customHeight="1" x14ac:dyDescent="0.3">
      <c r="B42" s="218"/>
      <c r="C42" s="574"/>
      <c r="D42" s="221" t="s">
        <v>1</v>
      </c>
      <c r="E42" s="568" t="s">
        <v>319</v>
      </c>
      <c r="F42" s="569"/>
      <c r="G42" s="192"/>
      <c r="H42" s="196"/>
    </row>
    <row r="43" spans="2:8" ht="57.75" customHeight="1" x14ac:dyDescent="0.3">
      <c r="B43" s="218"/>
      <c r="C43" s="570" t="s">
        <v>562</v>
      </c>
      <c r="D43" s="571"/>
      <c r="E43" s="568" t="s">
        <v>308</v>
      </c>
      <c r="F43" s="569"/>
      <c r="G43" s="192"/>
      <c r="H43" s="196"/>
    </row>
    <row r="44" spans="2:8" ht="48.75" customHeight="1" x14ac:dyDescent="0.3">
      <c r="B44" s="218"/>
      <c r="C44" s="570" t="s">
        <v>320</v>
      </c>
      <c r="D44" s="571"/>
      <c r="E44" s="568" t="s">
        <v>563</v>
      </c>
      <c r="F44" s="569"/>
      <c r="G44" s="192"/>
      <c r="H44" s="196"/>
    </row>
    <row r="45" spans="2:8" ht="60.75" customHeight="1" x14ac:dyDescent="0.3">
      <c r="B45" s="218"/>
      <c r="C45" s="570" t="s">
        <v>587</v>
      </c>
      <c r="D45" s="571"/>
      <c r="E45" s="568" t="s">
        <v>321</v>
      </c>
      <c r="F45" s="569"/>
      <c r="G45" s="192"/>
      <c r="H45" s="196"/>
    </row>
    <row r="46" spans="2:8" ht="45.75" customHeight="1" x14ac:dyDescent="0.3">
      <c r="B46" s="218"/>
      <c r="C46" s="570" t="s">
        <v>322</v>
      </c>
      <c r="D46" s="571"/>
      <c r="E46" s="568" t="s">
        <v>323</v>
      </c>
      <c r="F46" s="569"/>
      <c r="G46" s="192"/>
      <c r="H46" s="196"/>
    </row>
    <row r="47" spans="2:8" ht="64.5" customHeight="1" thickBot="1" x14ac:dyDescent="0.35">
      <c r="B47" s="218"/>
      <c r="C47" s="577" t="s">
        <v>29</v>
      </c>
      <c r="D47" s="578"/>
      <c r="E47" s="575" t="s">
        <v>544</v>
      </c>
      <c r="F47" s="576"/>
      <c r="G47" s="192"/>
      <c r="H47" s="196"/>
    </row>
    <row r="48" spans="2:8" ht="17.25" thickTop="1" x14ac:dyDescent="0.3">
      <c r="B48" s="191"/>
      <c r="C48" s="197"/>
      <c r="D48" s="197"/>
      <c r="E48" s="198"/>
      <c r="F48" s="198"/>
      <c r="G48" s="192"/>
      <c r="H48" s="196"/>
    </row>
    <row r="49" spans="2:8" ht="21" hidden="1" customHeight="1" x14ac:dyDescent="0.25">
      <c r="B49" s="438" t="s">
        <v>581</v>
      </c>
      <c r="C49" s="439"/>
      <c r="D49" s="439"/>
      <c r="E49" s="439"/>
      <c r="F49" s="439"/>
      <c r="G49" s="439"/>
      <c r="H49" s="440"/>
    </row>
    <row r="50" spans="2:8" ht="20.25" hidden="1" customHeight="1" x14ac:dyDescent="0.25">
      <c r="B50" s="438" t="s">
        <v>582</v>
      </c>
      <c r="C50" s="439"/>
      <c r="D50" s="439"/>
      <c r="E50" s="439"/>
      <c r="F50" s="439"/>
      <c r="G50" s="439"/>
      <c r="H50" s="440"/>
    </row>
    <row r="51" spans="2:8" ht="20.25" hidden="1" customHeight="1" x14ac:dyDescent="0.25">
      <c r="B51" s="438" t="s">
        <v>583</v>
      </c>
      <c r="C51" s="439"/>
      <c r="D51" s="439"/>
      <c r="E51" s="439"/>
      <c r="F51" s="439"/>
      <c r="G51" s="439"/>
      <c r="H51" s="440"/>
    </row>
    <row r="52" spans="2:8" ht="20.25" hidden="1" customHeight="1" x14ac:dyDescent="0.25">
      <c r="B52" s="438" t="s">
        <v>584</v>
      </c>
      <c r="C52" s="439"/>
      <c r="D52" s="439"/>
      <c r="E52" s="439"/>
      <c r="F52" s="439"/>
      <c r="G52" s="439"/>
      <c r="H52" s="440"/>
    </row>
    <row r="53" spans="2:8" ht="16.5" hidden="1" x14ac:dyDescent="0.25">
      <c r="B53" s="438" t="s">
        <v>585</v>
      </c>
      <c r="C53" s="439"/>
      <c r="D53" s="439"/>
      <c r="E53" s="439"/>
      <c r="F53" s="439"/>
      <c r="G53" s="439"/>
      <c r="H53" s="440"/>
    </row>
    <row r="54" spans="2:8" ht="17.25" thickBot="1" x14ac:dyDescent="0.35">
      <c r="B54" s="199"/>
      <c r="C54" s="200"/>
      <c r="D54" s="200"/>
      <c r="E54" s="200"/>
      <c r="F54" s="200"/>
      <c r="G54" s="200"/>
      <c r="H54" s="201"/>
    </row>
  </sheetData>
  <mergeCells count="69">
    <mergeCell ref="B52:H52"/>
    <mergeCell ref="B53:H53"/>
    <mergeCell ref="B51:H51"/>
    <mergeCell ref="C41:C42"/>
    <mergeCell ref="E41:F41"/>
    <mergeCell ref="E42:F42"/>
    <mergeCell ref="C43:D43"/>
    <mergeCell ref="E43:F43"/>
    <mergeCell ref="B50:H50"/>
    <mergeCell ref="C44:D44"/>
    <mergeCell ref="E44:F44"/>
    <mergeCell ref="C45:D45"/>
    <mergeCell ref="E45:F45"/>
    <mergeCell ref="C46:D46"/>
    <mergeCell ref="E46:F46"/>
    <mergeCell ref="C47:D47"/>
    <mergeCell ref="E47:F47"/>
    <mergeCell ref="B49:H49"/>
    <mergeCell ref="C36:D36"/>
    <mergeCell ref="E36:F36"/>
    <mergeCell ref="C37:D37"/>
    <mergeCell ref="E37:F37"/>
    <mergeCell ref="C38:C40"/>
    <mergeCell ref="E38:F38"/>
    <mergeCell ref="E39:F39"/>
    <mergeCell ref="E40:F40"/>
    <mergeCell ref="C27:D27"/>
    <mergeCell ref="E27:F27"/>
    <mergeCell ref="C28:D28"/>
    <mergeCell ref="E28:F28"/>
    <mergeCell ref="C29:C35"/>
    <mergeCell ref="E29:F29"/>
    <mergeCell ref="E30:F30"/>
    <mergeCell ref="E31:F31"/>
    <mergeCell ref="E32:F32"/>
    <mergeCell ref="E33:F33"/>
    <mergeCell ref="E34:F34"/>
    <mergeCell ref="E35:F35"/>
    <mergeCell ref="E23:F23"/>
    <mergeCell ref="C24:C25"/>
    <mergeCell ref="E24:F24"/>
    <mergeCell ref="E25:F25"/>
    <mergeCell ref="C26:D26"/>
    <mergeCell ref="E26:F26"/>
    <mergeCell ref="C20:D20"/>
    <mergeCell ref="E20:F20"/>
    <mergeCell ref="C21:D21"/>
    <mergeCell ref="E21:F21"/>
    <mergeCell ref="C22:D22"/>
    <mergeCell ref="E22:F22"/>
    <mergeCell ref="C17:D17"/>
    <mergeCell ref="E17:F17"/>
    <mergeCell ref="C18:D18"/>
    <mergeCell ref="E18:F18"/>
    <mergeCell ref="C19:D19"/>
    <mergeCell ref="E19:F19"/>
    <mergeCell ref="B14:H15"/>
    <mergeCell ref="A1:B3"/>
    <mergeCell ref="C1:H1"/>
    <mergeCell ref="C2:H2"/>
    <mergeCell ref="C3:F3"/>
    <mergeCell ref="G3:H3"/>
    <mergeCell ref="B5:H5"/>
    <mergeCell ref="B6:H6"/>
    <mergeCell ref="B7:H7"/>
    <mergeCell ref="B8:H8"/>
    <mergeCell ref="B9:H9"/>
    <mergeCell ref="C10:F10"/>
    <mergeCell ref="B13:H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X208"/>
  <sheetViews>
    <sheetView zoomScale="60" zoomScaleNormal="60" zoomScaleSheetLayoutView="25" workbookViewId="0">
      <pane xSplit="3" ySplit="6" topLeftCell="D7" activePane="bottomRight" state="frozen"/>
      <selection pane="topRight" activeCell="C1" sqref="C1"/>
      <selection pane="bottomLeft" activeCell="A7" sqref="A7"/>
      <selection pane="bottomRight" activeCell="C97" sqref="C97:C102"/>
    </sheetView>
  </sheetViews>
  <sheetFormatPr baseColWidth="10" defaultColWidth="11.42578125" defaultRowHeight="16.5" x14ac:dyDescent="0.3"/>
  <cols>
    <col min="1" max="1" width="6.42578125" style="2" customWidth="1"/>
    <col min="2" max="2" width="19.28515625" style="2" customWidth="1"/>
    <col min="3" max="4" width="41.42578125" style="112" customWidth="1"/>
    <col min="5" max="5" width="51.85546875" style="2" customWidth="1"/>
    <col min="6" max="6" width="26.5703125" style="2" customWidth="1"/>
    <col min="7" max="7" width="81" style="1" customWidth="1"/>
    <col min="8" max="8" width="27.85546875" style="3" customWidth="1"/>
    <col min="9" max="9" width="27" style="3" customWidth="1"/>
    <col min="10" max="10" width="17.85546875" style="1" customWidth="1"/>
    <col min="11" max="11" width="16.5703125" style="1" customWidth="1"/>
    <col min="12" max="12" width="6.28515625" style="1" customWidth="1"/>
    <col min="13" max="13" width="17.5703125" style="1" customWidth="1"/>
    <col min="14" max="14" width="18" style="1" customWidth="1"/>
    <col min="15" max="15" width="8.85546875" style="1" customWidth="1"/>
    <col min="16" max="16" width="16" style="1" customWidth="1"/>
    <col min="17" max="17" width="5.85546875" style="1" customWidth="1"/>
    <col min="18" max="18" width="77.28515625" style="251" customWidth="1"/>
    <col min="19" max="19" width="14.7109375" style="3" customWidth="1"/>
    <col min="20" max="20" width="50.28515625" style="3" customWidth="1"/>
    <col min="21" max="21" width="15.140625" style="1" customWidth="1"/>
    <col min="22" max="22" width="6.85546875" style="1" customWidth="1"/>
    <col min="23" max="23" width="5" style="1" customWidth="1"/>
    <col min="24" max="24" width="5.5703125" style="1" customWidth="1"/>
    <col min="25" max="25" width="7.140625" style="1" customWidth="1"/>
    <col min="26" max="26" width="6.7109375" style="1" customWidth="1"/>
    <col min="27" max="27" width="7.5703125" style="1" customWidth="1"/>
    <col min="28" max="28" width="11.140625" style="1" customWidth="1"/>
    <col min="29" max="29" width="8.7109375" style="1" customWidth="1"/>
    <col min="30" max="30" width="8.85546875" style="1" customWidth="1"/>
    <col min="31" max="31" width="9.28515625" style="1" customWidth="1"/>
    <col min="32" max="32" width="7.85546875" style="1" customWidth="1"/>
    <col min="33" max="33" width="8.28515625" style="1" customWidth="1"/>
    <col min="34" max="37" width="7.28515625" style="1" customWidth="1"/>
    <col min="38" max="38" width="7.5703125" style="1" customWidth="1"/>
    <col min="39" max="39" width="20.85546875" style="1" customWidth="1"/>
    <col min="40" max="40" width="23.42578125" style="1" customWidth="1"/>
    <col min="41" max="41" width="22" style="1" customWidth="1"/>
    <col min="42" max="42" width="18.85546875" style="4" customWidth="1"/>
    <col min="43" max="43" width="18.5703125" style="4" customWidth="1"/>
    <col min="44" max="44" width="21" style="4" customWidth="1"/>
    <col min="45" max="96" width="11.42578125" style="4"/>
    <col min="97" max="16384" width="11.42578125" style="1"/>
  </cols>
  <sheetData>
    <row r="1" spans="1:96" ht="55.5" customHeight="1" thickBot="1" x14ac:dyDescent="0.35">
      <c r="A1" s="588" t="s">
        <v>1019</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row>
    <row r="2" spans="1:96" ht="34.5" customHeight="1" thickBot="1" x14ac:dyDescent="0.35">
      <c r="A2" s="583" t="s">
        <v>186</v>
      </c>
      <c r="B2" s="584"/>
      <c r="C2" s="584"/>
      <c r="D2" s="584"/>
      <c r="E2" s="584"/>
      <c r="F2" s="584"/>
      <c r="G2" s="584"/>
      <c r="H2" s="584"/>
      <c r="I2" s="584"/>
      <c r="J2" s="585"/>
      <c r="K2" s="508" t="s">
        <v>266</v>
      </c>
      <c r="L2" s="509"/>
      <c r="M2" s="509"/>
      <c r="N2" s="509"/>
      <c r="O2" s="509"/>
      <c r="P2" s="510"/>
      <c r="Q2" s="508" t="s">
        <v>265</v>
      </c>
      <c r="R2" s="509"/>
      <c r="S2" s="509"/>
      <c r="T2" s="509"/>
      <c r="U2" s="509"/>
      <c r="V2" s="509"/>
      <c r="W2" s="509"/>
      <c r="X2" s="509"/>
      <c r="Y2" s="509"/>
      <c r="Z2" s="509"/>
      <c r="AA2" s="510"/>
      <c r="AB2" s="508" t="s">
        <v>264</v>
      </c>
      <c r="AC2" s="509"/>
      <c r="AD2" s="509"/>
      <c r="AE2" s="509"/>
      <c r="AF2" s="509"/>
      <c r="AG2" s="509"/>
      <c r="AH2" s="510"/>
      <c r="AI2" s="508" t="s">
        <v>668</v>
      </c>
      <c r="AJ2" s="509"/>
      <c r="AK2" s="509"/>
      <c r="AL2" s="509"/>
      <c r="AM2" s="586" t="s">
        <v>1096</v>
      </c>
      <c r="AN2" s="587"/>
      <c r="AO2" s="587"/>
    </row>
    <row r="3" spans="1:96" ht="33.75" customHeight="1" thickBot="1" x14ac:dyDescent="0.35">
      <c r="A3" s="448" t="s">
        <v>614</v>
      </c>
      <c r="B3" s="448" t="s">
        <v>829</v>
      </c>
      <c r="C3" s="448" t="s">
        <v>615</v>
      </c>
      <c r="D3" s="448" t="s">
        <v>616</v>
      </c>
      <c r="E3" s="522" t="s">
        <v>625</v>
      </c>
      <c r="F3" s="523"/>
      <c r="G3" s="448" t="s">
        <v>184</v>
      </c>
      <c r="H3" s="448" t="s">
        <v>257</v>
      </c>
      <c r="I3" s="448" t="s">
        <v>666</v>
      </c>
      <c r="J3" s="448" t="s">
        <v>263</v>
      </c>
      <c r="K3" s="472" t="s">
        <v>262</v>
      </c>
      <c r="L3" s="472" t="s">
        <v>4</v>
      </c>
      <c r="M3" s="472" t="s">
        <v>686</v>
      </c>
      <c r="N3" s="472" t="s">
        <v>192</v>
      </c>
      <c r="O3" s="286"/>
      <c r="P3" s="472" t="s">
        <v>259</v>
      </c>
      <c r="Q3" s="475" t="s">
        <v>10</v>
      </c>
      <c r="R3" s="499" t="s">
        <v>258</v>
      </c>
      <c r="S3" s="499" t="s">
        <v>667</v>
      </c>
      <c r="T3" s="499" t="s">
        <v>680</v>
      </c>
      <c r="U3" s="499" t="s">
        <v>11</v>
      </c>
      <c r="V3" s="478" t="s">
        <v>7</v>
      </c>
      <c r="W3" s="479"/>
      <c r="X3" s="480"/>
      <c r="Y3" s="479"/>
      <c r="Z3" s="479"/>
      <c r="AA3" s="481"/>
      <c r="AB3" s="488" t="s">
        <v>110</v>
      </c>
      <c r="AC3" s="491" t="s">
        <v>33</v>
      </c>
      <c r="AD3" s="491" t="s">
        <v>4</v>
      </c>
      <c r="AE3" s="491" t="s">
        <v>34</v>
      </c>
      <c r="AF3" s="491" t="s">
        <v>4</v>
      </c>
      <c r="AG3" s="596" t="s">
        <v>676</v>
      </c>
      <c r="AH3" s="502" t="s">
        <v>25</v>
      </c>
      <c r="AI3" s="463" t="s">
        <v>669</v>
      </c>
      <c r="AJ3" s="463" t="s">
        <v>983</v>
      </c>
      <c r="AK3" s="463" t="s">
        <v>984</v>
      </c>
      <c r="AL3" s="463" t="s">
        <v>985</v>
      </c>
      <c r="AM3" s="590" t="s">
        <v>1097</v>
      </c>
      <c r="AN3" s="593" t="s">
        <v>1098</v>
      </c>
      <c r="AO3" s="590" t="s">
        <v>1099</v>
      </c>
    </row>
    <row r="4" spans="1:96" ht="21" customHeight="1" thickBot="1" x14ac:dyDescent="0.35">
      <c r="A4" s="449"/>
      <c r="B4" s="449"/>
      <c r="C4" s="449"/>
      <c r="D4" s="449"/>
      <c r="E4" s="524"/>
      <c r="F4" s="525"/>
      <c r="G4" s="449"/>
      <c r="H4" s="449"/>
      <c r="I4" s="449"/>
      <c r="J4" s="449"/>
      <c r="K4" s="473"/>
      <c r="L4" s="473"/>
      <c r="M4" s="473"/>
      <c r="N4" s="473"/>
      <c r="O4" s="287"/>
      <c r="P4" s="473"/>
      <c r="Q4" s="476"/>
      <c r="R4" s="500"/>
      <c r="S4" s="500"/>
      <c r="T4" s="500"/>
      <c r="U4" s="500"/>
      <c r="V4" s="466" t="s">
        <v>12</v>
      </c>
      <c r="W4" s="466" t="s">
        <v>16</v>
      </c>
      <c r="X4" s="466" t="s">
        <v>24</v>
      </c>
      <c r="Y4" s="466" t="s">
        <v>17</v>
      </c>
      <c r="Z4" s="466" t="s">
        <v>20</v>
      </c>
      <c r="AA4" s="494" t="s">
        <v>23</v>
      </c>
      <c r="AB4" s="489"/>
      <c r="AC4" s="492"/>
      <c r="AD4" s="492"/>
      <c r="AE4" s="492"/>
      <c r="AF4" s="492"/>
      <c r="AG4" s="492"/>
      <c r="AH4" s="503"/>
      <c r="AI4" s="464"/>
      <c r="AJ4" s="464"/>
      <c r="AK4" s="464"/>
      <c r="AL4" s="464"/>
      <c r="AM4" s="591"/>
      <c r="AN4" s="594"/>
      <c r="AO4" s="591"/>
    </row>
    <row r="5" spans="1:96" ht="33.6" customHeight="1" x14ac:dyDescent="0.3">
      <c r="A5" s="449"/>
      <c r="B5" s="449"/>
      <c r="C5" s="449"/>
      <c r="D5" s="449"/>
      <c r="E5" s="448" t="s">
        <v>664</v>
      </c>
      <c r="F5" s="526" t="s">
        <v>665</v>
      </c>
      <c r="G5" s="449"/>
      <c r="H5" s="449"/>
      <c r="I5" s="449"/>
      <c r="J5" s="449"/>
      <c r="K5" s="473"/>
      <c r="L5" s="473"/>
      <c r="M5" s="473"/>
      <c r="N5" s="473"/>
      <c r="O5" s="287"/>
      <c r="P5" s="473"/>
      <c r="Q5" s="476"/>
      <c r="R5" s="500"/>
      <c r="S5" s="500"/>
      <c r="T5" s="500"/>
      <c r="U5" s="500"/>
      <c r="V5" s="467"/>
      <c r="W5" s="467"/>
      <c r="X5" s="467"/>
      <c r="Y5" s="467"/>
      <c r="Z5" s="467"/>
      <c r="AA5" s="494"/>
      <c r="AB5" s="489"/>
      <c r="AC5" s="492"/>
      <c r="AD5" s="492"/>
      <c r="AE5" s="492"/>
      <c r="AF5" s="492"/>
      <c r="AG5" s="492"/>
      <c r="AH5" s="503"/>
      <c r="AI5" s="464"/>
      <c r="AJ5" s="464"/>
      <c r="AK5" s="464"/>
      <c r="AL5" s="464"/>
      <c r="AM5" s="591"/>
      <c r="AN5" s="594"/>
      <c r="AO5" s="591"/>
    </row>
    <row r="6" spans="1:96" s="18" customFormat="1" ht="52.15" customHeight="1" thickBot="1" x14ac:dyDescent="0.3">
      <c r="A6" s="450"/>
      <c r="B6" s="450"/>
      <c r="C6" s="450"/>
      <c r="D6" s="450"/>
      <c r="E6" s="450"/>
      <c r="F6" s="527"/>
      <c r="G6" s="450"/>
      <c r="H6" s="450"/>
      <c r="I6" s="450"/>
      <c r="J6" s="450"/>
      <c r="K6" s="474"/>
      <c r="L6" s="474"/>
      <c r="M6" s="474"/>
      <c r="N6" s="474"/>
      <c r="O6" s="288" t="s">
        <v>4</v>
      </c>
      <c r="P6" s="474"/>
      <c r="Q6" s="477"/>
      <c r="R6" s="501"/>
      <c r="S6" s="501"/>
      <c r="T6" s="501"/>
      <c r="U6" s="501"/>
      <c r="V6" s="468"/>
      <c r="W6" s="468"/>
      <c r="X6" s="468"/>
      <c r="Y6" s="468"/>
      <c r="Z6" s="468"/>
      <c r="AA6" s="495"/>
      <c r="AB6" s="490"/>
      <c r="AC6" s="493"/>
      <c r="AD6" s="493"/>
      <c r="AE6" s="493"/>
      <c r="AF6" s="493"/>
      <c r="AG6" s="493"/>
      <c r="AH6" s="504"/>
      <c r="AI6" s="465"/>
      <c r="AJ6" s="465"/>
      <c r="AK6" s="465"/>
      <c r="AL6" s="465"/>
      <c r="AM6" s="592"/>
      <c r="AN6" s="595"/>
      <c r="AO6" s="592"/>
    </row>
    <row r="7" spans="1:96" s="261" customFormat="1" ht="169.9" customHeight="1" x14ac:dyDescent="0.2">
      <c r="A7" s="597" t="s">
        <v>678</v>
      </c>
      <c r="B7" s="580" t="s">
        <v>830</v>
      </c>
      <c r="C7" s="531" t="s">
        <v>595</v>
      </c>
      <c r="D7" s="533" t="s">
        <v>624</v>
      </c>
      <c r="E7" s="533" t="s">
        <v>913</v>
      </c>
      <c r="F7" s="528" t="s">
        <v>675</v>
      </c>
      <c r="G7" s="528" t="s">
        <v>1081</v>
      </c>
      <c r="H7" s="528" t="s">
        <v>233</v>
      </c>
      <c r="I7" s="528" t="s">
        <v>777</v>
      </c>
      <c r="J7" s="515">
        <v>237528</v>
      </c>
      <c r="K7" s="513" t="str">
        <f t="shared" ref="K7" si="0">IF(J7&lt;=0,"",IF(J7&lt;=2,"Muy Baja",IF(J7&lt;=24,"Baja",IF(J7&lt;=500,"Media",IF(J7&lt;=5000,"Alta","Muy Alta")))))</f>
        <v>Muy Alta</v>
      </c>
      <c r="L7" s="512">
        <f>IF(K7="","",IF(K7="Muy Baja",0.2,IF(K7="Baja",0.4,IF(K7="Media",0.6,IF(K7="Alta",0.8,IF(K7="Muy Alta",1,))))))</f>
        <v>1</v>
      </c>
      <c r="M7" s="513">
        <v>5</v>
      </c>
      <c r="N7" s="512" t="str">
        <f>IF(M7=1,"INSIGNIFICANTE",IF(M7=2,"Menor",IF(M7=3,"Moderado",IF(M7=4,"Mayor",IF(M7=5,"Catastrófico",IF(M7=""," "))))))</f>
        <v>Catastrófico</v>
      </c>
      <c r="O7" s="512">
        <f>IF(N7="","",IF(N7="Leve",0.2,IF(N7="Menor",0.4,IF(N7="Moderado",0.6,IF(N7="Mayor",0.8,IF(N7="Catastrófico",1,))))))</f>
        <v>1</v>
      </c>
      <c r="P7" s="514" t="str">
        <f>IF(OR(AND(K7="Muy Baja",N7="Leve"),AND(K7="Muy Baja",K7="Menor"),AND(K7="Baja",N7="Leve")),"Bajo",IF(OR(AND(K7="Muy baja",N7="Moderado"),AND(K7="Baja",N7="Menor"),AND(K7="Baja",N7="Moderado"),AND(K7="Media",N7="Leve"),AND(K7="Media",N7="Menor"),AND(K7="Media",N7="Moderado"),AND(K7="Alta",N7="Leve"),AND(K7="Alta",N7="Menor")),"Moderado",IF(OR(AND(K7="Muy Baja",N7="Mayor"),AND(K7="Baja",N7="Mayor"),AND(K7="Media",N7="Mayor"),AND(K7="Alta",N7="Moderado"),AND(K7="Alta",N7="Mayor"),AND(K7="Muy Alta",N7="Leve"),AND(K7="Muy Alta",N7="Menor"),AND(K7="Muy Alta",N7="Moderado"),AND(K7="Muy Alta",N7="Mayor")),"Alto",IF(OR(AND(K7="Muy Baja",N7="Catastrófico"),AND(K7="Baja",N7="Catastrófico"),AND(K7="Media",N7="Catastrófico"),AND(K7="Alta",N7="Catastrófico"),AND(K7="Muy Alta",N7="Catastrófico")),"Extremo",""))))</f>
        <v>Extremo</v>
      </c>
      <c r="Q7" s="338">
        <v>1</v>
      </c>
      <c r="R7" s="339" t="s">
        <v>679</v>
      </c>
      <c r="S7" s="340" t="s">
        <v>293</v>
      </c>
      <c r="T7" s="340" t="s">
        <v>681</v>
      </c>
      <c r="U7" s="341" t="str">
        <f>IF(OR(V7="Preventivo",V7="Detectivo"),"Probabilidad",IF(V7="Correctivo","Impacto",""))</f>
        <v>Probabilidad</v>
      </c>
      <c r="V7" s="342" t="s">
        <v>13</v>
      </c>
      <c r="W7" s="342" t="s">
        <v>8</v>
      </c>
      <c r="X7" s="343" t="str">
        <f>IF(AND(V7="Preventivo",W7="Automático"),"50%",IF(AND(V7="Preventivo",W7="Manual"),"40%",IF(AND(V7="Detectivo",W7="Automático"),"40%",IF(AND(V7="Detectivo",W7="Manual"),"30%",IF(AND(V7="Correctivo",W7="Automático"),"35%",IF(AND(V7="Correctivo",W7="Manual"),"25%",""))))))</f>
        <v>40%</v>
      </c>
      <c r="Y7" s="342" t="s">
        <v>18</v>
      </c>
      <c r="Z7" s="342" t="s">
        <v>21</v>
      </c>
      <c r="AA7" s="342" t="s">
        <v>103</v>
      </c>
      <c r="AB7" s="344">
        <f>IFERROR(IF(U7="Probabilidad",(L7-(+L7*X7)),IF(U7="Impacto",L7,"")),"")</f>
        <v>0.6</v>
      </c>
      <c r="AC7" s="345" t="str">
        <f>IFERROR(IF(AB7="","",IF(AB7&lt;=0.2,"Muy Baja",IF(AB7&lt;=0.4,"Baja",IF(AB7&lt;=0.6,"Media",IF(AB7&lt;=0.8,"Alta","Muy Alta"))))),"")</f>
        <v>Media</v>
      </c>
      <c r="AD7" s="343">
        <f>+AB7</f>
        <v>0.6</v>
      </c>
      <c r="AE7" s="345" t="str">
        <f>IFERROR(IF(AF7="","",IF(AF7&lt;=0.2,"Leve",IF(AF7&lt;=0.4,"Menor",IF(AF7&lt;=0.6,"Moderado",IF(AF7&lt;=0.8,"Mayor","Catastrófico"))))),"")</f>
        <v>Catastrófico</v>
      </c>
      <c r="AF7" s="347">
        <f>IFERROR(IF(U7="Impacto",(O7-(+O7*X7)),IF(U7="Probabilidad",O7,"")),"")</f>
        <v>1</v>
      </c>
      <c r="AG7" s="346" t="str">
        <f>IFERROR(IF(OR(AND(AC7="Muy Baja",AE7="Leve"),AND(AC7="Muy Baja",AE7="Menor"),AND(AC7="Baja",AE7="Leve")),"Bajo",IF(OR(AND(AC7="Muy baja",AE7="Moderado"),AND(AC7="Baja",AE7="Menor"),AND(AC7="Baja",AE7="Moderado"),AND(AC7="Media",AE7="Leve"),AND(AC7="Media",AE7="Menor"),AND(AC7="Media",AE7="Moderado"),AND(AC7="Alta",AE7="Leve"),AND(AC7="Alta",AE7="Menor")),"Moderado",IF(OR(AND(AC7="Muy Baja",AE7="Mayor"),AND(AC7="Baja",AE7="Mayor"),AND(AC7="Media",AE7="Mayor"),AND(AC7="Alta",AE7="Moderado"),AND(AC7="Alta",AE7="Mayor"),AND(AC7="Muy Alta",AE7="Leve"),AND(AC7="Muy Alta",AE7="Menor"),AND(AC7="Muy Alta",AE7="Moderado"),AND(AC7="Muy Alta",AE7="Mayor")),"Alto",IF(OR(AND(AC7="Muy Baja",AE7="Catastrófico"),AND(AC7="Baja",AE7="Catastrófico"),AND(AC7="Media",AE7="Catastrófico"),AND(AC7="Alta",AE7="Catastrófico"),AND(AC7="Muy Alta",AE7="Catastrófico")),"Extremo","")))),"")</f>
        <v>Extremo</v>
      </c>
      <c r="AH7" s="342" t="s">
        <v>26</v>
      </c>
      <c r="AI7" s="348">
        <v>4</v>
      </c>
      <c r="AJ7" s="348">
        <v>1</v>
      </c>
      <c r="AK7" s="348">
        <v>1</v>
      </c>
      <c r="AL7" s="348">
        <v>2</v>
      </c>
      <c r="AM7" s="358"/>
      <c r="AN7" s="358"/>
      <c r="AO7" s="359"/>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row>
    <row r="8" spans="1:96" s="258" customFormat="1" ht="156" customHeight="1" x14ac:dyDescent="0.2">
      <c r="A8" s="581"/>
      <c r="B8" s="579"/>
      <c r="C8" s="452"/>
      <c r="D8" s="454"/>
      <c r="E8" s="454"/>
      <c r="F8" s="446"/>
      <c r="G8" s="446"/>
      <c r="H8" s="446"/>
      <c r="I8" s="446"/>
      <c r="J8" s="457"/>
      <c r="K8" s="447"/>
      <c r="L8" s="445"/>
      <c r="M8" s="447"/>
      <c r="N8" s="445"/>
      <c r="O8" s="445"/>
      <c r="P8" s="459"/>
      <c r="Q8" s="248">
        <v>2</v>
      </c>
      <c r="R8" s="321" t="s">
        <v>1094</v>
      </c>
      <c r="S8" s="245" t="s">
        <v>293</v>
      </c>
      <c r="T8" s="245" t="s">
        <v>1082</v>
      </c>
      <c r="U8" s="322" t="str">
        <f>IF(OR(V8="Preventivo",V8="Detectivo"),"Probabilidad",IF(V8="Correctivo","Impacto",""))</f>
        <v>Probabilidad</v>
      </c>
      <c r="V8" s="323" t="s">
        <v>13</v>
      </c>
      <c r="W8" s="323" t="s">
        <v>8</v>
      </c>
      <c r="X8" s="324" t="str">
        <f t="shared" ref="X8" si="1">IF(AND(V8="Preventivo",W8="Automático"),"50%",IF(AND(V8="Preventivo",W8="Manual"),"40%",IF(AND(V8="Detectivo",W8="Automático"),"40%",IF(AND(V8="Detectivo",W8="Manual"),"30%",IF(AND(V8="Correctivo",W8="Automático"),"35%",IF(AND(V8="Correctivo",W8="Manual"),"25%",""))))))</f>
        <v>40%</v>
      </c>
      <c r="Y8" s="323" t="s">
        <v>18</v>
      </c>
      <c r="Z8" s="323" t="s">
        <v>21</v>
      </c>
      <c r="AA8" s="323" t="s">
        <v>103</v>
      </c>
      <c r="AB8" s="325">
        <f>IFERROR(IF(AND(U7="Probabilidad",U8="Probabilidad"),(AD7-(+AD7*X8)),IF(U8="Probabilidad",(L7-(+L7*X8)),IF(U8="Impacto",AD7,""))),"")</f>
        <v>0.36</v>
      </c>
      <c r="AC8" s="326" t="str">
        <f>IFERROR(IF(AB8="","",IF(AB8&lt;=0.2,"Muy Baja",IF(AB8&lt;=0.4,"Baja",IF(AB8&lt;=0.6,"Media",IF(AB8&lt;=0.8,"Alta","Muy Alta"))))),"")</f>
        <v>Baja</v>
      </c>
      <c r="AD8" s="324">
        <f t="shared" ref="AD8:AD12" si="2">+AB8</f>
        <v>0.36</v>
      </c>
      <c r="AE8" s="326" t="str">
        <f>IFERROR(IF(AF8="","",IF(AF8&lt;=0.2,"Leve",IF(AF8&lt;=0.4,"Menor",IF(AF8&lt;=0.6,"Moderado",IF(AF8&lt;=0.8,"Mayor","Catastrófico"))))),"")</f>
        <v>Catastrófico</v>
      </c>
      <c r="AF8" s="324">
        <f>IFERROR(IF(AND(U7="Impacto",U8="Impacto"),(AF7-(+AF7*X8)),IF(U8="Impacto",($O$7-(+$O$7*X8)),IF(U8="Probabilidad",AF7,""))),"")</f>
        <v>1</v>
      </c>
      <c r="AG8" s="328" t="str">
        <f t="shared" ref="AG8:AG9" si="3">IFERROR(IF(OR(AND(AC8="Muy Baja",AE8="Leve"),AND(AC8="Muy Baja",AE8="Menor"),AND(AC8="Baja",AE8="Leve")),"Bajo",IF(OR(AND(AC8="Muy baja",AE8="Moderado"),AND(AC8="Baja",AE8="Menor"),AND(AC8="Baja",AE8="Moderado"),AND(AC8="Media",AE8="Leve"),AND(AC8="Media",AE8="Menor"),AND(AC8="Media",AE8="Moderado"),AND(AC8="Alta",AE8="Leve"),AND(AC8="Alta",AE8="Menor")),"Moderado",IF(OR(AND(AC8="Muy Baja",AE8="Mayor"),AND(AC8="Baja",AE8="Mayor"),AND(AC8="Media",AE8="Mayor"),AND(AC8="Alta",AE8="Moderado"),AND(AC8="Alta",AE8="Mayor"),AND(AC8="Muy Alta",AE8="Leve"),AND(AC8="Muy Alta",AE8="Menor"),AND(AC8="Muy Alta",AE8="Moderado"),AND(AC8="Muy Alta",AE8="Mayor")),"Alto",IF(OR(AND(AC8="Muy Baja",AE8="Catastrófico"),AND(AC8="Baja",AE8="Catastrófico"),AND(AC8="Media",AE8="Catastrófico"),AND(AC8="Alta",AE8="Catastrófico"),AND(AC8="Muy Alta",AE8="Catastrófico")),"Extremo","")))),"")</f>
        <v>Extremo</v>
      </c>
      <c r="AH8" s="323" t="s">
        <v>26</v>
      </c>
      <c r="AI8" s="329">
        <v>2</v>
      </c>
      <c r="AJ8" s="329">
        <v>0</v>
      </c>
      <c r="AK8" s="329">
        <v>1</v>
      </c>
      <c r="AL8" s="329">
        <v>1</v>
      </c>
      <c r="AM8" s="256"/>
      <c r="AN8" s="256"/>
      <c r="AO8" s="254"/>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c r="CQ8" s="273"/>
      <c r="CR8" s="273"/>
    </row>
    <row r="9" spans="1:96" s="258" customFormat="1" ht="14.25" customHeight="1" x14ac:dyDescent="0.2">
      <c r="A9" s="581"/>
      <c r="B9" s="579"/>
      <c r="C9" s="452"/>
      <c r="D9" s="454"/>
      <c r="E9" s="454"/>
      <c r="F9" s="446"/>
      <c r="G9" s="446"/>
      <c r="H9" s="446"/>
      <c r="I9" s="446"/>
      <c r="J9" s="457"/>
      <c r="K9" s="447"/>
      <c r="L9" s="445"/>
      <c r="M9" s="447"/>
      <c r="N9" s="445"/>
      <c r="O9" s="445"/>
      <c r="P9" s="459"/>
      <c r="Q9" s="248">
        <v>3</v>
      </c>
      <c r="R9" s="330"/>
      <c r="S9" s="245"/>
      <c r="T9" s="245"/>
      <c r="U9" s="322" t="str">
        <f>IF(OR(V9="Preventivo",V9="Detectivo"),"Probabilidad",IF(V9="Correctivo","Impacto",""))</f>
        <v/>
      </c>
      <c r="V9" s="323"/>
      <c r="W9" s="323"/>
      <c r="X9" s="324" t="str">
        <f>IF(AND(V9="Preventivo",W9="Automático"),"50%",IF(AND(V9="Preventivo",W9="Manual"),"40%",IF(AND(V9="Detectivo",W9="Automático"),"40%",IF(AND(V9="Detectivo",W9="Manual"),"30%",IF(AND(V9="Correctivo",W9="Automático"),"35%",IF(AND(V9="Correctivo",W9="Manual"),"25%",""))))))</f>
        <v/>
      </c>
      <c r="Y9" s="323"/>
      <c r="Z9" s="323"/>
      <c r="AA9" s="323"/>
      <c r="AB9" s="325" t="str">
        <f t="shared" ref="AB9:AB12" si="4">IFERROR(IF(AND(U8="Probabilidad",U9="Probabilidad"),(AD8-(+AD8*X9)),IF(AND(U8="Impacto",U9="Probabilidad"),(AD7-(+AD7*X9)),IF(U9="Impacto",AD8,""))),"")</f>
        <v/>
      </c>
      <c r="AC9" s="326" t="str">
        <f t="shared" ref="AC9:AC12" si="5">IFERROR(IF(AB9="","",IF(AB9&lt;=0.2,"Muy Baja",IF(AB9&lt;=0.4,"Baja",IF(AB9&lt;=0.6,"Media",IF(AB9&lt;=0.8,"Alta","Muy Alta"))))),"")</f>
        <v/>
      </c>
      <c r="AD9" s="324" t="str">
        <f t="shared" si="2"/>
        <v/>
      </c>
      <c r="AE9" s="326" t="str">
        <f t="shared" ref="AE9:AE12" si="6">IFERROR(IF(AF9="","",IF(AF9&lt;=0.2,"Leve",IF(AF9&lt;=0.4,"Menor",IF(AF9&lt;=0.6,"Moderado",IF(AF9&lt;=0.8,"Mayor","Catastrófico"))))),"")</f>
        <v/>
      </c>
      <c r="AF9" s="324" t="str">
        <f t="shared" ref="AF9:AF12" si="7">IFERROR(IF(AND(U8="Impacto",U9="Impacto"),(AF8-(+AF8*X9)),IF(U9="Impacto",($O$7-(+$O$7*X9)),IF(U9="Probabilidad",AF8,""))),"")</f>
        <v/>
      </c>
      <c r="AG9" s="328" t="str">
        <f t="shared" si="3"/>
        <v/>
      </c>
      <c r="AH9" s="323"/>
      <c r="AI9" s="329"/>
      <c r="AJ9" s="329"/>
      <c r="AK9" s="329"/>
      <c r="AL9" s="329"/>
      <c r="AM9" s="256"/>
      <c r="AN9" s="256"/>
      <c r="AO9" s="254"/>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row>
    <row r="10" spans="1:96" s="258" customFormat="1" ht="14.25" customHeight="1" x14ac:dyDescent="0.2">
      <c r="A10" s="581"/>
      <c r="B10" s="579"/>
      <c r="C10" s="452"/>
      <c r="D10" s="454"/>
      <c r="E10" s="454"/>
      <c r="F10" s="446"/>
      <c r="G10" s="446"/>
      <c r="H10" s="446"/>
      <c r="I10" s="446"/>
      <c r="J10" s="457"/>
      <c r="K10" s="447"/>
      <c r="L10" s="445"/>
      <c r="M10" s="447"/>
      <c r="N10" s="445"/>
      <c r="O10" s="445"/>
      <c r="P10" s="459"/>
      <c r="Q10" s="248">
        <v>4</v>
      </c>
      <c r="R10" s="321"/>
      <c r="S10" s="245"/>
      <c r="T10" s="245"/>
      <c r="U10" s="322" t="str">
        <f t="shared" ref="U10:U12" si="8">IF(OR(V10="Preventivo",V10="Detectivo"),"Probabilidad",IF(V10="Correctivo","Impacto",""))</f>
        <v/>
      </c>
      <c r="V10" s="323"/>
      <c r="W10" s="323"/>
      <c r="X10" s="324" t="str">
        <f t="shared" ref="X10:X62" si="9">IF(AND(V10="Preventivo",W10="Automático"),"50%",IF(AND(V10="Preventivo",W10="Manual"),"40%",IF(AND(V10="Detectivo",W10="Automático"),"40%",IF(AND(V10="Detectivo",W10="Manual"),"30%",IF(AND(V10="Correctivo",W10="Automático"),"35%",IF(AND(V10="Correctivo",W10="Manual"),"25%",""))))))</f>
        <v/>
      </c>
      <c r="Y10" s="323"/>
      <c r="Z10" s="323"/>
      <c r="AA10" s="323"/>
      <c r="AB10" s="325" t="str">
        <f t="shared" si="4"/>
        <v/>
      </c>
      <c r="AC10" s="326" t="str">
        <f t="shared" si="5"/>
        <v/>
      </c>
      <c r="AD10" s="324" t="str">
        <f t="shared" si="2"/>
        <v/>
      </c>
      <c r="AE10" s="326" t="str">
        <f t="shared" si="6"/>
        <v/>
      </c>
      <c r="AF10" s="324" t="str">
        <f t="shared" si="7"/>
        <v/>
      </c>
      <c r="AG10" s="328" t="str">
        <f>IFERROR(IF(OR(AND(AC10="Muy Baja",AE10="Leve"),AND(AC10="Muy Baja",AE10="Menor"),AND(AC10="Baja",AE10="Leve")),"Bajo",IF(OR(AND(AC10="Muy baja",AE10="Moderado"),AND(AC10="Baja",AE10="Menor"),AND(AC10="Baja",AE10="Moderado"),AND(AC10="Media",AE10="Leve"),AND(AC10="Media",AE10="Menor"),AND(AC10="Media",AE10="Moderado"),AND(AC10="Alta",AE10="Leve"),AND(AC10="Alta",AE10="Menor")),"Moderado",IF(OR(AND(AC10="Muy Baja",AE10="Mayor"),AND(AC10="Baja",AE10="Mayor"),AND(AC10="Media",AE10="Mayor"),AND(AC10="Alta",AE10="Moderado"),AND(AC10="Alta",AE10="Mayor"),AND(AC10="Muy Alta",AE10="Leve"),AND(AC10="Muy Alta",AE10="Menor"),AND(AC10="Muy Alta",AE10="Moderado"),AND(AC10="Muy Alta",AE10="Mayor")),"Alto",IF(OR(AND(AC10="Muy Baja",AE10="Catastrófico"),AND(AC10="Baja",AE10="Catastrófico"),AND(AC10="Media",AE10="Catastrófico"),AND(AC10="Alta",AE10="Catastrófico"),AND(AC10="Muy Alta",AE10="Catastrófico")),"Extremo","")))),"")</f>
        <v/>
      </c>
      <c r="AH10" s="323"/>
      <c r="AI10" s="329"/>
      <c r="AJ10" s="329"/>
      <c r="AK10" s="329"/>
      <c r="AL10" s="329"/>
      <c r="AM10" s="209"/>
      <c r="AN10" s="209"/>
      <c r="AO10" s="244"/>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row>
    <row r="11" spans="1:96" s="258" customFormat="1" ht="14.25" customHeight="1" x14ac:dyDescent="0.2">
      <c r="A11" s="581"/>
      <c r="B11" s="579"/>
      <c r="C11" s="452"/>
      <c r="D11" s="454"/>
      <c r="E11" s="454"/>
      <c r="F11" s="446"/>
      <c r="G11" s="446"/>
      <c r="H11" s="446"/>
      <c r="I11" s="446"/>
      <c r="J11" s="457"/>
      <c r="K11" s="447"/>
      <c r="L11" s="445"/>
      <c r="M11" s="447"/>
      <c r="N11" s="445"/>
      <c r="O11" s="445"/>
      <c r="P11" s="459"/>
      <c r="Q11" s="248">
        <v>5</v>
      </c>
      <c r="R11" s="321"/>
      <c r="S11" s="245"/>
      <c r="T11" s="245"/>
      <c r="U11" s="322" t="str">
        <f t="shared" si="8"/>
        <v/>
      </c>
      <c r="V11" s="323"/>
      <c r="W11" s="323"/>
      <c r="X11" s="324" t="str">
        <f t="shared" si="9"/>
        <v/>
      </c>
      <c r="Y11" s="323"/>
      <c r="Z11" s="323"/>
      <c r="AA11" s="323"/>
      <c r="AB11" s="325" t="str">
        <f t="shared" si="4"/>
        <v/>
      </c>
      <c r="AC11" s="326" t="str">
        <f t="shared" si="5"/>
        <v/>
      </c>
      <c r="AD11" s="324" t="str">
        <f t="shared" si="2"/>
        <v/>
      </c>
      <c r="AE11" s="326" t="str">
        <f t="shared" si="6"/>
        <v/>
      </c>
      <c r="AF11" s="324" t="str">
        <f t="shared" si="7"/>
        <v/>
      </c>
      <c r="AG11" s="328" t="str">
        <f t="shared" ref="AG11:AG12" si="10">IFERROR(IF(OR(AND(AC11="Muy Baja",AE11="Leve"),AND(AC11="Muy Baja",AE11="Menor"),AND(AC11="Baja",AE11="Leve")),"Bajo",IF(OR(AND(AC11="Muy baja",AE11="Moderado"),AND(AC11="Baja",AE11="Menor"),AND(AC11="Baja",AE11="Moderado"),AND(AC11="Media",AE11="Leve"),AND(AC11="Media",AE11="Menor"),AND(AC11="Media",AE11="Moderado"),AND(AC11="Alta",AE11="Leve"),AND(AC11="Alta",AE11="Menor")),"Moderado",IF(OR(AND(AC11="Muy Baja",AE11="Mayor"),AND(AC11="Baja",AE11="Mayor"),AND(AC11="Media",AE11="Mayor"),AND(AC11="Alta",AE11="Moderado"),AND(AC11="Alta",AE11="Mayor"),AND(AC11="Muy Alta",AE11="Leve"),AND(AC11="Muy Alta",AE11="Menor"),AND(AC11="Muy Alta",AE11="Moderado"),AND(AC11="Muy Alta",AE11="Mayor")),"Alto",IF(OR(AND(AC11="Muy Baja",AE11="Catastrófico"),AND(AC11="Baja",AE11="Catastrófico"),AND(AC11="Media",AE11="Catastrófico"),AND(AC11="Alta",AE11="Catastrófico"),AND(AC11="Muy Alta",AE11="Catastrófico")),"Extremo","")))),"")</f>
        <v/>
      </c>
      <c r="AH11" s="323"/>
      <c r="AI11" s="329"/>
      <c r="AJ11" s="329"/>
      <c r="AK11" s="329"/>
      <c r="AL11" s="329"/>
      <c r="AM11" s="254"/>
      <c r="AN11" s="254"/>
      <c r="AO11" s="255"/>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c r="CQ11" s="273"/>
      <c r="CR11" s="273"/>
    </row>
    <row r="12" spans="1:96" s="258" customFormat="1" ht="14.25" customHeight="1" x14ac:dyDescent="0.2">
      <c r="A12" s="581"/>
      <c r="B12" s="579"/>
      <c r="C12" s="452"/>
      <c r="D12" s="454"/>
      <c r="E12" s="454"/>
      <c r="F12" s="446"/>
      <c r="G12" s="446"/>
      <c r="H12" s="446"/>
      <c r="I12" s="446"/>
      <c r="J12" s="457"/>
      <c r="K12" s="447"/>
      <c r="L12" s="445"/>
      <c r="M12" s="447"/>
      <c r="N12" s="445"/>
      <c r="O12" s="445"/>
      <c r="P12" s="459"/>
      <c r="Q12" s="248">
        <v>6</v>
      </c>
      <c r="R12" s="321"/>
      <c r="S12" s="245"/>
      <c r="T12" s="245"/>
      <c r="U12" s="322" t="str">
        <f t="shared" si="8"/>
        <v/>
      </c>
      <c r="V12" s="323"/>
      <c r="W12" s="323"/>
      <c r="X12" s="324" t="str">
        <f t="shared" si="9"/>
        <v/>
      </c>
      <c r="Y12" s="323"/>
      <c r="Z12" s="323"/>
      <c r="AA12" s="323"/>
      <c r="AB12" s="325" t="str">
        <f t="shared" si="4"/>
        <v/>
      </c>
      <c r="AC12" s="326" t="str">
        <f t="shared" si="5"/>
        <v/>
      </c>
      <c r="AD12" s="324" t="str">
        <f t="shared" si="2"/>
        <v/>
      </c>
      <c r="AE12" s="326" t="str">
        <f t="shared" si="6"/>
        <v/>
      </c>
      <c r="AF12" s="324" t="str">
        <f t="shared" si="7"/>
        <v/>
      </c>
      <c r="AG12" s="328" t="str">
        <f t="shared" si="10"/>
        <v/>
      </c>
      <c r="AH12" s="323"/>
      <c r="AI12" s="329"/>
      <c r="AJ12" s="329"/>
      <c r="AK12" s="329"/>
      <c r="AL12" s="329"/>
      <c r="AM12" s="254"/>
      <c r="AN12" s="254"/>
      <c r="AO12" s="255"/>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row>
    <row r="13" spans="1:96" s="261" customFormat="1" ht="169.9" customHeight="1" x14ac:dyDescent="0.2">
      <c r="A13" s="581" t="s">
        <v>986</v>
      </c>
      <c r="B13" s="579" t="s">
        <v>830</v>
      </c>
      <c r="C13" s="452" t="s">
        <v>708</v>
      </c>
      <c r="D13" s="454" t="s">
        <v>622</v>
      </c>
      <c r="E13" s="454" t="s">
        <v>988</v>
      </c>
      <c r="F13" s="446" t="s">
        <v>675</v>
      </c>
      <c r="G13" s="446" t="s">
        <v>987</v>
      </c>
      <c r="H13" s="446" t="s">
        <v>233</v>
      </c>
      <c r="I13" s="446" t="s">
        <v>777</v>
      </c>
      <c r="J13" s="457">
        <v>2</v>
      </c>
      <c r="K13" s="447" t="str">
        <f t="shared" ref="K13" si="11">IF(J13&lt;=0,"",IF(J13&lt;=2,"Muy Baja",IF(J13&lt;=24,"Baja",IF(J13&lt;=500,"Media",IF(J13&lt;=5000,"Alta","Muy Alta")))))</f>
        <v>Muy Baja</v>
      </c>
      <c r="L13" s="445">
        <f>IF(K13="","",IF(K13="Muy Baja",0.2,IF(K13="Baja",0.4,IF(K13="Media",0.6,IF(K13="Alta",0.8,IF(K13="Muy Alta",1,))))))</f>
        <v>0.2</v>
      </c>
      <c r="M13" s="447">
        <v>5</v>
      </c>
      <c r="N13" s="445" t="str">
        <f>IF(M13=1,"INSIGNIFICANTE",IF(M13=2,"Menor",IF(M13=3,"Moderado",IF(M13=4,"Mayor",IF(M13=5,"Catastrófico",IF(M13=""," "))))))</f>
        <v>Catastrófico</v>
      </c>
      <c r="O13" s="445">
        <f>IF(N13="","",IF(N13="Leve",0.2,IF(N13="Menor",0.4,IF(N13="Moderado",0.6,IF(N13="Mayor",0.8,IF(N13="Catastrófico",1,))))))</f>
        <v>1</v>
      </c>
      <c r="P13" s="459" t="str">
        <f>IF(OR(AND(K13="Muy Baja",N13="Leve"),AND(K13="Muy Baja",K13="Menor"),AND(K13="Baja",N13="Leve")),"Bajo",IF(OR(AND(K13="Muy baja",N13="Moderado"),AND(K13="Baja",N13="Menor"),AND(K13="Baja",N13="Moderado"),AND(K13="Media",N13="Leve"),AND(K13="Media",N13="Menor"),AND(K13="Media",N13="Moderado"),AND(K13="Alta",N13="Leve"),AND(K13="Alta",N13="Menor")),"Moderado",IF(OR(AND(K13="Muy Baja",N13="Mayor"),AND(K13="Baja",N13="Mayor"),AND(K13="Media",N13="Mayor"),AND(K13="Alta",N13="Moderado"),AND(K13="Alta",N13="Mayor"),AND(K13="Muy Alta",N13="Leve"),AND(K13="Muy Alta",N13="Menor"),AND(K13="Muy Alta",N13="Moderado"),AND(K13="Muy Alta",N13="Mayor")),"Alto",IF(OR(AND(K13="Muy Baja",N13="Catastrófico"),AND(K13="Baja",N13="Catastrófico"),AND(K13="Media",N13="Catastrófico"),AND(K13="Alta",N13="Catastrófico"),AND(K13="Muy Alta",N13="Catastrófico")),"Extremo",""))))</f>
        <v>Extremo</v>
      </c>
      <c r="Q13" s="248">
        <v>1</v>
      </c>
      <c r="R13" s="321" t="s">
        <v>989</v>
      </c>
      <c r="S13" s="245" t="s">
        <v>293</v>
      </c>
      <c r="T13" s="245" t="s">
        <v>990</v>
      </c>
      <c r="U13" s="322" t="str">
        <f>IF(OR(V13="Preventivo",V13="Detectivo"),"Probabilidad",IF(V13="Correctivo","Impacto",""))</f>
        <v>Probabilidad</v>
      </c>
      <c r="V13" s="323" t="s">
        <v>13</v>
      </c>
      <c r="W13" s="323" t="s">
        <v>8</v>
      </c>
      <c r="X13" s="324" t="str">
        <f>IF(AND(V13="Preventivo",W13="Automático"),"50%",IF(AND(V13="Preventivo",W13="Manual"),"40%",IF(AND(V13="Detectivo",W13="Automático"),"40%",IF(AND(V13="Detectivo",W13="Manual"),"30%",IF(AND(V13="Correctivo",W13="Automático"),"35%",IF(AND(V13="Correctivo",W13="Manual"),"25%",""))))))</f>
        <v>40%</v>
      </c>
      <c r="Y13" s="323" t="s">
        <v>18</v>
      </c>
      <c r="Z13" s="323" t="s">
        <v>21</v>
      </c>
      <c r="AA13" s="323" t="s">
        <v>103</v>
      </c>
      <c r="AB13" s="325">
        <f>IFERROR(IF(U13="Probabilidad",(L13-(+L13*X13)),IF(U13="Impacto",L13,"")),"")</f>
        <v>0.12</v>
      </c>
      <c r="AC13" s="326" t="str">
        <f>IFERROR(IF(AB13="","",IF(AB13&lt;=0.2,"Muy Baja",IF(AB13&lt;=0.4,"Baja",IF(AB13&lt;=0.6,"Media",IF(AB13&lt;=0.8,"Alta","Muy Alta"))))),"")</f>
        <v>Muy Baja</v>
      </c>
      <c r="AD13" s="324">
        <f>+AB13</f>
        <v>0.12</v>
      </c>
      <c r="AE13" s="326" t="str">
        <f>IFERROR(IF(AF13="","",IF(AF13&lt;=0.2,"Leve",IF(AF13&lt;=0.4,"Menor",IF(AF13&lt;=0.6,"Moderado",IF(AF13&lt;=0.8,"Mayor","Catastrófico"))))),"")</f>
        <v>Catastrófico</v>
      </c>
      <c r="AF13" s="327">
        <f>IFERROR(IF(U13="Impacto",(O13-(+O13*X13)),IF(U13="Probabilidad",O13,"")),"")</f>
        <v>1</v>
      </c>
      <c r="AG13" s="328" t="str">
        <f>IFERROR(IF(OR(AND(AC13="Muy Baja",AE13="Leve"),AND(AC13="Muy Baja",AE13="Menor"),AND(AC13="Baja",AE13="Leve")),"Bajo",IF(OR(AND(AC13="Muy baja",AE13="Moderado"),AND(AC13="Baja",AE13="Menor"),AND(AC13="Baja",AE13="Moderado"),AND(AC13="Media",AE13="Leve"),AND(AC13="Media",AE13="Menor"),AND(AC13="Media",AE13="Moderado"),AND(AC13="Alta",AE13="Leve"),AND(AC13="Alta",AE13="Menor")),"Moderado",IF(OR(AND(AC13="Muy Baja",AE13="Mayor"),AND(AC13="Baja",AE13="Mayor"),AND(AC13="Media",AE13="Mayor"),AND(AC13="Alta",AE13="Moderado"),AND(AC13="Alta",AE13="Mayor"),AND(AC13="Muy Alta",AE13="Leve"),AND(AC13="Muy Alta",AE13="Menor"),AND(AC13="Muy Alta",AE13="Moderado"),AND(AC13="Muy Alta",AE13="Mayor")),"Alto",IF(OR(AND(AC13="Muy Baja",AE13="Catastrófico"),AND(AC13="Baja",AE13="Catastrófico"),AND(AC13="Media",AE13="Catastrófico"),AND(AC13="Alta",AE13="Catastrófico"),AND(AC13="Muy Alta",AE13="Catastrófico")),"Extremo","")))),"")</f>
        <v>Extremo</v>
      </c>
      <c r="AH13" s="323" t="s">
        <v>26</v>
      </c>
      <c r="AI13" s="329">
        <v>4</v>
      </c>
      <c r="AJ13" s="329">
        <v>1</v>
      </c>
      <c r="AK13" s="329">
        <v>1</v>
      </c>
      <c r="AL13" s="329">
        <v>2</v>
      </c>
      <c r="AM13" s="358"/>
      <c r="AN13" s="358"/>
      <c r="AO13" s="359"/>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row>
    <row r="14" spans="1:96" s="258" customFormat="1" ht="144" customHeight="1" x14ac:dyDescent="0.2">
      <c r="A14" s="581"/>
      <c r="B14" s="579"/>
      <c r="C14" s="452"/>
      <c r="D14" s="454"/>
      <c r="E14" s="454"/>
      <c r="F14" s="446"/>
      <c r="G14" s="446"/>
      <c r="H14" s="446"/>
      <c r="I14" s="446"/>
      <c r="J14" s="457"/>
      <c r="K14" s="447"/>
      <c r="L14" s="445"/>
      <c r="M14" s="447"/>
      <c r="N14" s="445"/>
      <c r="O14" s="445"/>
      <c r="P14" s="459"/>
      <c r="Q14" s="248">
        <v>2</v>
      </c>
      <c r="R14" s="321"/>
      <c r="S14" s="245"/>
      <c r="T14" s="245"/>
      <c r="U14" s="322"/>
      <c r="V14" s="323"/>
      <c r="W14" s="323"/>
      <c r="X14" s="324"/>
      <c r="Y14" s="323"/>
      <c r="Z14" s="323"/>
      <c r="AA14" s="323"/>
      <c r="AB14" s="325"/>
      <c r="AC14" s="326"/>
      <c r="AD14" s="324"/>
      <c r="AE14" s="326"/>
      <c r="AF14" s="324"/>
      <c r="AG14" s="328"/>
      <c r="AH14" s="323"/>
      <c r="AI14" s="329"/>
      <c r="AJ14" s="329"/>
      <c r="AK14" s="329"/>
      <c r="AL14" s="329"/>
      <c r="AM14" s="256"/>
      <c r="AN14" s="256"/>
      <c r="AO14" s="254"/>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row>
    <row r="15" spans="1:96" s="258" customFormat="1" ht="14.25" customHeight="1" x14ac:dyDescent="0.2">
      <c r="A15" s="581"/>
      <c r="B15" s="579"/>
      <c r="C15" s="452"/>
      <c r="D15" s="454"/>
      <c r="E15" s="454"/>
      <c r="F15" s="446"/>
      <c r="G15" s="446"/>
      <c r="H15" s="446"/>
      <c r="I15" s="446"/>
      <c r="J15" s="457"/>
      <c r="K15" s="447"/>
      <c r="L15" s="445"/>
      <c r="M15" s="447"/>
      <c r="N15" s="445"/>
      <c r="O15" s="445"/>
      <c r="P15" s="459"/>
      <c r="Q15" s="248">
        <v>3</v>
      </c>
      <c r="R15" s="330"/>
      <c r="S15" s="245"/>
      <c r="T15" s="245"/>
      <c r="U15" s="322" t="str">
        <f>IF(OR(V15="Preventivo",V15="Detectivo"),"Probabilidad",IF(V15="Correctivo","Impacto",""))</f>
        <v/>
      </c>
      <c r="V15" s="323"/>
      <c r="W15" s="323"/>
      <c r="X15" s="324" t="str">
        <f>IF(AND(V15="Preventivo",W15="Automático"),"50%",IF(AND(V15="Preventivo",W15="Manual"),"40%",IF(AND(V15="Detectivo",W15="Automático"),"40%",IF(AND(V15="Detectivo",W15="Manual"),"30%",IF(AND(V15="Correctivo",W15="Automático"),"35%",IF(AND(V15="Correctivo",W15="Manual"),"25%",""))))))</f>
        <v/>
      </c>
      <c r="Y15" s="323"/>
      <c r="Z15" s="323"/>
      <c r="AA15" s="323"/>
      <c r="AB15" s="325" t="str">
        <f t="shared" ref="AB15:AB18" si="12">IFERROR(IF(AND(U14="Probabilidad",U15="Probabilidad"),(AD14-(+AD14*X15)),IF(AND(U14="Impacto",U15="Probabilidad"),(AD13-(+AD13*X15)),IF(U15="Impacto",AD14,""))),"")</f>
        <v/>
      </c>
      <c r="AC15" s="326" t="str">
        <f t="shared" ref="AC15:AC18" si="13">IFERROR(IF(AB15="","",IF(AB15&lt;=0.2,"Muy Baja",IF(AB15&lt;=0.4,"Baja",IF(AB15&lt;=0.6,"Media",IF(AB15&lt;=0.8,"Alta","Muy Alta"))))),"")</f>
        <v/>
      </c>
      <c r="AD15" s="324" t="str">
        <f t="shared" ref="AD15:AD18" si="14">+AB15</f>
        <v/>
      </c>
      <c r="AE15" s="326" t="str">
        <f t="shared" ref="AE15:AE18" si="15">IFERROR(IF(AF15="","",IF(AF15&lt;=0.2,"Leve",IF(AF15&lt;=0.4,"Menor",IF(AF15&lt;=0.6,"Moderado",IF(AF15&lt;=0.8,"Mayor","Catastrófico"))))),"")</f>
        <v/>
      </c>
      <c r="AF15" s="324" t="str">
        <f t="shared" ref="AF15:AF18" si="16">IFERROR(IF(AND(U14="Impacto",U15="Impacto"),(AF14-(+AF14*X15)),IF(U15="Impacto",($O$7-(+$O$7*X15)),IF(U15="Probabilidad",AF14,""))),"")</f>
        <v/>
      </c>
      <c r="AG15" s="328" t="str">
        <f t="shared" ref="AG15" si="17">IFERROR(IF(OR(AND(AC15="Muy Baja",AE15="Leve"),AND(AC15="Muy Baja",AE15="Menor"),AND(AC15="Baja",AE15="Leve")),"Bajo",IF(OR(AND(AC15="Muy baja",AE15="Moderado"),AND(AC15="Baja",AE15="Menor"),AND(AC15="Baja",AE15="Moderado"),AND(AC15="Media",AE15="Leve"),AND(AC15="Media",AE15="Menor"),AND(AC15="Media",AE15="Moderado"),AND(AC15="Alta",AE15="Leve"),AND(AC15="Alta",AE15="Menor")),"Moderado",IF(OR(AND(AC15="Muy Baja",AE15="Mayor"),AND(AC15="Baja",AE15="Mayor"),AND(AC15="Media",AE15="Mayor"),AND(AC15="Alta",AE15="Moderado"),AND(AC15="Alta",AE15="Mayor"),AND(AC15="Muy Alta",AE15="Leve"),AND(AC15="Muy Alta",AE15="Menor"),AND(AC15="Muy Alta",AE15="Moderado"),AND(AC15="Muy Alta",AE15="Mayor")),"Alto",IF(OR(AND(AC15="Muy Baja",AE15="Catastrófico"),AND(AC15="Baja",AE15="Catastrófico"),AND(AC15="Media",AE15="Catastrófico"),AND(AC15="Alta",AE15="Catastrófico"),AND(AC15="Muy Alta",AE15="Catastrófico")),"Extremo","")))),"")</f>
        <v/>
      </c>
      <c r="AH15" s="323"/>
      <c r="AI15" s="329"/>
      <c r="AJ15" s="329"/>
      <c r="AK15" s="329"/>
      <c r="AL15" s="329"/>
      <c r="AM15" s="256"/>
      <c r="AN15" s="256"/>
      <c r="AO15" s="254"/>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c r="CR15" s="273"/>
    </row>
    <row r="16" spans="1:96" s="258" customFormat="1" ht="14.25" customHeight="1" x14ac:dyDescent="0.2">
      <c r="A16" s="581"/>
      <c r="B16" s="579"/>
      <c r="C16" s="452"/>
      <c r="D16" s="454"/>
      <c r="E16" s="454"/>
      <c r="F16" s="446"/>
      <c r="G16" s="446"/>
      <c r="H16" s="446"/>
      <c r="I16" s="446"/>
      <c r="J16" s="457"/>
      <c r="K16" s="447"/>
      <c r="L16" s="445"/>
      <c r="M16" s="447"/>
      <c r="N16" s="445"/>
      <c r="O16" s="445"/>
      <c r="P16" s="459"/>
      <c r="Q16" s="248">
        <v>4</v>
      </c>
      <c r="R16" s="321"/>
      <c r="S16" s="245"/>
      <c r="T16" s="245"/>
      <c r="U16" s="322" t="str">
        <f t="shared" ref="U16:U18" si="18">IF(OR(V16="Preventivo",V16="Detectivo"),"Probabilidad",IF(V16="Correctivo","Impacto",""))</f>
        <v/>
      </c>
      <c r="V16" s="323"/>
      <c r="W16" s="323"/>
      <c r="X16" s="324" t="str">
        <f t="shared" ref="X16:X18" si="19">IF(AND(V16="Preventivo",W16="Automático"),"50%",IF(AND(V16="Preventivo",W16="Manual"),"40%",IF(AND(V16="Detectivo",W16="Automático"),"40%",IF(AND(V16="Detectivo",W16="Manual"),"30%",IF(AND(V16="Correctivo",W16="Automático"),"35%",IF(AND(V16="Correctivo",W16="Manual"),"25%",""))))))</f>
        <v/>
      </c>
      <c r="Y16" s="323"/>
      <c r="Z16" s="323"/>
      <c r="AA16" s="323"/>
      <c r="AB16" s="325" t="str">
        <f t="shared" si="12"/>
        <v/>
      </c>
      <c r="AC16" s="326" t="str">
        <f t="shared" si="13"/>
        <v/>
      </c>
      <c r="AD16" s="324" t="str">
        <f t="shared" si="14"/>
        <v/>
      </c>
      <c r="AE16" s="326" t="str">
        <f t="shared" si="15"/>
        <v/>
      </c>
      <c r="AF16" s="324" t="str">
        <f t="shared" si="16"/>
        <v/>
      </c>
      <c r="AG16" s="328" t="str">
        <f>IFERROR(IF(OR(AND(AC16="Muy Baja",AE16="Leve"),AND(AC16="Muy Baja",AE16="Menor"),AND(AC16="Baja",AE16="Leve")),"Bajo",IF(OR(AND(AC16="Muy baja",AE16="Moderado"),AND(AC16="Baja",AE16="Menor"),AND(AC16="Baja",AE16="Moderado"),AND(AC16="Media",AE16="Leve"),AND(AC16="Media",AE16="Menor"),AND(AC16="Media",AE16="Moderado"),AND(AC16="Alta",AE16="Leve"),AND(AC16="Alta",AE16="Menor")),"Moderado",IF(OR(AND(AC16="Muy Baja",AE16="Mayor"),AND(AC16="Baja",AE16="Mayor"),AND(AC16="Media",AE16="Mayor"),AND(AC16="Alta",AE16="Moderado"),AND(AC16="Alta",AE16="Mayor"),AND(AC16="Muy Alta",AE16="Leve"),AND(AC16="Muy Alta",AE16="Menor"),AND(AC16="Muy Alta",AE16="Moderado"),AND(AC16="Muy Alta",AE16="Mayor")),"Alto",IF(OR(AND(AC16="Muy Baja",AE16="Catastrófico"),AND(AC16="Baja",AE16="Catastrófico"),AND(AC16="Media",AE16="Catastrófico"),AND(AC16="Alta",AE16="Catastrófico"),AND(AC16="Muy Alta",AE16="Catastrófico")),"Extremo","")))),"")</f>
        <v/>
      </c>
      <c r="AH16" s="323"/>
      <c r="AI16" s="329"/>
      <c r="AJ16" s="329"/>
      <c r="AK16" s="329"/>
      <c r="AL16" s="329"/>
      <c r="AM16" s="209"/>
      <c r="AN16" s="209"/>
      <c r="AO16" s="244"/>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row>
    <row r="17" spans="1:102" s="258" customFormat="1" ht="14.25" customHeight="1" x14ac:dyDescent="0.2">
      <c r="A17" s="581"/>
      <c r="B17" s="579"/>
      <c r="C17" s="452"/>
      <c r="D17" s="454"/>
      <c r="E17" s="454"/>
      <c r="F17" s="446"/>
      <c r="G17" s="446"/>
      <c r="H17" s="446"/>
      <c r="I17" s="446"/>
      <c r="J17" s="457"/>
      <c r="K17" s="447"/>
      <c r="L17" s="445"/>
      <c r="M17" s="447"/>
      <c r="N17" s="445"/>
      <c r="O17" s="445"/>
      <c r="P17" s="459"/>
      <c r="Q17" s="248">
        <v>5</v>
      </c>
      <c r="R17" s="321"/>
      <c r="S17" s="245"/>
      <c r="T17" s="245"/>
      <c r="U17" s="322" t="str">
        <f t="shared" si="18"/>
        <v/>
      </c>
      <c r="V17" s="323"/>
      <c r="W17" s="323"/>
      <c r="X17" s="324" t="str">
        <f t="shared" si="19"/>
        <v/>
      </c>
      <c r="Y17" s="323"/>
      <c r="Z17" s="323"/>
      <c r="AA17" s="323"/>
      <c r="AB17" s="325" t="str">
        <f t="shared" si="12"/>
        <v/>
      </c>
      <c r="AC17" s="326" t="str">
        <f t="shared" si="13"/>
        <v/>
      </c>
      <c r="AD17" s="324" t="str">
        <f t="shared" si="14"/>
        <v/>
      </c>
      <c r="AE17" s="326" t="str">
        <f t="shared" si="15"/>
        <v/>
      </c>
      <c r="AF17" s="324" t="str">
        <f t="shared" si="16"/>
        <v/>
      </c>
      <c r="AG17" s="328" t="str">
        <f t="shared" ref="AG17:AG18" si="20">IFERROR(IF(OR(AND(AC17="Muy Baja",AE17="Leve"),AND(AC17="Muy Baja",AE17="Menor"),AND(AC17="Baja",AE17="Leve")),"Bajo",IF(OR(AND(AC17="Muy baja",AE17="Moderado"),AND(AC17="Baja",AE17="Menor"),AND(AC17="Baja",AE17="Moderado"),AND(AC17="Media",AE17="Leve"),AND(AC17="Media",AE17="Menor"),AND(AC17="Media",AE17="Moderado"),AND(AC17="Alta",AE17="Leve"),AND(AC17="Alta",AE17="Menor")),"Moderado",IF(OR(AND(AC17="Muy Baja",AE17="Mayor"),AND(AC17="Baja",AE17="Mayor"),AND(AC17="Media",AE17="Mayor"),AND(AC17="Alta",AE17="Moderado"),AND(AC17="Alta",AE17="Mayor"),AND(AC17="Muy Alta",AE17="Leve"),AND(AC17="Muy Alta",AE17="Menor"),AND(AC17="Muy Alta",AE17="Moderado"),AND(AC17="Muy Alta",AE17="Mayor")),"Alto",IF(OR(AND(AC17="Muy Baja",AE17="Catastrófico"),AND(AC17="Baja",AE17="Catastrófico"),AND(AC17="Media",AE17="Catastrófico"),AND(AC17="Alta",AE17="Catastrófico"),AND(AC17="Muy Alta",AE17="Catastrófico")),"Extremo","")))),"")</f>
        <v/>
      </c>
      <c r="AH17" s="323"/>
      <c r="AI17" s="329"/>
      <c r="AJ17" s="329"/>
      <c r="AK17" s="329"/>
      <c r="AL17" s="329"/>
      <c r="AM17" s="254"/>
      <c r="AN17" s="254"/>
      <c r="AO17" s="255"/>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row>
    <row r="18" spans="1:102" s="258" customFormat="1" ht="14.25" customHeight="1" x14ac:dyDescent="0.2">
      <c r="A18" s="581"/>
      <c r="B18" s="579"/>
      <c r="C18" s="452"/>
      <c r="D18" s="454"/>
      <c r="E18" s="454"/>
      <c r="F18" s="446"/>
      <c r="G18" s="446"/>
      <c r="H18" s="446"/>
      <c r="I18" s="446"/>
      <c r="J18" s="457"/>
      <c r="K18" s="447"/>
      <c r="L18" s="445"/>
      <c r="M18" s="447"/>
      <c r="N18" s="445"/>
      <c r="O18" s="445"/>
      <c r="P18" s="459"/>
      <c r="Q18" s="248">
        <v>6</v>
      </c>
      <c r="R18" s="321"/>
      <c r="S18" s="245"/>
      <c r="T18" s="245"/>
      <c r="U18" s="322" t="str">
        <f t="shared" si="18"/>
        <v/>
      </c>
      <c r="V18" s="323"/>
      <c r="W18" s="323"/>
      <c r="X18" s="324" t="str">
        <f t="shared" si="19"/>
        <v/>
      </c>
      <c r="Y18" s="323"/>
      <c r="Z18" s="323"/>
      <c r="AA18" s="323"/>
      <c r="AB18" s="325" t="str">
        <f t="shared" si="12"/>
        <v/>
      </c>
      <c r="AC18" s="326" t="str">
        <f t="shared" si="13"/>
        <v/>
      </c>
      <c r="AD18" s="324" t="str">
        <f t="shared" si="14"/>
        <v/>
      </c>
      <c r="AE18" s="326" t="str">
        <f t="shared" si="15"/>
        <v/>
      </c>
      <c r="AF18" s="324" t="str">
        <f t="shared" si="16"/>
        <v/>
      </c>
      <c r="AG18" s="328" t="str">
        <f t="shared" si="20"/>
        <v/>
      </c>
      <c r="AH18" s="323"/>
      <c r="AI18" s="329"/>
      <c r="AJ18" s="329"/>
      <c r="AK18" s="329"/>
      <c r="AL18" s="329"/>
      <c r="AM18" s="254"/>
      <c r="AN18" s="254"/>
      <c r="AO18" s="255"/>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row>
    <row r="19" spans="1:102" s="261" customFormat="1" ht="141" customHeight="1" x14ac:dyDescent="0.2">
      <c r="A19" s="581" t="s">
        <v>715</v>
      </c>
      <c r="B19" s="579" t="s">
        <v>830</v>
      </c>
      <c r="C19" s="452" t="s">
        <v>603</v>
      </c>
      <c r="D19" s="454" t="s">
        <v>623</v>
      </c>
      <c r="E19" s="454" t="s">
        <v>797</v>
      </c>
      <c r="F19" s="446" t="s">
        <v>675</v>
      </c>
      <c r="G19" s="456" t="s">
        <v>796</v>
      </c>
      <c r="H19" s="446" t="s">
        <v>233</v>
      </c>
      <c r="I19" s="446" t="s">
        <v>798</v>
      </c>
      <c r="J19" s="457">
        <v>15</v>
      </c>
      <c r="K19" s="447" t="str">
        <f t="shared" ref="K19" si="21">IF(J19&lt;=0,"",IF(J19&lt;=2,"Muy Baja",IF(J19&lt;=24,"Baja",IF(J19&lt;=500,"Media",IF(J19&lt;=5000,"Alta","Muy Alta")))))</f>
        <v>Baja</v>
      </c>
      <c r="L19" s="445">
        <f t="shared" ref="L19" si="22">IF(K19="","",IF(K19="Muy Baja",0.2,IF(K19="Baja",0.4,IF(K19="Media",0.6,IF(K19="Alta",0.8,IF(K19="Muy Alta",1,))))))</f>
        <v>0.4</v>
      </c>
      <c r="M19" s="447">
        <v>5</v>
      </c>
      <c r="N19" s="445" t="str">
        <f>IF(M19=1,"INSIGNIFICANTE",IF(M19=2,"Menor",IF(M19=3,"Moderado",IF(M19=4,"MAYOR",IF(M19=5,"Catastrófico",IF(M19=""," "))))))</f>
        <v>Catastrófico</v>
      </c>
      <c r="O19" s="445">
        <f t="shared" ref="O19" si="23">IF(N19="","",IF(N19="Leve",0.2,IF(N19="Menor",0.4,IF(N19="Moderado",0.6,IF(N19="Mayor",0.8,IF(N19="Catastrófico",1,))))))</f>
        <v>1</v>
      </c>
      <c r="P19" s="459" t="str">
        <f t="shared" ref="P19" si="24">IF(OR(AND(K19="Muy Baja",N19="Leve"),AND(K19="Muy Baja",K19="Menor"),AND(K19="Baja",N19="Leve")),"Bajo",IF(OR(AND(K19="Muy baja",N19="Moderado"),AND(K19="Baja",N19="Menor"),AND(K19="Baja",N19="Moderado"),AND(K19="Media",N19="Leve"),AND(K19="Media",N19="Menor"),AND(K19="Media",N19="Moderado"),AND(K19="Alta",N19="Leve"),AND(K19="Alta",N19="Menor")),"Moderado",IF(OR(AND(K19="Muy Baja",N19="Mayor"),AND(K19="Baja",N19="Mayor"),AND(K19="Media",N19="Mayor"),AND(K19="Alta",N19="Moderado"),AND(K19="Alta",N19="Mayor"),AND(K19="Muy Alta",N19="Leve"),AND(K19="Muy Alta",N19="Menor"),AND(K19="Muy Alta",N19="Moderado"),AND(K19="Muy Alta",N19="Mayor")),"Alto",IF(OR(AND(K19="Muy Baja",N19="Catastrófico"),AND(K19="Baja",N19="Catastrófico"),AND(K19="Media",N19="Catastrófico"),AND(K19="Alta",N19="Catastrófico"),AND(K19="Muy Alta",N19="Catastrófico")),"Extremo",""))))</f>
        <v>Extremo</v>
      </c>
      <c r="Q19" s="248">
        <v>1</v>
      </c>
      <c r="R19" s="321" t="s">
        <v>716</v>
      </c>
      <c r="S19" s="245" t="s">
        <v>293</v>
      </c>
      <c r="T19" s="245" t="s">
        <v>717</v>
      </c>
      <c r="U19" s="322" t="str">
        <f>IF(OR(V19="Preventivo",V19="Detectivo"),"Probabilidad",IF(V19="Correctivo","Impacto",""))</f>
        <v>Probabilidad</v>
      </c>
      <c r="V19" s="323" t="s">
        <v>13</v>
      </c>
      <c r="W19" s="323" t="s">
        <v>8</v>
      </c>
      <c r="X19" s="324" t="str">
        <f t="shared" ref="X19:X20" si="25">IF(AND(V19="Preventivo",W19="Automático"),"50%",IF(AND(V19="Preventivo",W19="Manual"),"40%",IF(AND(V19="Detectivo",W19="Automático"),"40%",IF(AND(V19="Detectivo",W19="Manual"),"30%",IF(AND(V19="Correctivo",W19="Automático"),"35%",IF(AND(V19="Correctivo",W19="Manual"),"25%",""))))))</f>
        <v>40%</v>
      </c>
      <c r="Y19" s="323" t="s">
        <v>19</v>
      </c>
      <c r="Z19" s="323" t="s">
        <v>21</v>
      </c>
      <c r="AA19" s="323" t="s">
        <v>103</v>
      </c>
      <c r="AB19" s="325">
        <f>IFERROR(IF(U19="Probabilidad",(L19-(+L19*X19)),IF(U19="Impacto",L19,"")),"")</f>
        <v>0.24</v>
      </c>
      <c r="AC19" s="326" t="str">
        <f>IFERROR(IF(AB19="","",IF(AB19&lt;=0.2,"Muy Baja",IF(AB19&lt;=0.4,"Baja",IF(AB19&lt;=0.6,"Media",IF(AB19&lt;=0.8,"Alta","Muy Alta"))))),"")</f>
        <v>Baja</v>
      </c>
      <c r="AD19" s="324">
        <f>+AB19</f>
        <v>0.24</v>
      </c>
      <c r="AE19" s="326" t="str">
        <f>IFERROR(IF(AF19="","",IF(AF19&lt;=0.2,"Leve",IF(AF19&lt;=0.4,"Menor",IF(AF19&lt;=0.6,"Moderado",IF(AF19&lt;=0.8,"Mayor","Catastrófico"))))),"")</f>
        <v>Catastrófico</v>
      </c>
      <c r="AF19" s="324">
        <f>IFERROR(IF(U19="Impacto",(O19-(+O19*X19)),IF(U19="Probabilidad",O19,"")),"")</f>
        <v>1</v>
      </c>
      <c r="AG19" s="328" t="str">
        <f>IFERROR(IF(OR(AND(AC19="Muy Baja",AE19="Leve"),AND(AC19="Muy Baja",AE19="Menor"),AND(AC19="Baja",AE19="Leve")),"Bajo",IF(OR(AND(AC19="Muy baja",AE19="Moderado"),AND(AC19="Baja",AE19="Menor"),AND(AC19="Baja",AE19="Moderado"),AND(AC19="Media",AE19="Leve"),AND(AC19="Media",AE19="Menor"),AND(AC19="Media",AE19="Moderado"),AND(AC19="Alta",AE19="Leve"),AND(AC19="Alta",AE19="Menor")),"Moderado",IF(OR(AND(AC19="Muy Baja",AE19="Mayor"),AND(AC19="Baja",AE19="Mayor"),AND(AC19="Media",AE19="Mayor"),AND(AC19="Alta",AE19="Moderado"),AND(AC19="Alta",AE19="Mayor"),AND(AC19="Muy Alta",AE19="Leve"),AND(AC19="Muy Alta",AE19="Menor"),AND(AC19="Muy Alta",AE19="Moderado"),AND(AC19="Muy Alta",AE19="Mayor")),"Alto",IF(OR(AND(AC19="Muy Baja",AE19="Catastrófico"),AND(AC19="Baja",AE19="Catastrófico"),AND(AC19="Media",AE19="Catastrófico"),AND(AC19="Alta",AE19="Catastrófico"),AND(AC19="Muy Alta",AE19="Catastrófico")),"Extremo","")))),"")</f>
        <v>Extremo</v>
      </c>
      <c r="AH19" s="323" t="s">
        <v>26</v>
      </c>
      <c r="AI19" s="329">
        <v>0</v>
      </c>
      <c r="AJ19" s="329">
        <v>0</v>
      </c>
      <c r="AK19" s="329">
        <v>0</v>
      </c>
      <c r="AL19" s="329">
        <v>0</v>
      </c>
      <c r="AM19" s="262"/>
      <c r="AN19" s="262"/>
      <c r="AO19" s="356"/>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row>
    <row r="20" spans="1:102" s="258" customFormat="1" ht="159" customHeight="1" x14ac:dyDescent="0.2">
      <c r="A20" s="581"/>
      <c r="B20" s="579"/>
      <c r="C20" s="452"/>
      <c r="D20" s="454"/>
      <c r="E20" s="454"/>
      <c r="F20" s="446"/>
      <c r="G20" s="456"/>
      <c r="H20" s="446"/>
      <c r="I20" s="446"/>
      <c r="J20" s="457"/>
      <c r="K20" s="447"/>
      <c r="L20" s="445"/>
      <c r="M20" s="447"/>
      <c r="N20" s="445"/>
      <c r="O20" s="445"/>
      <c r="P20" s="459"/>
      <c r="Q20" s="248">
        <v>2</v>
      </c>
      <c r="R20" s="321" t="s">
        <v>1072</v>
      </c>
      <c r="S20" s="245" t="s">
        <v>293</v>
      </c>
      <c r="T20" s="245" t="s">
        <v>799</v>
      </c>
      <c r="U20" s="322" t="str">
        <f>IF(OR(V20="Preventivo",V20="Detectivo"),"Probabilidad",IF(V20="Correctivo","Impacto",""))</f>
        <v>Probabilidad</v>
      </c>
      <c r="V20" s="323" t="s">
        <v>13</v>
      </c>
      <c r="W20" s="323" t="s">
        <v>8</v>
      </c>
      <c r="X20" s="324" t="str">
        <f t="shared" si="25"/>
        <v>40%</v>
      </c>
      <c r="Y20" s="323" t="s">
        <v>19</v>
      </c>
      <c r="Z20" s="323" t="s">
        <v>21</v>
      </c>
      <c r="AA20" s="323" t="s">
        <v>103</v>
      </c>
      <c r="AB20" s="325">
        <f>IFERROR(IF(AND(U19="Probabilidad",U20="Probabilidad"),(AD19-(+AD19*X20)),IF(U20="Probabilidad",(L19-(+L19*X20)),IF(U20="Impacto",AD19,""))),"")</f>
        <v>0.14399999999999999</v>
      </c>
      <c r="AC20" s="326" t="str">
        <f t="shared" ref="AC20:AC24" si="26">IFERROR(IF(AB20="","",IF(AB20&lt;=0.2,"Muy Baja",IF(AB20&lt;=0.4,"Baja",IF(AB20&lt;=0.6,"Media",IF(AB20&lt;=0.8,"Alta","Muy Alta"))))),"")</f>
        <v>Muy Baja</v>
      </c>
      <c r="AD20" s="324">
        <f t="shared" ref="AD20:AD24" si="27">+AB20</f>
        <v>0.14399999999999999</v>
      </c>
      <c r="AE20" s="326" t="str">
        <f t="shared" ref="AE20:AE24" si="28">IFERROR(IF(AF20="","",IF(AF20&lt;=0.2,"Leve",IF(AF20&lt;=0.4,"Menor",IF(AF20&lt;=0.6,"Moderado",IF(AF20&lt;=0.8,"Mayor","Catastrófico"))))),"")</f>
        <v>Catastrófico</v>
      </c>
      <c r="AF20" s="324">
        <f>IFERROR(IF(AND(U19="Impacto",U20="Impacto"),(AF19-(+AF19*X20)),IF(U20="Impacto",($O$19-(+$O$19*X20)),IF(U20="Probabilidad",AF19,""))),"")</f>
        <v>1</v>
      </c>
      <c r="AG20" s="328" t="str">
        <f t="shared" ref="AG20:AG21" si="29">IFERROR(IF(OR(AND(AC20="Muy Baja",AE20="Leve"),AND(AC20="Muy Baja",AE20="Menor"),AND(AC20="Baja",AE20="Leve")),"Bajo",IF(OR(AND(AC20="Muy baja",AE20="Moderado"),AND(AC20="Baja",AE20="Menor"),AND(AC20="Baja",AE20="Moderado"),AND(AC20="Media",AE20="Leve"),AND(AC20="Media",AE20="Menor"),AND(AC20="Media",AE20="Moderado"),AND(AC20="Alta",AE20="Leve"),AND(AC20="Alta",AE20="Menor")),"Moderado",IF(OR(AND(AC20="Muy Baja",AE20="Mayor"),AND(AC20="Baja",AE20="Mayor"),AND(AC20="Media",AE20="Mayor"),AND(AC20="Alta",AE20="Moderado"),AND(AC20="Alta",AE20="Mayor"),AND(AC20="Muy Alta",AE20="Leve"),AND(AC20="Muy Alta",AE20="Menor"),AND(AC20="Muy Alta",AE20="Moderado"),AND(AC20="Muy Alta",AE20="Mayor")),"Alto",IF(OR(AND(AC20="Muy Baja",AE20="Catastrófico"),AND(AC20="Baja",AE20="Catastrófico"),AND(AC20="Media",AE20="Catastrófico"),AND(AC20="Alta",AE20="Catastrófico"),AND(AC20="Muy Alta",AE20="Catastrófico")),"Extremo","")))),"")</f>
        <v>Extremo</v>
      </c>
      <c r="AH20" s="323" t="s">
        <v>26</v>
      </c>
      <c r="AI20" s="329">
        <v>0</v>
      </c>
      <c r="AJ20" s="329">
        <v>0</v>
      </c>
      <c r="AK20" s="329">
        <v>0</v>
      </c>
      <c r="AL20" s="329">
        <v>0</v>
      </c>
      <c r="AM20" s="355"/>
      <c r="AN20" s="355"/>
      <c r="AO20" s="356"/>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row>
    <row r="21" spans="1:102" s="258" customFormat="1" ht="27" customHeight="1" x14ac:dyDescent="0.2">
      <c r="A21" s="581"/>
      <c r="B21" s="579"/>
      <c r="C21" s="452"/>
      <c r="D21" s="454"/>
      <c r="E21" s="454"/>
      <c r="F21" s="446"/>
      <c r="G21" s="456"/>
      <c r="H21" s="446"/>
      <c r="I21" s="446"/>
      <c r="J21" s="457"/>
      <c r="K21" s="447"/>
      <c r="L21" s="445"/>
      <c r="M21" s="447"/>
      <c r="N21" s="445"/>
      <c r="O21" s="445"/>
      <c r="P21" s="459"/>
      <c r="Q21" s="248">
        <v>3</v>
      </c>
      <c r="R21" s="330"/>
      <c r="S21" s="245"/>
      <c r="T21" s="245"/>
      <c r="U21" s="322" t="str">
        <f>IF(OR(V21="Preventivo",V21="Detectivo"),"Probabilidad",IF(V21="Correctivo","Impacto",""))</f>
        <v/>
      </c>
      <c r="V21" s="323"/>
      <c r="W21" s="323"/>
      <c r="X21" s="324" t="str">
        <f>IF(AND(V21="Preventivo",W21="Automático"),"50%",IF(AND(V21="Preventivo",W21="Manual"),"40%",IF(AND(V21="Detectivo",W21="Automático"),"40%",IF(AND(V21="Detectivo",W21="Manual"),"30%",IF(AND(V21="Correctivo",W21="Automático"),"35%",IF(AND(V21="Correctivo",W21="Manual"),"25%",""))))))</f>
        <v/>
      </c>
      <c r="Y21" s="323"/>
      <c r="Z21" s="323"/>
      <c r="AA21" s="323"/>
      <c r="AB21" s="325" t="str">
        <f t="shared" ref="AB21:AB24" si="30">IFERROR(IF(AND(U20="Probabilidad",U21="Probabilidad"),(AD20-(+AD20*X21)),IF(AND(U20="Impacto",U21="Probabilidad"),(AD19-(+AD19*X21)),IF(U21="Impacto",AD20,""))),"")</f>
        <v/>
      </c>
      <c r="AC21" s="326" t="str">
        <f t="shared" si="26"/>
        <v/>
      </c>
      <c r="AD21" s="324" t="str">
        <f t="shared" si="27"/>
        <v/>
      </c>
      <c r="AE21" s="326" t="str">
        <f t="shared" si="28"/>
        <v/>
      </c>
      <c r="AF21" s="324" t="str">
        <f t="shared" ref="AF21:AF22" si="31">IFERROR(IF(AND(U20="Impacto",U21="Impacto"),(AF20-(+AF20*X21)),IF(U21="Impacto",($O$19-(+$O$19*X21)),IF(U21="Probabilidad",AF20,""))),"")</f>
        <v/>
      </c>
      <c r="AG21" s="328" t="str">
        <f t="shared" si="29"/>
        <v/>
      </c>
      <c r="AH21" s="323"/>
      <c r="AI21" s="329"/>
      <c r="AJ21" s="329"/>
      <c r="AK21" s="329"/>
      <c r="AL21" s="329"/>
      <c r="AM21" s="355"/>
      <c r="AN21" s="355"/>
      <c r="AO21" s="356"/>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row>
    <row r="22" spans="1:102" s="258" customFormat="1" ht="27" customHeight="1" x14ac:dyDescent="0.2">
      <c r="A22" s="581"/>
      <c r="B22" s="579"/>
      <c r="C22" s="452"/>
      <c r="D22" s="454"/>
      <c r="E22" s="454"/>
      <c r="F22" s="446"/>
      <c r="G22" s="456"/>
      <c r="H22" s="446"/>
      <c r="I22" s="446"/>
      <c r="J22" s="457"/>
      <c r="K22" s="447"/>
      <c r="L22" s="445"/>
      <c r="M22" s="447"/>
      <c r="N22" s="445"/>
      <c r="O22" s="445"/>
      <c r="P22" s="459"/>
      <c r="Q22" s="248">
        <v>4</v>
      </c>
      <c r="R22" s="321"/>
      <c r="S22" s="245"/>
      <c r="T22" s="245"/>
      <c r="U22" s="322" t="str">
        <f t="shared" ref="U22:U24" si="32">IF(OR(V22="Preventivo",V22="Detectivo"),"Probabilidad",IF(V22="Correctivo","Impacto",""))</f>
        <v/>
      </c>
      <c r="V22" s="323"/>
      <c r="W22" s="323"/>
      <c r="X22" s="324" t="str">
        <f t="shared" ref="X22:X24" si="33">IF(AND(V22="Preventivo",W22="Automático"),"50%",IF(AND(V22="Preventivo",W22="Manual"),"40%",IF(AND(V22="Detectivo",W22="Automático"),"40%",IF(AND(V22="Detectivo",W22="Manual"),"30%",IF(AND(V22="Correctivo",W22="Automático"),"35%",IF(AND(V22="Correctivo",W22="Manual"),"25%",""))))))</f>
        <v/>
      </c>
      <c r="Y22" s="323"/>
      <c r="Z22" s="323"/>
      <c r="AA22" s="323"/>
      <c r="AB22" s="325" t="str">
        <f t="shared" si="30"/>
        <v/>
      </c>
      <c r="AC22" s="326" t="str">
        <f t="shared" si="26"/>
        <v/>
      </c>
      <c r="AD22" s="324" t="str">
        <f t="shared" si="27"/>
        <v/>
      </c>
      <c r="AE22" s="326" t="str">
        <f t="shared" si="28"/>
        <v/>
      </c>
      <c r="AF22" s="324" t="str">
        <f t="shared" si="31"/>
        <v/>
      </c>
      <c r="AG22" s="328" t="str">
        <f>IFERROR(IF(OR(AND(AC22="Muy Baja",AE22="Leve"),AND(AC22="Muy Baja",AE22="Menor"),AND(AC22="Baja",AE22="Leve")),"Bajo",IF(OR(AND(AC22="Muy baja",AE22="Moderado"),AND(AC22="Baja",AE22="Menor"),AND(AC22="Baja",AE22="Moderado"),AND(AC22="Media",AE22="Leve"),AND(AC22="Media",AE22="Menor"),AND(AC22="Media",AE22="Moderado"),AND(AC22="Alta",AE22="Leve"),AND(AC22="Alta",AE22="Menor")),"Moderado",IF(OR(AND(AC22="Muy Baja",AE22="Mayor"),AND(AC22="Baja",AE22="Mayor"),AND(AC22="Media",AE22="Mayor"),AND(AC22="Alta",AE22="Moderado"),AND(AC22="Alta",AE22="Mayor"),AND(AC22="Muy Alta",AE22="Leve"),AND(AC22="Muy Alta",AE22="Menor"),AND(AC22="Muy Alta",AE22="Moderado"),AND(AC22="Muy Alta",AE22="Mayor")),"Alto",IF(OR(AND(AC22="Muy Baja",AE22="Catastrófico"),AND(AC22="Baja",AE22="Catastrófico"),AND(AC22="Media",AE22="Catastrófico"),AND(AC22="Alta",AE22="Catastrófico"),AND(AC22="Muy Alta",AE22="Catastrófico")),"Extremo","")))),"")</f>
        <v/>
      </c>
      <c r="AH22" s="323"/>
      <c r="AI22" s="329"/>
      <c r="AJ22" s="329"/>
      <c r="AK22" s="329"/>
      <c r="AL22" s="329"/>
      <c r="AM22" s="360"/>
      <c r="AN22" s="360"/>
      <c r="AO22" s="352"/>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row>
    <row r="23" spans="1:102" s="258" customFormat="1" ht="27" customHeight="1" x14ac:dyDescent="0.2">
      <c r="A23" s="581"/>
      <c r="B23" s="579"/>
      <c r="C23" s="452"/>
      <c r="D23" s="454"/>
      <c r="E23" s="454"/>
      <c r="F23" s="446"/>
      <c r="G23" s="456"/>
      <c r="H23" s="446"/>
      <c r="I23" s="446"/>
      <c r="J23" s="457"/>
      <c r="K23" s="447"/>
      <c r="L23" s="445"/>
      <c r="M23" s="447"/>
      <c r="N23" s="445"/>
      <c r="O23" s="445"/>
      <c r="P23" s="459"/>
      <c r="Q23" s="248">
        <v>5</v>
      </c>
      <c r="R23" s="321"/>
      <c r="S23" s="245"/>
      <c r="T23" s="245"/>
      <c r="U23" s="322" t="str">
        <f t="shared" si="32"/>
        <v/>
      </c>
      <c r="V23" s="323"/>
      <c r="W23" s="323"/>
      <c r="X23" s="324" t="str">
        <f t="shared" si="33"/>
        <v/>
      </c>
      <c r="Y23" s="323"/>
      <c r="Z23" s="323"/>
      <c r="AA23" s="323"/>
      <c r="AB23" s="325" t="str">
        <f t="shared" si="30"/>
        <v/>
      </c>
      <c r="AC23" s="326" t="str">
        <f t="shared" si="26"/>
        <v/>
      </c>
      <c r="AD23" s="324" t="str">
        <f t="shared" si="27"/>
        <v/>
      </c>
      <c r="AE23" s="326" t="str">
        <f t="shared" si="28"/>
        <v/>
      </c>
      <c r="AF23" s="324" t="str">
        <f>IFERROR(IF(AND(U22="Impacto",U23="Impacto"),(AF22-(+AF22*X23)),IF(U23="Impacto",($O$19-(+$O$19*X23)),IF(U23="Probabilidad",AF22,""))),"")</f>
        <v/>
      </c>
      <c r="AG23" s="328" t="str">
        <f t="shared" ref="AG23:AG24" si="34">IFERROR(IF(OR(AND(AC23="Muy Baja",AE23="Leve"),AND(AC23="Muy Baja",AE23="Menor"),AND(AC23="Baja",AE23="Leve")),"Bajo",IF(OR(AND(AC23="Muy baja",AE23="Moderado"),AND(AC23="Baja",AE23="Menor"),AND(AC23="Baja",AE23="Moderado"),AND(AC23="Media",AE23="Leve"),AND(AC23="Media",AE23="Menor"),AND(AC23="Media",AE23="Moderado"),AND(AC23="Alta",AE23="Leve"),AND(AC23="Alta",AE23="Menor")),"Moderado",IF(OR(AND(AC23="Muy Baja",AE23="Mayor"),AND(AC23="Baja",AE23="Mayor"),AND(AC23="Media",AE23="Mayor"),AND(AC23="Alta",AE23="Moderado"),AND(AC23="Alta",AE23="Mayor"),AND(AC23="Muy Alta",AE23="Leve"),AND(AC23="Muy Alta",AE23="Menor"),AND(AC23="Muy Alta",AE23="Moderado"),AND(AC23="Muy Alta",AE23="Mayor")),"Alto",IF(OR(AND(AC23="Muy Baja",AE23="Catastrófico"),AND(AC23="Baja",AE23="Catastrófico"),AND(AC23="Media",AE23="Catastrófico"),AND(AC23="Alta",AE23="Catastrófico"),AND(AC23="Muy Alta",AE23="Catastrófico")),"Extremo","")))),"")</f>
        <v/>
      </c>
      <c r="AH23" s="323"/>
      <c r="AI23" s="329"/>
      <c r="AJ23" s="329"/>
      <c r="AK23" s="329"/>
      <c r="AL23" s="329"/>
      <c r="AM23" s="356"/>
      <c r="AN23" s="356"/>
      <c r="AO23" s="357"/>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row>
    <row r="24" spans="1:102" s="258" customFormat="1" ht="27" customHeight="1" x14ac:dyDescent="0.2">
      <c r="A24" s="581"/>
      <c r="B24" s="579"/>
      <c r="C24" s="452"/>
      <c r="D24" s="454"/>
      <c r="E24" s="454"/>
      <c r="F24" s="446"/>
      <c r="G24" s="456"/>
      <c r="H24" s="446"/>
      <c r="I24" s="446"/>
      <c r="J24" s="457"/>
      <c r="K24" s="447"/>
      <c r="L24" s="445"/>
      <c r="M24" s="447"/>
      <c r="N24" s="445"/>
      <c r="O24" s="445"/>
      <c r="P24" s="459"/>
      <c r="Q24" s="248">
        <v>6</v>
      </c>
      <c r="R24" s="321"/>
      <c r="S24" s="245"/>
      <c r="T24" s="245"/>
      <c r="U24" s="322" t="str">
        <f t="shared" si="32"/>
        <v/>
      </c>
      <c r="V24" s="323"/>
      <c r="W24" s="323"/>
      <c r="X24" s="324" t="str">
        <f t="shared" si="33"/>
        <v/>
      </c>
      <c r="Y24" s="323"/>
      <c r="Z24" s="323"/>
      <c r="AA24" s="323"/>
      <c r="AB24" s="325" t="str">
        <f t="shared" si="30"/>
        <v/>
      </c>
      <c r="AC24" s="326" t="str">
        <f t="shared" si="26"/>
        <v/>
      </c>
      <c r="AD24" s="324" t="str">
        <f t="shared" si="27"/>
        <v/>
      </c>
      <c r="AE24" s="326" t="str">
        <f t="shared" si="28"/>
        <v/>
      </c>
      <c r="AF24" s="324" t="str">
        <f>IFERROR(IF(AND(U23="Impacto",U24="Impacto"),(AF23-(+AF23*X24)),IF(U24="Impacto",($O$19-(+$O$19*X24)),IF(U24="Probabilidad",AF23,""))),"")</f>
        <v/>
      </c>
      <c r="AG24" s="328" t="str">
        <f t="shared" si="34"/>
        <v/>
      </c>
      <c r="AH24" s="323"/>
      <c r="AI24" s="329"/>
      <c r="AJ24" s="329"/>
      <c r="AK24" s="329"/>
      <c r="AL24" s="329"/>
      <c r="AM24" s="356"/>
      <c r="AN24" s="356"/>
      <c r="AO24" s="357"/>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row>
    <row r="25" spans="1:102" s="261" customFormat="1" ht="256.5" customHeight="1" x14ac:dyDescent="0.2">
      <c r="A25" s="581" t="s">
        <v>724</v>
      </c>
      <c r="B25" s="579" t="s">
        <v>830</v>
      </c>
      <c r="C25" s="452" t="s">
        <v>604</v>
      </c>
      <c r="D25" s="454" t="s">
        <v>624</v>
      </c>
      <c r="E25" s="454" t="s">
        <v>1073</v>
      </c>
      <c r="F25" s="446" t="s">
        <v>675</v>
      </c>
      <c r="G25" s="456" t="s">
        <v>848</v>
      </c>
      <c r="H25" s="446" t="s">
        <v>233</v>
      </c>
      <c r="I25" s="446" t="s">
        <v>846</v>
      </c>
      <c r="J25" s="457">
        <v>317000</v>
      </c>
      <c r="K25" s="447" t="str">
        <f t="shared" ref="K25" si="35">IF(J25&lt;=0,"",IF(J25&lt;=2,"Muy Baja",IF(J25&lt;=24,"Baja",IF(J25&lt;=500,"Media",IF(J25&lt;=5000,"Alta","Muy Alta")))))</f>
        <v>Muy Alta</v>
      </c>
      <c r="L25" s="445">
        <f t="shared" ref="L25" si="36">IF(K25="","",IF(K25="Muy Baja",0.2,IF(K25="Baja",0.4,IF(K25="Media",0.6,IF(K25="Alta",0.8,IF(K25="Muy Alta",1,))))))</f>
        <v>1</v>
      </c>
      <c r="M25" s="447">
        <v>5</v>
      </c>
      <c r="N25" s="445" t="str">
        <f>IF(M25=1,"INSIGNIFICANTE",IF(M25=2,"Menor",IF(M25=3,"Moderado",IF(M25=4,"MAYOR",IF(M25=5,"Catastrófico",IF(M25=""," "))))))</f>
        <v>Catastrófico</v>
      </c>
      <c r="O25" s="445">
        <f t="shared" ref="O25" si="37">IF(N25="","",IF(N25="Leve",0.2,IF(N25="Menor",0.4,IF(N25="Moderado",0.6,IF(N25="Mayor",0.8,IF(N25="Catastrófico",1,))))))</f>
        <v>1</v>
      </c>
      <c r="P25" s="459" t="str">
        <f t="shared" ref="P25" si="38">IF(OR(AND(K25="Muy Baja",N25="Leve"),AND(K25="Muy Baja",K25="Menor"),AND(K25="Baja",N25="Leve")),"Bajo",IF(OR(AND(K25="Muy baja",N25="Moderado"),AND(K25="Baja",N25="Menor"),AND(K25="Baja",N25="Moderado"),AND(K25="Media",N25="Leve"),AND(K25="Media",N25="Menor"),AND(K25="Media",N25="Moderado"),AND(K25="Alta",N25="Leve"),AND(K25="Alta",N25="Menor")),"Moderado",IF(OR(AND(K25="Muy Baja",N25="Mayor"),AND(K25="Baja",N25="Mayor"),AND(K25="Media",N25="Mayor"),AND(K25="Alta",N25="Moderado"),AND(K25="Alta",N25="Mayor"),AND(K25="Muy Alta",N25="Leve"),AND(K25="Muy Alta",N25="Menor"),AND(K25="Muy Alta",N25="Moderado"),AND(K25="Muy Alta",N25="Mayor")),"Alto",IF(OR(AND(K25="Muy Baja",N25="Catastrófico"),AND(K25="Baja",N25="Catastrófico"),AND(K25="Media",N25="Catastrófico"),AND(K25="Alta",N25="Catastrófico"),AND(K25="Muy Alta",N25="Catastrófico")),"Extremo",""))))</f>
        <v>Extremo</v>
      </c>
      <c r="Q25" s="248">
        <v>1</v>
      </c>
      <c r="R25" s="351" t="s">
        <v>725</v>
      </c>
      <c r="S25" s="350" t="s">
        <v>292</v>
      </c>
      <c r="T25" s="245" t="s">
        <v>726</v>
      </c>
      <c r="U25" s="322" t="str">
        <f>IF(OR(V25="Preventivo",V25="Detectivo"),"Probabilidad",IF(V25="Correctivo","Impacto",""))</f>
        <v>Probabilidad</v>
      </c>
      <c r="V25" s="323" t="s">
        <v>13</v>
      </c>
      <c r="W25" s="323" t="s">
        <v>8</v>
      </c>
      <c r="X25" s="324" t="str">
        <f t="shared" si="9"/>
        <v>40%</v>
      </c>
      <c r="Y25" s="323" t="s">
        <v>18</v>
      </c>
      <c r="Z25" s="323" t="s">
        <v>21</v>
      </c>
      <c r="AA25" s="323" t="s">
        <v>103</v>
      </c>
      <c r="AB25" s="325">
        <f>IFERROR(IF(U25="Probabilidad",(L25-(+L25*X25)),IF(U25="Impacto",L25,"")),"")</f>
        <v>0.6</v>
      </c>
      <c r="AC25" s="326" t="str">
        <f>IFERROR(IF(AB25="","",IF(AB25&lt;=0.2,"Muy Baja",IF(AB25&lt;=0.4,"Baja",IF(AB25&lt;=0.6,"Media",IF(AB25&lt;=0.8,"Alta","Muy Alta"))))),"")</f>
        <v>Media</v>
      </c>
      <c r="AD25" s="324">
        <f>+AB25</f>
        <v>0.6</v>
      </c>
      <c r="AE25" s="326" t="str">
        <f>IFERROR(IF(AF25="","",IF(AF25&lt;=0.2,"Leve",IF(AF25&lt;=0.4,"Menor",IF(AF25&lt;=0.6,"Moderado",IF(AF25&lt;=0.8,"Mayor","Catastrófico"))))),"")</f>
        <v>Catastrófico</v>
      </c>
      <c r="AF25" s="324">
        <f>IFERROR(IF(U25="Impacto",(O25-(+O25*X25)),IF(U25="Probabilidad",O25,"")),"")</f>
        <v>1</v>
      </c>
      <c r="AG25" s="328" t="str">
        <f>IFERROR(IF(OR(AND(AC25="Muy Baja",AE25="Leve"),AND(AC25="Muy Baja",AE25="Menor"),AND(AC25="Baja",AE25="Leve")),"Bajo",IF(OR(AND(AC25="Muy baja",AE25="Moderado"),AND(AC25="Baja",AE25="Menor"),AND(AC25="Baja",AE25="Moderado"),AND(AC25="Media",AE25="Leve"),AND(AC25="Media",AE25="Menor"),AND(AC25="Media",AE25="Moderado"),AND(AC25="Alta",AE25="Leve"),AND(AC25="Alta",AE25="Menor")),"Moderado",IF(OR(AND(AC25="Muy Baja",AE25="Mayor"),AND(AC25="Baja",AE25="Mayor"),AND(AC25="Media",AE25="Mayor"),AND(AC25="Alta",AE25="Moderado"),AND(AC25="Alta",AE25="Mayor"),AND(AC25="Muy Alta",AE25="Leve"),AND(AC25="Muy Alta",AE25="Menor"),AND(AC25="Muy Alta",AE25="Moderado"),AND(AC25="Muy Alta",AE25="Mayor")),"Alto",IF(OR(AND(AC25="Muy Baja",AE25="Catastrófico"),AND(AC25="Baja",AE25="Catastrófico"),AND(AC25="Media",AE25="Catastrófico"),AND(AC25="Alta",AE25="Catastrófico"),AND(AC25="Muy Alta",AE25="Catastrófico")),"Extremo","")))),"")</f>
        <v>Extremo</v>
      </c>
      <c r="AH25" s="323" t="s">
        <v>26</v>
      </c>
      <c r="AI25" s="329">
        <v>4</v>
      </c>
      <c r="AJ25" s="329">
        <v>1</v>
      </c>
      <c r="AK25" s="329">
        <v>1</v>
      </c>
      <c r="AL25" s="329">
        <v>2</v>
      </c>
      <c r="AM25" s="262"/>
      <c r="AN25" s="262"/>
      <c r="AO25" s="356"/>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row>
    <row r="26" spans="1:102" s="258" customFormat="1" ht="118.5" customHeight="1" x14ac:dyDescent="0.2">
      <c r="A26" s="581"/>
      <c r="B26" s="579"/>
      <c r="C26" s="452"/>
      <c r="D26" s="454"/>
      <c r="E26" s="454"/>
      <c r="F26" s="446"/>
      <c r="G26" s="456"/>
      <c r="H26" s="446"/>
      <c r="I26" s="446"/>
      <c r="J26" s="457"/>
      <c r="K26" s="447"/>
      <c r="L26" s="445"/>
      <c r="M26" s="447"/>
      <c r="N26" s="445"/>
      <c r="O26" s="445"/>
      <c r="P26" s="459"/>
      <c r="Q26" s="248">
        <v>2</v>
      </c>
      <c r="R26" s="321" t="s">
        <v>845</v>
      </c>
      <c r="S26" s="245" t="s">
        <v>293</v>
      </c>
      <c r="T26" s="245" t="s">
        <v>847</v>
      </c>
      <c r="U26" s="322" t="str">
        <f>IF(OR(V26="Preventivo",V26="Detectivo"),"Probabilidad",IF(V26="Correctivo","Impacto",""))</f>
        <v>Probabilidad</v>
      </c>
      <c r="V26" s="323" t="s">
        <v>13</v>
      </c>
      <c r="W26" s="323" t="s">
        <v>8</v>
      </c>
      <c r="X26" s="324" t="str">
        <f t="shared" si="9"/>
        <v>40%</v>
      </c>
      <c r="Y26" s="323" t="s">
        <v>19</v>
      </c>
      <c r="Z26" s="323" t="s">
        <v>21</v>
      </c>
      <c r="AA26" s="323" t="s">
        <v>103</v>
      </c>
      <c r="AB26" s="325">
        <f>IFERROR(IF(AND(U25="Probabilidad",U26="Probabilidad"),(AD25-(+AD25*X26)),IF(U26="Probabilidad",(L25-(+L25*X26)),IF(U26="Impacto",AD25,""))),"")</f>
        <v>0.36</v>
      </c>
      <c r="AC26" s="326" t="str">
        <f t="shared" ref="AC26:AC30" si="39">IFERROR(IF(AB26="","",IF(AB26&lt;=0.2,"Muy Baja",IF(AB26&lt;=0.4,"Baja",IF(AB26&lt;=0.6,"Media",IF(AB26&lt;=0.8,"Alta","Muy Alta"))))),"")</f>
        <v>Baja</v>
      </c>
      <c r="AD26" s="324">
        <f t="shared" ref="AD26:AD30" si="40">+AB26</f>
        <v>0.36</v>
      </c>
      <c r="AE26" s="326" t="str">
        <f t="shared" ref="AE26:AE30" si="41">IFERROR(IF(AF26="","",IF(AF26&lt;=0.2,"Leve",IF(AF26&lt;=0.4,"Menor",IF(AF26&lt;=0.6,"Moderado",IF(AF26&lt;=0.8,"Mayor","Catastrófico"))))),"")</f>
        <v>Catastrófico</v>
      </c>
      <c r="AF26" s="324">
        <f>IFERROR(IF(AND(U25="Impacto",U26="Impacto"),(AF25-(+AF25*X26)),IF(U26="Impacto",($O$25-(+$O$25*X26)),IF(U26="Probabilidad",AF25,""))),"")</f>
        <v>1</v>
      </c>
      <c r="AG26" s="328" t="str">
        <f t="shared" ref="AG26:AG27" si="42">IFERROR(IF(OR(AND(AC26="Muy Baja",AE26="Leve"),AND(AC26="Muy Baja",AE26="Menor"),AND(AC26="Baja",AE26="Leve")),"Bajo",IF(OR(AND(AC26="Muy baja",AE26="Moderado"),AND(AC26="Baja",AE26="Menor"),AND(AC26="Baja",AE26="Moderado"),AND(AC26="Media",AE26="Leve"),AND(AC26="Media",AE26="Menor"),AND(AC26="Media",AE26="Moderado"),AND(AC26="Alta",AE26="Leve"),AND(AC26="Alta",AE26="Menor")),"Moderado",IF(OR(AND(AC26="Muy Baja",AE26="Mayor"),AND(AC26="Baja",AE26="Mayor"),AND(AC26="Media",AE26="Mayor"),AND(AC26="Alta",AE26="Moderado"),AND(AC26="Alta",AE26="Mayor"),AND(AC26="Muy Alta",AE26="Leve"),AND(AC26="Muy Alta",AE26="Menor"),AND(AC26="Muy Alta",AE26="Moderado"),AND(AC26="Muy Alta",AE26="Mayor")),"Alto",IF(OR(AND(AC26="Muy Baja",AE26="Catastrófico"),AND(AC26="Baja",AE26="Catastrófico"),AND(AC26="Media",AE26="Catastrófico"),AND(AC26="Alta",AE26="Catastrófico"),AND(AC26="Muy Alta",AE26="Catastrófico")),"Extremo","")))),"")</f>
        <v>Extremo</v>
      </c>
      <c r="AH26" s="323" t="s">
        <v>26</v>
      </c>
      <c r="AI26" s="329">
        <v>4</v>
      </c>
      <c r="AJ26" s="329">
        <v>1</v>
      </c>
      <c r="AK26" s="329">
        <v>1</v>
      </c>
      <c r="AL26" s="329">
        <v>2</v>
      </c>
      <c r="AM26" s="355"/>
      <c r="AN26" s="355"/>
      <c r="AO26" s="356"/>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row>
    <row r="27" spans="1:102" s="258" customFormat="1" ht="9.75" customHeight="1" x14ac:dyDescent="0.2">
      <c r="A27" s="581"/>
      <c r="B27" s="579"/>
      <c r="C27" s="452"/>
      <c r="D27" s="454"/>
      <c r="E27" s="454"/>
      <c r="F27" s="446"/>
      <c r="G27" s="456"/>
      <c r="H27" s="446"/>
      <c r="I27" s="446"/>
      <c r="J27" s="457"/>
      <c r="K27" s="447"/>
      <c r="L27" s="445"/>
      <c r="M27" s="447"/>
      <c r="N27" s="445"/>
      <c r="O27" s="445"/>
      <c r="P27" s="459"/>
      <c r="Q27" s="248">
        <v>3</v>
      </c>
      <c r="R27" s="330"/>
      <c r="S27" s="245"/>
      <c r="T27" s="245"/>
      <c r="U27" s="322" t="str">
        <f>IF(OR(V27="Preventivo",V27="Detectivo"),"Probabilidad",IF(V27="Correctivo","Impacto",""))</f>
        <v/>
      </c>
      <c r="V27" s="323"/>
      <c r="W27" s="323"/>
      <c r="X27" s="324" t="str">
        <f>IF(AND(V27="Preventivo",W27="Automático"),"50%",IF(AND(V27="Preventivo",W27="Manual"),"40%",IF(AND(V27="Detectivo",W27="Automático"),"40%",IF(AND(V27="Detectivo",W27="Manual"),"30%",IF(AND(V27="Correctivo",W27="Automático"),"35%",IF(AND(V27="Correctivo",W27="Manual"),"25%",""))))))</f>
        <v/>
      </c>
      <c r="Y27" s="323"/>
      <c r="Z27" s="323"/>
      <c r="AA27" s="323"/>
      <c r="AB27" s="325" t="str">
        <f t="shared" ref="AB27:AB30" si="43">IFERROR(IF(AND(U26="Probabilidad",U27="Probabilidad"),(AD26-(+AD26*X27)),IF(AND(U26="Impacto",U27="Probabilidad"),(AD25-(+AD25*X27)),IF(U27="Impacto",AD26,""))),"")</f>
        <v/>
      </c>
      <c r="AC27" s="326" t="str">
        <f t="shared" si="39"/>
        <v/>
      </c>
      <c r="AD27" s="324" t="str">
        <f t="shared" si="40"/>
        <v/>
      </c>
      <c r="AE27" s="326" t="str">
        <f t="shared" si="41"/>
        <v/>
      </c>
      <c r="AF27" s="324" t="str">
        <f t="shared" ref="AF27:AF30" si="44">IFERROR(IF(AND(U26="Impacto",U27="Impacto"),(AF26-(+AF26*X27)),IF(U27="Impacto",($O$25-(+$O$25*X27)),IF(U27="Probabilidad",AF26,""))),"")</f>
        <v/>
      </c>
      <c r="AG27" s="328" t="str">
        <f t="shared" si="42"/>
        <v/>
      </c>
      <c r="AH27" s="323"/>
      <c r="AI27" s="329"/>
      <c r="AJ27" s="329"/>
      <c r="AK27" s="329"/>
      <c r="AL27" s="329"/>
      <c r="AM27" s="355"/>
      <c r="AN27" s="355"/>
      <c r="AO27" s="356"/>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row>
    <row r="28" spans="1:102" s="258" customFormat="1" ht="9.75" customHeight="1" x14ac:dyDescent="0.2">
      <c r="A28" s="581"/>
      <c r="B28" s="579"/>
      <c r="C28" s="452"/>
      <c r="D28" s="454"/>
      <c r="E28" s="454"/>
      <c r="F28" s="446"/>
      <c r="G28" s="456"/>
      <c r="H28" s="446"/>
      <c r="I28" s="446"/>
      <c r="J28" s="457"/>
      <c r="K28" s="447"/>
      <c r="L28" s="445"/>
      <c r="M28" s="447"/>
      <c r="N28" s="445"/>
      <c r="O28" s="445"/>
      <c r="P28" s="459"/>
      <c r="Q28" s="248">
        <v>4</v>
      </c>
      <c r="R28" s="321"/>
      <c r="S28" s="245"/>
      <c r="T28" s="245"/>
      <c r="U28" s="322" t="str">
        <f t="shared" ref="U28:U30" si="45">IF(OR(V28="Preventivo",V28="Detectivo"),"Probabilidad",IF(V28="Correctivo","Impacto",""))</f>
        <v/>
      </c>
      <c r="V28" s="323"/>
      <c r="W28" s="323"/>
      <c r="X28" s="324" t="str">
        <f t="shared" ref="X28:X44" si="46">IF(AND(V28="Preventivo",W28="Automático"),"50%",IF(AND(V28="Preventivo",W28="Manual"),"40%",IF(AND(V28="Detectivo",W28="Automático"),"40%",IF(AND(V28="Detectivo",W28="Manual"),"30%",IF(AND(V28="Correctivo",W28="Automático"),"35%",IF(AND(V28="Correctivo",W28="Manual"),"25%",""))))))</f>
        <v/>
      </c>
      <c r="Y28" s="323"/>
      <c r="Z28" s="323"/>
      <c r="AA28" s="323"/>
      <c r="AB28" s="325" t="str">
        <f t="shared" si="43"/>
        <v/>
      </c>
      <c r="AC28" s="326" t="str">
        <f t="shared" si="39"/>
        <v/>
      </c>
      <c r="AD28" s="324" t="str">
        <f t="shared" si="40"/>
        <v/>
      </c>
      <c r="AE28" s="326" t="str">
        <f t="shared" si="41"/>
        <v/>
      </c>
      <c r="AF28" s="324" t="str">
        <f t="shared" si="44"/>
        <v/>
      </c>
      <c r="AG28" s="328" t="str">
        <f>IFERROR(IF(OR(AND(AC28="Muy Baja",AE28="Leve"),AND(AC28="Muy Baja",AE28="Menor"),AND(AC28="Baja",AE28="Leve")),"Bajo",IF(OR(AND(AC28="Muy baja",AE28="Moderado"),AND(AC28="Baja",AE28="Menor"),AND(AC28="Baja",AE28="Moderado"),AND(AC28="Media",AE28="Leve"),AND(AC28="Media",AE28="Menor"),AND(AC28="Media",AE28="Moderado"),AND(AC28="Alta",AE28="Leve"),AND(AC28="Alta",AE28="Menor")),"Moderado",IF(OR(AND(AC28="Muy Baja",AE28="Mayor"),AND(AC28="Baja",AE28="Mayor"),AND(AC28="Media",AE28="Mayor"),AND(AC28="Alta",AE28="Moderado"),AND(AC28="Alta",AE28="Mayor"),AND(AC28="Muy Alta",AE28="Leve"),AND(AC28="Muy Alta",AE28="Menor"),AND(AC28="Muy Alta",AE28="Moderado"),AND(AC28="Muy Alta",AE28="Mayor")),"Alto",IF(OR(AND(AC28="Muy Baja",AE28="Catastrófico"),AND(AC28="Baja",AE28="Catastrófico"),AND(AC28="Media",AE28="Catastrófico"),AND(AC28="Alta",AE28="Catastrófico"),AND(AC28="Muy Alta",AE28="Catastrófico")),"Extremo","")))),"")</f>
        <v/>
      </c>
      <c r="AH28" s="323"/>
      <c r="AI28" s="329"/>
      <c r="AJ28" s="329"/>
      <c r="AK28" s="329"/>
      <c r="AL28" s="329"/>
      <c r="AM28" s="360"/>
      <c r="AN28" s="360"/>
      <c r="AO28" s="352"/>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row>
    <row r="29" spans="1:102" s="258" customFormat="1" ht="9.75" customHeight="1" x14ac:dyDescent="0.2">
      <c r="A29" s="581"/>
      <c r="B29" s="579"/>
      <c r="C29" s="452"/>
      <c r="D29" s="454"/>
      <c r="E29" s="454"/>
      <c r="F29" s="446"/>
      <c r="G29" s="456"/>
      <c r="H29" s="446"/>
      <c r="I29" s="446"/>
      <c r="J29" s="457"/>
      <c r="K29" s="447"/>
      <c r="L29" s="445"/>
      <c r="M29" s="447"/>
      <c r="N29" s="445"/>
      <c r="O29" s="445"/>
      <c r="P29" s="459"/>
      <c r="Q29" s="248">
        <v>5</v>
      </c>
      <c r="R29" s="321"/>
      <c r="S29" s="245"/>
      <c r="T29" s="245"/>
      <c r="U29" s="322" t="str">
        <f t="shared" si="45"/>
        <v/>
      </c>
      <c r="V29" s="323"/>
      <c r="W29" s="323"/>
      <c r="X29" s="324" t="str">
        <f t="shared" si="46"/>
        <v/>
      </c>
      <c r="Y29" s="323"/>
      <c r="Z29" s="323"/>
      <c r="AA29" s="323"/>
      <c r="AB29" s="325" t="str">
        <f t="shared" si="43"/>
        <v/>
      </c>
      <c r="AC29" s="326" t="str">
        <f t="shared" si="39"/>
        <v/>
      </c>
      <c r="AD29" s="324" t="str">
        <f t="shared" si="40"/>
        <v/>
      </c>
      <c r="AE29" s="326" t="str">
        <f t="shared" si="41"/>
        <v/>
      </c>
      <c r="AF29" s="324" t="str">
        <f t="shared" si="44"/>
        <v/>
      </c>
      <c r="AG29" s="328" t="str">
        <f t="shared" ref="AG29:AG30" si="47">IFERROR(IF(OR(AND(AC29="Muy Baja",AE29="Leve"),AND(AC29="Muy Baja",AE29="Menor"),AND(AC29="Baja",AE29="Leve")),"Bajo",IF(OR(AND(AC29="Muy baja",AE29="Moderado"),AND(AC29="Baja",AE29="Menor"),AND(AC29="Baja",AE29="Moderado"),AND(AC29="Media",AE29="Leve"),AND(AC29="Media",AE29="Menor"),AND(AC29="Media",AE29="Moderado"),AND(AC29="Alta",AE29="Leve"),AND(AC29="Alta",AE29="Menor")),"Moderado",IF(OR(AND(AC29="Muy Baja",AE29="Mayor"),AND(AC29="Baja",AE29="Mayor"),AND(AC29="Media",AE29="Mayor"),AND(AC29="Alta",AE29="Moderado"),AND(AC29="Alta",AE29="Mayor"),AND(AC29="Muy Alta",AE29="Leve"),AND(AC29="Muy Alta",AE29="Menor"),AND(AC29="Muy Alta",AE29="Moderado"),AND(AC29="Muy Alta",AE29="Mayor")),"Alto",IF(OR(AND(AC29="Muy Baja",AE29="Catastrófico"),AND(AC29="Baja",AE29="Catastrófico"),AND(AC29="Media",AE29="Catastrófico"),AND(AC29="Alta",AE29="Catastrófico"),AND(AC29="Muy Alta",AE29="Catastrófico")),"Extremo","")))),"")</f>
        <v/>
      </c>
      <c r="AH29" s="323"/>
      <c r="AI29" s="329"/>
      <c r="AJ29" s="329"/>
      <c r="AK29" s="329"/>
      <c r="AL29" s="329"/>
      <c r="AM29" s="356"/>
      <c r="AN29" s="356"/>
      <c r="AO29" s="357"/>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row>
    <row r="30" spans="1:102" s="258" customFormat="1" ht="9.75" customHeight="1" x14ac:dyDescent="0.2">
      <c r="A30" s="581"/>
      <c r="B30" s="579"/>
      <c r="C30" s="452"/>
      <c r="D30" s="454"/>
      <c r="E30" s="454"/>
      <c r="F30" s="446"/>
      <c r="G30" s="456"/>
      <c r="H30" s="446"/>
      <c r="I30" s="446"/>
      <c r="J30" s="457"/>
      <c r="K30" s="447"/>
      <c r="L30" s="445"/>
      <c r="M30" s="447"/>
      <c r="N30" s="445"/>
      <c r="O30" s="445"/>
      <c r="P30" s="459"/>
      <c r="Q30" s="248">
        <v>6</v>
      </c>
      <c r="R30" s="321"/>
      <c r="S30" s="245"/>
      <c r="T30" s="245"/>
      <c r="U30" s="322" t="str">
        <f t="shared" si="45"/>
        <v/>
      </c>
      <c r="V30" s="323"/>
      <c r="W30" s="323"/>
      <c r="X30" s="324" t="str">
        <f t="shared" si="46"/>
        <v/>
      </c>
      <c r="Y30" s="323"/>
      <c r="Z30" s="323"/>
      <c r="AA30" s="323"/>
      <c r="AB30" s="325" t="str">
        <f t="shared" si="43"/>
        <v/>
      </c>
      <c r="AC30" s="326" t="str">
        <f t="shared" si="39"/>
        <v/>
      </c>
      <c r="AD30" s="324" t="str">
        <f t="shared" si="40"/>
        <v/>
      </c>
      <c r="AE30" s="326" t="str">
        <f t="shared" si="41"/>
        <v/>
      </c>
      <c r="AF30" s="324" t="str">
        <f t="shared" si="44"/>
        <v/>
      </c>
      <c r="AG30" s="328" t="str">
        <f t="shared" si="47"/>
        <v/>
      </c>
      <c r="AH30" s="323"/>
      <c r="AI30" s="329"/>
      <c r="AJ30" s="329"/>
      <c r="AK30" s="329"/>
      <c r="AL30" s="329"/>
      <c r="AM30" s="356"/>
      <c r="AN30" s="356"/>
      <c r="AO30" s="357"/>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row>
    <row r="31" spans="1:102" s="261" customFormat="1" ht="174.75" customHeight="1" x14ac:dyDescent="0.2">
      <c r="A31" s="581" t="s">
        <v>727</v>
      </c>
      <c r="B31" s="579" t="s">
        <v>830</v>
      </c>
      <c r="C31" s="452" t="s">
        <v>608</v>
      </c>
      <c r="D31" s="454" t="s">
        <v>620</v>
      </c>
      <c r="E31" s="454" t="s">
        <v>873</v>
      </c>
      <c r="F31" s="446" t="s">
        <v>675</v>
      </c>
      <c r="G31" s="446" t="s">
        <v>874</v>
      </c>
      <c r="H31" s="446" t="s">
        <v>233</v>
      </c>
      <c r="I31" s="446" t="s">
        <v>777</v>
      </c>
      <c r="J31" s="457">
        <v>4</v>
      </c>
      <c r="K31" s="447" t="str">
        <f t="shared" ref="K31" si="48">IF(J31&lt;=0,"",IF(J31&lt;=2,"Muy Baja",IF(J31&lt;=24,"Baja",IF(J31&lt;=500,"Media",IF(J31&lt;=5000,"Alta","Muy Alta")))))</f>
        <v>Baja</v>
      </c>
      <c r="L31" s="445">
        <f t="shared" ref="L31" si="49">IF(K31="","",IF(K31="Muy Baja",0.2,IF(K31="Baja",0.4,IF(K31="Media",0.6,IF(K31="Alta",0.8,IF(K31="Muy Alta",1,))))))</f>
        <v>0.4</v>
      </c>
      <c r="M31" s="582">
        <v>5</v>
      </c>
      <c r="N31" s="445" t="str">
        <f>IF(M31=1,"INSIGNIFICANTE",IF(M31=2,"Menor",IF(M31=3,"Moderado",IF(M31=4,"MAYOR",IF(M31=5,"Catastrófico",IF(M31=""," "))))))</f>
        <v>Catastrófico</v>
      </c>
      <c r="O31" s="445">
        <f t="shared" ref="O31" si="50">IF(N31="","",IF(N31="Leve",0.2,IF(N31="Menor",0.4,IF(N31="Moderado",0.6,IF(N31="Mayor",0.8,IF(N31="Catastrófico",1,))))))</f>
        <v>1</v>
      </c>
      <c r="P31" s="459" t="str">
        <f t="shared" ref="P31" si="51">IF(OR(AND(K31="Muy Baja",N31="Leve"),AND(K31="Muy Baja",K31="Menor"),AND(K31="Baja",N31="Leve")),"Bajo",IF(OR(AND(K31="Muy baja",N31="Moderado"),AND(K31="Baja",N31="Menor"),AND(K31="Baja",N31="Moderado"),AND(K31="Media",N31="Leve"),AND(K31="Media",N31="Menor"),AND(K31="Media",N31="Moderado"),AND(K31="Alta",N31="Leve"),AND(K31="Alta",N31="Menor")),"Moderado",IF(OR(AND(K31="Muy Baja",N31="Mayor"),AND(K31="Baja",N31="Mayor"),AND(K31="Media",N31="Mayor"),AND(K31="Alta",N31="Moderado"),AND(K31="Alta",N31="Mayor"),AND(K31="Muy Alta",N31="Leve"),AND(K31="Muy Alta",N31="Menor"),AND(K31="Muy Alta",N31="Moderado"),AND(K31="Muy Alta",N31="Mayor")),"Alto",IF(OR(AND(K31="Muy Baja",N31="Catastrófico"),AND(K31="Baja",N31="Catastrófico"),AND(K31="Media",N31="Catastrófico"),AND(K31="Alta",N31="Catastrófico"),AND(K31="Muy Alta",N31="Catastrófico")),"Extremo",""))))</f>
        <v>Extremo</v>
      </c>
      <c r="Q31" s="248">
        <v>1</v>
      </c>
      <c r="R31" s="321" t="s">
        <v>832</v>
      </c>
      <c r="S31" s="245" t="s">
        <v>293</v>
      </c>
      <c r="T31" s="245" t="s">
        <v>729</v>
      </c>
      <c r="U31" s="322" t="str">
        <f>IF(OR(V31="Preventivo",V31="Detectivo"),"Probabilidad",IF(V31="Correctivo","Impacto",""))</f>
        <v>Probabilidad</v>
      </c>
      <c r="V31" s="323" t="s">
        <v>13</v>
      </c>
      <c r="W31" s="323" t="s">
        <v>8</v>
      </c>
      <c r="X31" s="324" t="str">
        <f t="shared" si="46"/>
        <v>40%</v>
      </c>
      <c r="Y31" s="323" t="s">
        <v>18</v>
      </c>
      <c r="Z31" s="323" t="s">
        <v>21</v>
      </c>
      <c r="AA31" s="323" t="s">
        <v>103</v>
      </c>
      <c r="AB31" s="325">
        <f>IFERROR(IF(U31="Probabilidad",(L31-(+L31*X31)),IF(U31="Impacto",L31,"")),"")</f>
        <v>0.24</v>
      </c>
      <c r="AC31" s="326" t="str">
        <f>IFERROR(IF(AB31="","",IF(AB31&lt;=0.2,"Muy Baja",IF(AB31&lt;=0.4,"Baja",IF(AB31&lt;=0.6,"Media",IF(AB31&lt;=0.8,"Alta","Muy Alta"))))),"")</f>
        <v>Baja</v>
      </c>
      <c r="AD31" s="324">
        <f>+AB31</f>
        <v>0.24</v>
      </c>
      <c r="AE31" s="326" t="str">
        <f>IFERROR(IF(AF31="","",IF(AF31&lt;=0.2,"Leve",IF(AF31&lt;=0.4,"Menor",IF(AF31&lt;=0.6,"Moderado",IF(AF31&lt;=0.8,"Mayor","Catastrófico"))))),"")</f>
        <v>Catastrófico</v>
      </c>
      <c r="AF31" s="324">
        <f>IFERROR(IF(U31="Impacto",(O31-(+O31*X31)),IF(U31="Probabilidad",O31,"")),"")</f>
        <v>1</v>
      </c>
      <c r="AG31" s="328" t="str">
        <f>IFERROR(IF(OR(AND(AC31="Muy Baja",AE31="Leve"),AND(AC31="Muy Baja",AE31="Menor"),AND(AC31="Baja",AE31="Leve")),"Bajo",IF(OR(AND(AC31="Muy baja",AE31="Moderado"),AND(AC31="Baja",AE31="Menor"),AND(AC31="Baja",AE31="Moderado"),AND(AC31="Media",AE31="Leve"),AND(AC31="Media",AE31="Menor"),AND(AC31="Media",AE31="Moderado"),AND(AC31="Alta",AE31="Leve"),AND(AC31="Alta",AE31="Menor")),"Moderado",IF(OR(AND(AC31="Muy Baja",AE31="Mayor"),AND(AC31="Baja",AE31="Mayor"),AND(AC31="Media",AE31="Mayor"),AND(AC31="Alta",AE31="Moderado"),AND(AC31="Alta",AE31="Mayor"),AND(AC31="Muy Alta",AE31="Leve"),AND(AC31="Muy Alta",AE31="Menor"),AND(AC31="Muy Alta",AE31="Moderado"),AND(AC31="Muy Alta",AE31="Mayor")),"Alto",IF(OR(AND(AC31="Muy Baja",AE31="Catastrófico"),AND(AC31="Baja",AE31="Catastrófico"),AND(AC31="Media",AE31="Catastrófico"),AND(AC31="Alta",AE31="Catastrófico"),AND(AC31="Muy Alta",AE31="Catastrófico")),"Extremo","")))),"")</f>
        <v>Extremo</v>
      </c>
      <c r="AH31" s="323" t="s">
        <v>26</v>
      </c>
      <c r="AI31" s="329">
        <v>0</v>
      </c>
      <c r="AJ31" s="329">
        <v>0</v>
      </c>
      <c r="AK31" s="329">
        <v>0</v>
      </c>
      <c r="AL31" s="329">
        <v>0</v>
      </c>
      <c r="AM31" s="262"/>
      <c r="AN31" s="262"/>
      <c r="AO31" s="356"/>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c r="CS31" s="260"/>
      <c r="CT31" s="260"/>
      <c r="CU31" s="260"/>
      <c r="CV31" s="260"/>
      <c r="CW31" s="260"/>
      <c r="CX31" s="260"/>
    </row>
    <row r="32" spans="1:102" s="258" customFormat="1" ht="8.25" customHeight="1" x14ac:dyDescent="0.2">
      <c r="A32" s="581"/>
      <c r="B32" s="579"/>
      <c r="C32" s="452"/>
      <c r="D32" s="454"/>
      <c r="E32" s="454"/>
      <c r="F32" s="446"/>
      <c r="G32" s="446"/>
      <c r="H32" s="446"/>
      <c r="I32" s="446"/>
      <c r="J32" s="457"/>
      <c r="K32" s="447"/>
      <c r="L32" s="445"/>
      <c r="M32" s="582"/>
      <c r="N32" s="445"/>
      <c r="O32" s="445"/>
      <c r="P32" s="459"/>
      <c r="Q32" s="248">
        <v>2</v>
      </c>
      <c r="R32" s="321"/>
      <c r="S32" s="245"/>
      <c r="T32" s="245"/>
      <c r="U32" s="322" t="str">
        <f>IF(OR(V32="Preventivo",V32="Detectivo"),"Probabilidad",IF(V32="Correctivo","Impacto",""))</f>
        <v/>
      </c>
      <c r="V32" s="323"/>
      <c r="W32" s="323"/>
      <c r="X32" s="324" t="str">
        <f t="shared" si="46"/>
        <v/>
      </c>
      <c r="Y32" s="323"/>
      <c r="Z32" s="323"/>
      <c r="AA32" s="323"/>
      <c r="AB32" s="325" t="str">
        <f>IFERROR(IF(AND(U31="Probabilidad",U32="Probabilidad"),(AD31-(+AD31*X32)),IF(U32="Probabilidad",(L31-(+L31*X32)),IF(U32="Impacto",AD31,""))),"")</f>
        <v/>
      </c>
      <c r="AC32" s="326" t="str">
        <f t="shared" ref="AC32:AC36" si="52">IFERROR(IF(AB32="","",IF(AB32&lt;=0.2,"Muy Baja",IF(AB32&lt;=0.4,"Baja",IF(AB32&lt;=0.6,"Media",IF(AB32&lt;=0.8,"Alta","Muy Alta"))))),"")</f>
        <v/>
      </c>
      <c r="AD32" s="324" t="str">
        <f t="shared" ref="AD32:AD36" si="53">+AB32</f>
        <v/>
      </c>
      <c r="AE32" s="326" t="str">
        <f t="shared" ref="AE32:AE36" si="54">IFERROR(IF(AF32="","",IF(AF32&lt;=0.2,"Leve",IF(AF32&lt;=0.4,"Menor",IF(AF32&lt;=0.6,"Moderado",IF(AF32&lt;=0.8,"Mayor","Catastrófico"))))),"")</f>
        <v/>
      </c>
      <c r="AF32" s="324" t="str">
        <f>IFERROR(IF(AND(U31="Impacto",U32="Impacto"),(AF31-(+AF31*X32)),IF(U32="Impacto",($O$31-(+$O$31*X32)),IF(U32="Probabilidad",AF31,""))),"")</f>
        <v/>
      </c>
      <c r="AG32" s="328" t="str">
        <f t="shared" ref="AG32:AG33" si="55">IFERROR(IF(OR(AND(AC32="Muy Baja",AE32="Leve"),AND(AC32="Muy Baja",AE32="Menor"),AND(AC32="Baja",AE32="Leve")),"Bajo",IF(OR(AND(AC32="Muy baja",AE32="Moderado"),AND(AC32="Baja",AE32="Menor"),AND(AC32="Baja",AE32="Moderado"),AND(AC32="Media",AE32="Leve"),AND(AC32="Media",AE32="Menor"),AND(AC32="Media",AE32="Moderado"),AND(AC32="Alta",AE32="Leve"),AND(AC32="Alta",AE32="Menor")),"Moderado",IF(OR(AND(AC32="Muy Baja",AE32="Mayor"),AND(AC32="Baja",AE32="Mayor"),AND(AC32="Media",AE32="Mayor"),AND(AC32="Alta",AE32="Moderado"),AND(AC32="Alta",AE32="Mayor"),AND(AC32="Muy Alta",AE32="Leve"),AND(AC32="Muy Alta",AE32="Menor"),AND(AC32="Muy Alta",AE32="Moderado"),AND(AC32="Muy Alta",AE32="Mayor")),"Alto",IF(OR(AND(AC32="Muy Baja",AE32="Catastrófico"),AND(AC32="Baja",AE32="Catastrófico"),AND(AC32="Media",AE32="Catastrófico"),AND(AC32="Alta",AE32="Catastrófico"),AND(AC32="Muy Alta",AE32="Catastrófico")),"Extremo","")))),"")</f>
        <v/>
      </c>
      <c r="AH32" s="323"/>
      <c r="AI32" s="329"/>
      <c r="AJ32" s="329"/>
      <c r="AK32" s="329"/>
      <c r="AL32" s="329"/>
      <c r="AM32" s="355"/>
      <c r="AN32" s="355"/>
      <c r="AO32" s="356"/>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c r="CR32" s="273"/>
      <c r="CS32" s="260"/>
      <c r="CT32" s="260"/>
      <c r="CU32" s="260"/>
      <c r="CV32" s="260"/>
      <c r="CW32" s="260"/>
      <c r="CX32" s="260"/>
    </row>
    <row r="33" spans="1:102" s="258" customFormat="1" ht="8.25" customHeight="1" x14ac:dyDescent="0.2">
      <c r="A33" s="581"/>
      <c r="B33" s="579"/>
      <c r="C33" s="452"/>
      <c r="D33" s="454"/>
      <c r="E33" s="454"/>
      <c r="F33" s="446"/>
      <c r="G33" s="446"/>
      <c r="H33" s="446"/>
      <c r="I33" s="446"/>
      <c r="J33" s="457"/>
      <c r="K33" s="447"/>
      <c r="L33" s="445"/>
      <c r="M33" s="582"/>
      <c r="N33" s="445"/>
      <c r="O33" s="445"/>
      <c r="P33" s="459"/>
      <c r="Q33" s="248">
        <v>3</v>
      </c>
      <c r="R33" s="330"/>
      <c r="S33" s="245"/>
      <c r="T33" s="245"/>
      <c r="U33" s="322" t="str">
        <f>IF(OR(V33="Preventivo",V33="Detectivo"),"Probabilidad",IF(V33="Correctivo","Impacto",""))</f>
        <v/>
      </c>
      <c r="V33" s="323"/>
      <c r="W33" s="323"/>
      <c r="X33" s="324" t="str">
        <f>IF(AND(V33="Preventivo",W33="Automático"),"50%",IF(AND(V33="Preventivo",W33="Manual"),"40%",IF(AND(V33="Detectivo",W33="Automático"),"40%",IF(AND(V33="Detectivo",W33="Manual"),"30%",IF(AND(V33="Correctivo",W33="Automático"),"35%",IF(AND(V33="Correctivo",W33="Manual"),"25%",""))))))</f>
        <v/>
      </c>
      <c r="Y33" s="323"/>
      <c r="Z33" s="323"/>
      <c r="AA33" s="323"/>
      <c r="AB33" s="325" t="str">
        <f t="shared" ref="AB33:AB36" si="56">IFERROR(IF(AND(U32="Probabilidad",U33="Probabilidad"),(AD32-(+AD32*X33)),IF(AND(U32="Impacto",U33="Probabilidad"),(AD31-(+AD31*X33)),IF(U33="Impacto",AD32,""))),"")</f>
        <v/>
      </c>
      <c r="AC33" s="326" t="str">
        <f t="shared" si="52"/>
        <v/>
      </c>
      <c r="AD33" s="324" t="str">
        <f t="shared" si="53"/>
        <v/>
      </c>
      <c r="AE33" s="326" t="str">
        <f t="shared" si="54"/>
        <v/>
      </c>
      <c r="AF33" s="324" t="str">
        <f t="shared" ref="AF33:AF36" si="57">IFERROR(IF(AND(U32="Impacto",U33="Impacto"),(AF32-(+AF32*X33)),IF(U33="Impacto",($O$31-(+$O$31*X33)),IF(U33="Probabilidad",AF32,""))),"")</f>
        <v/>
      </c>
      <c r="AG33" s="328" t="str">
        <f t="shared" si="55"/>
        <v/>
      </c>
      <c r="AH33" s="323"/>
      <c r="AI33" s="329"/>
      <c r="AJ33" s="329"/>
      <c r="AK33" s="329"/>
      <c r="AL33" s="329"/>
      <c r="AM33" s="355"/>
      <c r="AN33" s="355"/>
      <c r="AO33" s="356"/>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60"/>
      <c r="CT33" s="260"/>
      <c r="CU33" s="260"/>
      <c r="CV33" s="260"/>
      <c r="CW33" s="260"/>
      <c r="CX33" s="260"/>
    </row>
    <row r="34" spans="1:102" s="258" customFormat="1" ht="8.25" customHeight="1" x14ac:dyDescent="0.2">
      <c r="A34" s="581"/>
      <c r="B34" s="579"/>
      <c r="C34" s="452"/>
      <c r="D34" s="454"/>
      <c r="E34" s="454"/>
      <c r="F34" s="446"/>
      <c r="G34" s="446"/>
      <c r="H34" s="446"/>
      <c r="I34" s="446"/>
      <c r="J34" s="457"/>
      <c r="K34" s="447"/>
      <c r="L34" s="445"/>
      <c r="M34" s="582"/>
      <c r="N34" s="445"/>
      <c r="O34" s="445"/>
      <c r="P34" s="459"/>
      <c r="Q34" s="248">
        <v>4</v>
      </c>
      <c r="R34" s="321"/>
      <c r="S34" s="245"/>
      <c r="T34" s="245"/>
      <c r="U34" s="322" t="str">
        <f t="shared" ref="U34:U36" si="58">IF(OR(V34="Preventivo",V34="Detectivo"),"Probabilidad",IF(V34="Correctivo","Impacto",""))</f>
        <v/>
      </c>
      <c r="V34" s="323"/>
      <c r="W34" s="323"/>
      <c r="X34" s="324" t="str">
        <f t="shared" ref="X34:X36" si="59">IF(AND(V34="Preventivo",W34="Automático"),"50%",IF(AND(V34="Preventivo",W34="Manual"),"40%",IF(AND(V34="Detectivo",W34="Automático"),"40%",IF(AND(V34="Detectivo",W34="Manual"),"30%",IF(AND(V34="Correctivo",W34="Automático"),"35%",IF(AND(V34="Correctivo",W34="Manual"),"25%",""))))))</f>
        <v/>
      </c>
      <c r="Y34" s="323"/>
      <c r="Z34" s="323"/>
      <c r="AA34" s="323"/>
      <c r="AB34" s="325" t="str">
        <f t="shared" si="56"/>
        <v/>
      </c>
      <c r="AC34" s="326" t="str">
        <f t="shared" si="52"/>
        <v/>
      </c>
      <c r="AD34" s="324" t="str">
        <f t="shared" si="53"/>
        <v/>
      </c>
      <c r="AE34" s="326" t="str">
        <f t="shared" si="54"/>
        <v/>
      </c>
      <c r="AF34" s="324" t="str">
        <f t="shared" si="57"/>
        <v/>
      </c>
      <c r="AG34" s="328" t="str">
        <f>IFERROR(IF(OR(AND(AC34="Muy Baja",AE34="Leve"),AND(AC34="Muy Baja",AE34="Menor"),AND(AC34="Baja",AE34="Leve")),"Bajo",IF(OR(AND(AC34="Muy baja",AE34="Moderado"),AND(AC34="Baja",AE34="Menor"),AND(AC34="Baja",AE34="Moderado"),AND(AC34="Media",AE34="Leve"),AND(AC34="Media",AE34="Menor"),AND(AC34="Media",AE34="Moderado"),AND(AC34="Alta",AE34="Leve"),AND(AC34="Alta",AE34="Menor")),"Moderado",IF(OR(AND(AC34="Muy Baja",AE34="Mayor"),AND(AC34="Baja",AE34="Mayor"),AND(AC34="Media",AE34="Mayor"),AND(AC34="Alta",AE34="Moderado"),AND(AC34="Alta",AE34="Mayor"),AND(AC34="Muy Alta",AE34="Leve"),AND(AC34="Muy Alta",AE34="Menor"),AND(AC34="Muy Alta",AE34="Moderado"),AND(AC34="Muy Alta",AE34="Mayor")),"Alto",IF(OR(AND(AC34="Muy Baja",AE34="Catastrófico"),AND(AC34="Baja",AE34="Catastrófico"),AND(AC34="Media",AE34="Catastrófico"),AND(AC34="Alta",AE34="Catastrófico"),AND(AC34="Muy Alta",AE34="Catastrófico")),"Extremo","")))),"")</f>
        <v/>
      </c>
      <c r="AH34" s="323"/>
      <c r="AI34" s="329"/>
      <c r="AJ34" s="329"/>
      <c r="AK34" s="329"/>
      <c r="AL34" s="329"/>
      <c r="AM34" s="360"/>
      <c r="AN34" s="360"/>
      <c r="AO34" s="352"/>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60"/>
      <c r="CT34" s="260"/>
      <c r="CU34" s="260"/>
      <c r="CV34" s="260"/>
      <c r="CW34" s="260"/>
      <c r="CX34" s="260"/>
    </row>
    <row r="35" spans="1:102" s="258" customFormat="1" ht="8.25" customHeight="1" x14ac:dyDescent="0.2">
      <c r="A35" s="581"/>
      <c r="B35" s="579"/>
      <c r="C35" s="452"/>
      <c r="D35" s="454"/>
      <c r="E35" s="454"/>
      <c r="F35" s="446"/>
      <c r="G35" s="446"/>
      <c r="H35" s="446"/>
      <c r="I35" s="446"/>
      <c r="J35" s="457"/>
      <c r="K35" s="447"/>
      <c r="L35" s="445"/>
      <c r="M35" s="582"/>
      <c r="N35" s="445"/>
      <c r="O35" s="445"/>
      <c r="P35" s="459"/>
      <c r="Q35" s="248">
        <v>5</v>
      </c>
      <c r="R35" s="321"/>
      <c r="S35" s="245"/>
      <c r="T35" s="245"/>
      <c r="U35" s="322" t="str">
        <f t="shared" si="58"/>
        <v/>
      </c>
      <c r="V35" s="323"/>
      <c r="W35" s="323"/>
      <c r="X35" s="324" t="str">
        <f t="shared" si="59"/>
        <v/>
      </c>
      <c r="Y35" s="323"/>
      <c r="Z35" s="323"/>
      <c r="AA35" s="323"/>
      <c r="AB35" s="325" t="str">
        <f t="shared" si="56"/>
        <v/>
      </c>
      <c r="AC35" s="326" t="str">
        <f t="shared" si="52"/>
        <v/>
      </c>
      <c r="AD35" s="324" t="str">
        <f t="shared" si="53"/>
        <v/>
      </c>
      <c r="AE35" s="326" t="str">
        <f t="shared" si="54"/>
        <v/>
      </c>
      <c r="AF35" s="324" t="str">
        <f t="shared" si="57"/>
        <v/>
      </c>
      <c r="AG35" s="328" t="str">
        <f t="shared" ref="AG35:AG36" si="60">IFERROR(IF(OR(AND(AC35="Muy Baja",AE35="Leve"),AND(AC35="Muy Baja",AE35="Menor"),AND(AC35="Baja",AE35="Leve")),"Bajo",IF(OR(AND(AC35="Muy baja",AE35="Moderado"),AND(AC35="Baja",AE35="Menor"),AND(AC35="Baja",AE35="Moderado"),AND(AC35="Media",AE35="Leve"),AND(AC35="Media",AE35="Menor"),AND(AC35="Media",AE35="Moderado"),AND(AC35="Alta",AE35="Leve"),AND(AC35="Alta",AE35="Menor")),"Moderado",IF(OR(AND(AC35="Muy Baja",AE35="Mayor"),AND(AC35="Baja",AE35="Mayor"),AND(AC35="Media",AE35="Mayor"),AND(AC35="Alta",AE35="Moderado"),AND(AC35="Alta",AE35="Mayor"),AND(AC35="Muy Alta",AE35="Leve"),AND(AC35="Muy Alta",AE35="Menor"),AND(AC35="Muy Alta",AE35="Moderado"),AND(AC35="Muy Alta",AE35="Mayor")),"Alto",IF(OR(AND(AC35="Muy Baja",AE35="Catastrófico"),AND(AC35="Baja",AE35="Catastrófico"),AND(AC35="Media",AE35="Catastrófico"),AND(AC35="Alta",AE35="Catastrófico"),AND(AC35="Muy Alta",AE35="Catastrófico")),"Extremo","")))),"")</f>
        <v/>
      </c>
      <c r="AH35" s="323"/>
      <c r="AI35" s="329"/>
      <c r="AJ35" s="329"/>
      <c r="AK35" s="329"/>
      <c r="AL35" s="329"/>
      <c r="AM35" s="356"/>
      <c r="AN35" s="356"/>
      <c r="AO35" s="357"/>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60"/>
      <c r="CT35" s="260"/>
      <c r="CU35" s="260"/>
      <c r="CV35" s="260"/>
      <c r="CW35" s="260"/>
      <c r="CX35" s="260"/>
    </row>
    <row r="36" spans="1:102" s="258" customFormat="1" ht="8.25" customHeight="1" x14ac:dyDescent="0.2">
      <c r="A36" s="581"/>
      <c r="B36" s="579"/>
      <c r="C36" s="452"/>
      <c r="D36" s="454"/>
      <c r="E36" s="454"/>
      <c r="F36" s="446"/>
      <c r="G36" s="446"/>
      <c r="H36" s="446"/>
      <c r="I36" s="446"/>
      <c r="J36" s="457"/>
      <c r="K36" s="447"/>
      <c r="L36" s="445"/>
      <c r="M36" s="582"/>
      <c r="N36" s="445"/>
      <c r="O36" s="445"/>
      <c r="P36" s="459"/>
      <c r="Q36" s="248">
        <v>6</v>
      </c>
      <c r="R36" s="321"/>
      <c r="S36" s="245"/>
      <c r="T36" s="245"/>
      <c r="U36" s="322" t="str">
        <f t="shared" si="58"/>
        <v/>
      </c>
      <c r="V36" s="323"/>
      <c r="W36" s="323"/>
      <c r="X36" s="324" t="str">
        <f t="shared" si="59"/>
        <v/>
      </c>
      <c r="Y36" s="323"/>
      <c r="Z36" s="323"/>
      <c r="AA36" s="323"/>
      <c r="AB36" s="325" t="str">
        <f t="shared" si="56"/>
        <v/>
      </c>
      <c r="AC36" s="326" t="str">
        <f t="shared" si="52"/>
        <v/>
      </c>
      <c r="AD36" s="324" t="str">
        <f t="shared" si="53"/>
        <v/>
      </c>
      <c r="AE36" s="326" t="str">
        <f t="shared" si="54"/>
        <v/>
      </c>
      <c r="AF36" s="324" t="str">
        <f t="shared" si="57"/>
        <v/>
      </c>
      <c r="AG36" s="328" t="str">
        <f t="shared" si="60"/>
        <v/>
      </c>
      <c r="AH36" s="323"/>
      <c r="AI36" s="329"/>
      <c r="AJ36" s="329"/>
      <c r="AK36" s="329"/>
      <c r="AL36" s="329"/>
      <c r="AM36" s="356"/>
      <c r="AN36" s="356"/>
      <c r="AO36" s="357"/>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60"/>
      <c r="CT36" s="260"/>
      <c r="CU36" s="260"/>
      <c r="CV36" s="260"/>
      <c r="CW36" s="260"/>
      <c r="CX36" s="260"/>
    </row>
    <row r="37" spans="1:102" s="261" customFormat="1" ht="199.5" x14ac:dyDescent="0.2">
      <c r="A37" s="581" t="s">
        <v>730</v>
      </c>
      <c r="B37" s="579" t="s">
        <v>830</v>
      </c>
      <c r="C37" s="452" t="s">
        <v>608</v>
      </c>
      <c r="D37" s="454" t="s">
        <v>620</v>
      </c>
      <c r="E37" s="454" t="s">
        <v>833</v>
      </c>
      <c r="F37" s="454" t="s">
        <v>675</v>
      </c>
      <c r="G37" s="446" t="s">
        <v>875</v>
      </c>
      <c r="H37" s="446" t="s">
        <v>233</v>
      </c>
      <c r="I37" s="446" t="s">
        <v>834</v>
      </c>
      <c r="J37" s="457">
        <v>25</v>
      </c>
      <c r="K37" s="447" t="str">
        <f t="shared" ref="K37" si="61">IF(J37&lt;=0,"",IF(J37&lt;=2,"Muy Baja",IF(J37&lt;=24,"Baja",IF(J37&lt;=500,"Media",IF(J37&lt;=5000,"Alta","Muy Alta")))))</f>
        <v>Media</v>
      </c>
      <c r="L37" s="445">
        <f t="shared" ref="L37" si="62">IF(K37="","",IF(K37="Muy Baja",0.2,IF(K37="Baja",0.4,IF(K37="Media",0.6,IF(K37="Alta",0.8,IF(K37="Muy Alta",1,))))))</f>
        <v>0.6</v>
      </c>
      <c r="M37" s="582">
        <v>5</v>
      </c>
      <c r="N37" s="459" t="str">
        <f>IF(M37=1,"INSIGNIFICANTE",IF(M37=2,"Menor",IF(M37=3,"Moderado",IF(M37=4,"MAYOR",IF(M37=5,"Catastrófico",IF(M37=""," "))))))</f>
        <v>Catastrófico</v>
      </c>
      <c r="O37" s="445">
        <f t="shared" ref="O37" si="63">IF(N37="","",IF(N37="Leve",0.2,IF(N37="Menor",0.4,IF(N37="Moderado",0.6,IF(N37="Mayor",0.8,IF(N37="Catastrófico",1,))))))</f>
        <v>1</v>
      </c>
      <c r="P37" s="459" t="str">
        <f t="shared" ref="P37" si="64">IF(OR(AND(K37="Muy Baja",N37="Leve"),AND(K37="Muy Baja",K37="Menor"),AND(K37="Baja",N37="Leve")),"Bajo",IF(OR(AND(K37="Muy baja",N37="Moderado"),AND(K37="Baja",N37="Menor"),AND(K37="Baja",N37="Moderado"),AND(K37="Media",N37="Leve"),AND(K37="Media",N37="Menor"),AND(K37="Media",N37="Moderado"),AND(K37="Alta",N37="Leve"),AND(K37="Alta",N37="Menor")),"Moderado",IF(OR(AND(K37="Muy Baja",N37="Mayor"),AND(K37="Baja",N37="Mayor"),AND(K37="Media",N37="Mayor"),AND(K37="Alta",N37="Moderado"),AND(K37="Alta",N37="Mayor"),AND(K37="Muy Alta",N37="Leve"),AND(K37="Muy Alta",N37="Menor"),AND(K37="Muy Alta",N37="Moderado"),AND(K37="Muy Alta",N37="Mayor")),"Alto",IF(OR(AND(K37="Muy Baja",N37="Catastrófico"),AND(K37="Baja",N37="Catastrófico"),AND(K37="Media",N37="Catastrófico"),AND(K37="Alta",N37="Catastrófico"),AND(K37="Muy Alta",N37="Catastrófico")),"Extremo",""))))</f>
        <v>Extremo</v>
      </c>
      <c r="Q37" s="248">
        <v>1</v>
      </c>
      <c r="R37" s="321" t="s">
        <v>876</v>
      </c>
      <c r="S37" s="245" t="s">
        <v>293</v>
      </c>
      <c r="T37" s="245" t="s">
        <v>731</v>
      </c>
      <c r="U37" s="322" t="str">
        <f>IF(OR(V37="Preventivo",V37="Detectivo"),"Probabilidad",IF(V37="Correctivo","Impacto",""))</f>
        <v>Probabilidad</v>
      </c>
      <c r="V37" s="323" t="s">
        <v>13</v>
      </c>
      <c r="W37" s="323" t="s">
        <v>8</v>
      </c>
      <c r="X37" s="324" t="str">
        <f t="shared" ref="X37:X38" si="65">IF(AND(V37="Preventivo",W37="Automático"),"50%",IF(AND(V37="Preventivo",W37="Manual"),"40%",IF(AND(V37="Detectivo",W37="Automático"),"40%",IF(AND(V37="Detectivo",W37="Manual"),"30%",IF(AND(V37="Correctivo",W37="Automático"),"35%",IF(AND(V37="Correctivo",W37="Manual"),"25%",""))))))</f>
        <v>40%</v>
      </c>
      <c r="Y37" s="323" t="s">
        <v>18</v>
      </c>
      <c r="Z37" s="323" t="s">
        <v>21</v>
      </c>
      <c r="AA37" s="323" t="s">
        <v>103</v>
      </c>
      <c r="AB37" s="325">
        <f>IFERROR(IF(U37="Probabilidad",(L37-(+L37*X37)),IF(U37="Impacto",L37,"")),"")</f>
        <v>0.36</v>
      </c>
      <c r="AC37" s="326" t="str">
        <f>IFERROR(IF(AB37="","",IF(AB37&lt;=0.2,"Muy Baja",IF(AB37&lt;=0.4,"Baja",IF(AB37&lt;=0.6,"Media",IF(AB37&lt;=0.8,"Alta","Muy Alta"))))),"")</f>
        <v>Baja</v>
      </c>
      <c r="AD37" s="324">
        <f>+AB37</f>
        <v>0.36</v>
      </c>
      <c r="AE37" s="326" t="str">
        <f>IFERROR(IF(AF37="","",IF(AF37&lt;=0.2,"Leve",IF(AF37&lt;=0.4,"Menor",IF(AF37&lt;=0.6,"Moderado",IF(AF37&lt;=0.8,"Mayor","Catastrófico"))))),"")</f>
        <v>Catastrófico</v>
      </c>
      <c r="AF37" s="324">
        <f>IFERROR(IF(U37="Impacto",(O37-(+O37*X37)),IF(U37="Probabilidad",O37,"")),"")</f>
        <v>1</v>
      </c>
      <c r="AG37" s="328" t="str">
        <f>IFERROR(IF(OR(AND(AC37="Muy Baja",AE37="Leve"),AND(AC37="Muy Baja",AE37="Menor"),AND(AC37="Baja",AE37="Leve")),"Bajo",IF(OR(AND(AC37="Muy baja",AE37="Moderado"),AND(AC37="Baja",AE37="Menor"),AND(AC37="Baja",AE37="Moderado"),AND(AC37="Media",AE37="Leve"),AND(AC37="Media",AE37="Menor"),AND(AC37="Media",AE37="Moderado"),AND(AC37="Alta",AE37="Leve"),AND(AC37="Alta",AE37="Menor")),"Moderado",IF(OR(AND(AC37="Muy Baja",AE37="Mayor"),AND(AC37="Baja",AE37="Mayor"),AND(AC37="Media",AE37="Mayor"),AND(AC37="Alta",AE37="Moderado"),AND(AC37="Alta",AE37="Mayor"),AND(AC37="Muy Alta",AE37="Leve"),AND(AC37="Muy Alta",AE37="Menor"),AND(AC37="Muy Alta",AE37="Moderado"),AND(AC37="Muy Alta",AE37="Mayor")),"Alto",IF(OR(AND(AC37="Muy Baja",AE37="Catastrófico"),AND(AC37="Baja",AE37="Catastrófico"),AND(AC37="Media",AE37="Catastrófico"),AND(AC37="Alta",AE37="Catastrófico"),AND(AC37="Muy Alta",AE37="Catastrófico")),"Extremo","")))),"")</f>
        <v>Extremo</v>
      </c>
      <c r="AH37" s="323" t="s">
        <v>26</v>
      </c>
      <c r="AI37" s="329">
        <v>0</v>
      </c>
      <c r="AJ37" s="329">
        <v>0</v>
      </c>
      <c r="AK37" s="329">
        <v>0</v>
      </c>
      <c r="AL37" s="329">
        <v>0</v>
      </c>
      <c r="AM37" s="262"/>
      <c r="AN37" s="262"/>
      <c r="AO37" s="356"/>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c r="CS37" s="260"/>
      <c r="CT37" s="260"/>
      <c r="CU37" s="260"/>
      <c r="CV37" s="260"/>
      <c r="CW37" s="260"/>
      <c r="CX37" s="260"/>
    </row>
    <row r="38" spans="1:102" s="258" customFormat="1" ht="171.75" customHeight="1" x14ac:dyDescent="0.2">
      <c r="A38" s="581"/>
      <c r="B38" s="579"/>
      <c r="C38" s="452"/>
      <c r="D38" s="454"/>
      <c r="E38" s="454"/>
      <c r="F38" s="454"/>
      <c r="G38" s="446"/>
      <c r="H38" s="446"/>
      <c r="I38" s="446"/>
      <c r="J38" s="457"/>
      <c r="K38" s="447"/>
      <c r="L38" s="445"/>
      <c r="M38" s="582"/>
      <c r="N38" s="459"/>
      <c r="O38" s="445"/>
      <c r="P38" s="459"/>
      <c r="Q38" s="248">
        <v>2</v>
      </c>
      <c r="R38" s="321" t="s">
        <v>835</v>
      </c>
      <c r="S38" s="245" t="s">
        <v>293</v>
      </c>
      <c r="T38" s="245" t="s">
        <v>732</v>
      </c>
      <c r="U38" s="322" t="str">
        <f>IF(OR(V38="Preventivo",V38="Detectivo"),"Probabilidad",IF(V38="Correctivo","Impacto",""))</f>
        <v>Impacto</v>
      </c>
      <c r="V38" s="323" t="s">
        <v>15</v>
      </c>
      <c r="W38" s="323" t="s">
        <v>8</v>
      </c>
      <c r="X38" s="324" t="str">
        <f t="shared" si="65"/>
        <v>25%</v>
      </c>
      <c r="Y38" s="323" t="s">
        <v>18</v>
      </c>
      <c r="Z38" s="323" t="s">
        <v>21</v>
      </c>
      <c r="AA38" s="323" t="s">
        <v>103</v>
      </c>
      <c r="AB38" s="325">
        <f>IFERROR(IF(AND(U37="Probabilidad",U38="Probabilidad"),(AD37-(+AD37*X38)),IF(U38="Probabilidad",(L37-(+L37*X38)),IF(U38="Impacto",AD37,""))),"")</f>
        <v>0.36</v>
      </c>
      <c r="AC38" s="326" t="str">
        <f t="shared" ref="AC38:AC42" si="66">IFERROR(IF(AB38="","",IF(AB38&lt;=0.2,"Muy Baja",IF(AB38&lt;=0.4,"Baja",IF(AB38&lt;=0.6,"Media",IF(AB38&lt;=0.8,"Alta","Muy Alta"))))),"")</f>
        <v>Baja</v>
      </c>
      <c r="AD38" s="324">
        <f t="shared" ref="AD38:AD42" si="67">+AB38</f>
        <v>0.36</v>
      </c>
      <c r="AE38" s="326" t="str">
        <f>IFERROR(IF(AF38="","",IF(AF38&lt;=0.2,"Leve",IF(AF38&lt;=0.4,"Menor",IF(AF38&lt;=0.6,"Moderado",IF(AF38&lt;=0.8,"Mayor","Catastrófico"))))),"")</f>
        <v>Mayor</v>
      </c>
      <c r="AF38" s="324">
        <f>IFERROR(IF(AND(U37="Impacto",U38="Impacto"),(AF37-(+AF37*X38)),IF(U38="Impacto",($O$37-(+$O$37*X38)),IF(U38="Probabilidad",AF37,""))),"")</f>
        <v>0.75</v>
      </c>
      <c r="AG38" s="328" t="str">
        <f t="shared" ref="AG38:AG39" si="68">IFERROR(IF(OR(AND(AC38="Muy Baja",AE38="Leve"),AND(AC38="Muy Baja",AE38="Menor"),AND(AC38="Baja",AE38="Leve")),"Bajo",IF(OR(AND(AC38="Muy baja",AE38="Moderado"),AND(AC38="Baja",AE38="Menor"),AND(AC38="Baja",AE38="Moderado"),AND(AC38="Media",AE38="Leve"),AND(AC38="Media",AE38="Menor"),AND(AC38="Media",AE38="Moderado"),AND(AC38="Alta",AE38="Leve"),AND(AC38="Alta",AE38="Menor")),"Moderado",IF(OR(AND(AC38="Muy Baja",AE38="Mayor"),AND(AC38="Baja",AE38="Mayor"),AND(AC38="Media",AE38="Mayor"),AND(AC38="Alta",AE38="Moderado"),AND(AC38="Alta",AE38="Mayor"),AND(AC38="Muy Alta",AE38="Leve"),AND(AC38="Muy Alta",AE38="Menor"),AND(AC38="Muy Alta",AE38="Moderado"),AND(AC38="Muy Alta",AE38="Mayor")),"Alto",IF(OR(AND(AC38="Muy Baja",AE38="Catastrófico"),AND(AC38="Baja",AE38="Catastrófico"),AND(AC38="Media",AE38="Catastrófico"),AND(AC38="Alta",AE38="Catastrófico"),AND(AC38="Muy Alta",AE38="Catastrófico")),"Extremo","")))),"")</f>
        <v>Alto</v>
      </c>
      <c r="AH38" s="323" t="s">
        <v>26</v>
      </c>
      <c r="AI38" s="329">
        <v>0</v>
      </c>
      <c r="AJ38" s="329">
        <v>0</v>
      </c>
      <c r="AK38" s="329">
        <v>0</v>
      </c>
      <c r="AL38" s="329">
        <v>0</v>
      </c>
      <c r="AM38" s="355"/>
      <c r="AN38" s="355"/>
      <c r="AO38" s="356"/>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c r="CQ38" s="273"/>
      <c r="CR38" s="273"/>
    </row>
    <row r="39" spans="1:102" s="258" customFormat="1" ht="10.5" customHeight="1" x14ac:dyDescent="0.2">
      <c r="A39" s="581"/>
      <c r="B39" s="579"/>
      <c r="C39" s="452"/>
      <c r="D39" s="454"/>
      <c r="E39" s="454"/>
      <c r="F39" s="454"/>
      <c r="G39" s="446"/>
      <c r="H39" s="446"/>
      <c r="I39" s="446"/>
      <c r="J39" s="457"/>
      <c r="K39" s="447"/>
      <c r="L39" s="445"/>
      <c r="M39" s="582"/>
      <c r="N39" s="459"/>
      <c r="O39" s="445"/>
      <c r="P39" s="459"/>
      <c r="Q39" s="248">
        <v>3</v>
      </c>
      <c r="R39" s="330"/>
      <c r="S39" s="245"/>
      <c r="T39" s="245"/>
      <c r="U39" s="322" t="str">
        <f>IF(OR(V39="Preventivo",V39="Detectivo"),"Probabilidad",IF(V39="Correctivo","Impacto",""))</f>
        <v/>
      </c>
      <c r="V39" s="323"/>
      <c r="W39" s="323"/>
      <c r="X39" s="324" t="str">
        <f>IF(AND(V39="Preventivo",W39="Automático"),"50%",IF(AND(V39="Preventivo",W39="Manual"),"40%",IF(AND(V39="Detectivo",W39="Automático"),"40%",IF(AND(V39="Detectivo",W39="Manual"),"30%",IF(AND(V39="Correctivo",W39="Automático"),"35%",IF(AND(V39="Correctivo",W39="Manual"),"25%",""))))))</f>
        <v/>
      </c>
      <c r="Y39" s="323"/>
      <c r="Z39" s="323"/>
      <c r="AA39" s="323"/>
      <c r="AB39" s="325" t="str">
        <f t="shared" ref="AB39:AB42" si="69">IFERROR(IF(AND(U38="Probabilidad",U39="Probabilidad"),(AD38-(+AD38*X39)),IF(AND(U38="Impacto",U39="Probabilidad"),(AD37-(+AD37*X39)),IF(U39="Impacto",AD38,""))),"")</f>
        <v/>
      </c>
      <c r="AC39" s="326" t="str">
        <f t="shared" si="66"/>
        <v/>
      </c>
      <c r="AD39" s="324" t="str">
        <f t="shared" si="67"/>
        <v/>
      </c>
      <c r="AE39" s="326" t="str">
        <f t="shared" ref="AE39:AE42" si="70">IFERROR(IF(AF39="","",IF(AF39&lt;=0.2,"Leve",IF(AF39&lt;=0.4,"Menor",IF(AF39&lt;=0.6,"Moderado",IF(AF39&lt;=0.8,"Mayor","Catastrófico"))))),"")</f>
        <v/>
      </c>
      <c r="AF39" s="324" t="str">
        <f t="shared" ref="AF39:AF42" si="71">IFERROR(IF(AND(U38="Impacto",U39="Impacto"),(AF38-(+AF38*X39)),IF(U39="Impacto",($O$37-(+$O$37*X39)),IF(U39="Probabilidad",AF38,""))),"")</f>
        <v/>
      </c>
      <c r="AG39" s="328" t="str">
        <f t="shared" si="68"/>
        <v/>
      </c>
      <c r="AH39" s="323"/>
      <c r="AI39" s="329"/>
      <c r="AJ39" s="329"/>
      <c r="AK39" s="329"/>
      <c r="AL39" s="329"/>
      <c r="AM39" s="355"/>
      <c r="AN39" s="355"/>
      <c r="AO39" s="356"/>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c r="CR39" s="273"/>
    </row>
    <row r="40" spans="1:102" s="258" customFormat="1" ht="10.5" customHeight="1" x14ac:dyDescent="0.2">
      <c r="A40" s="581"/>
      <c r="B40" s="579"/>
      <c r="C40" s="452"/>
      <c r="D40" s="454"/>
      <c r="E40" s="454"/>
      <c r="F40" s="454"/>
      <c r="G40" s="446"/>
      <c r="H40" s="446"/>
      <c r="I40" s="446"/>
      <c r="J40" s="457"/>
      <c r="K40" s="447"/>
      <c r="L40" s="445"/>
      <c r="M40" s="582"/>
      <c r="N40" s="459"/>
      <c r="O40" s="445"/>
      <c r="P40" s="459"/>
      <c r="Q40" s="248">
        <v>4</v>
      </c>
      <c r="R40" s="321"/>
      <c r="S40" s="245"/>
      <c r="T40" s="245"/>
      <c r="U40" s="322" t="str">
        <f t="shared" ref="U40:U42" si="72">IF(OR(V40="Preventivo",V40="Detectivo"),"Probabilidad",IF(V40="Correctivo","Impacto",""))</f>
        <v/>
      </c>
      <c r="V40" s="323"/>
      <c r="W40" s="323"/>
      <c r="X40" s="324" t="str">
        <f t="shared" ref="X40:X42" si="73">IF(AND(V40="Preventivo",W40="Automático"),"50%",IF(AND(V40="Preventivo",W40="Manual"),"40%",IF(AND(V40="Detectivo",W40="Automático"),"40%",IF(AND(V40="Detectivo",W40="Manual"),"30%",IF(AND(V40="Correctivo",W40="Automático"),"35%",IF(AND(V40="Correctivo",W40="Manual"),"25%",""))))))</f>
        <v/>
      </c>
      <c r="Y40" s="323"/>
      <c r="Z40" s="323"/>
      <c r="AA40" s="323"/>
      <c r="AB40" s="325" t="str">
        <f t="shared" si="69"/>
        <v/>
      </c>
      <c r="AC40" s="326" t="str">
        <f t="shared" si="66"/>
        <v/>
      </c>
      <c r="AD40" s="324" t="str">
        <f t="shared" si="67"/>
        <v/>
      </c>
      <c r="AE40" s="326" t="str">
        <f t="shared" si="70"/>
        <v/>
      </c>
      <c r="AF40" s="324" t="str">
        <f t="shared" si="71"/>
        <v/>
      </c>
      <c r="AG40" s="328" t="str">
        <f>IFERROR(IF(OR(AND(AC40="Muy Baja",AE40="Leve"),AND(AC40="Muy Baja",AE40="Menor"),AND(AC40="Baja",AE40="Leve")),"Bajo",IF(OR(AND(AC40="Muy baja",AE40="Moderado"),AND(AC40="Baja",AE40="Menor"),AND(AC40="Baja",AE40="Moderado"),AND(AC40="Media",AE40="Leve"),AND(AC40="Media",AE40="Menor"),AND(AC40="Media",AE40="Moderado"),AND(AC40="Alta",AE40="Leve"),AND(AC40="Alta",AE40="Menor")),"Moderado",IF(OR(AND(AC40="Muy Baja",AE40="Mayor"),AND(AC40="Baja",AE40="Mayor"),AND(AC40="Media",AE40="Mayor"),AND(AC40="Alta",AE40="Moderado"),AND(AC40="Alta",AE40="Mayor"),AND(AC40="Muy Alta",AE40="Leve"),AND(AC40="Muy Alta",AE40="Menor"),AND(AC40="Muy Alta",AE40="Moderado"),AND(AC40="Muy Alta",AE40="Mayor")),"Alto",IF(OR(AND(AC40="Muy Baja",AE40="Catastrófico"),AND(AC40="Baja",AE40="Catastrófico"),AND(AC40="Media",AE40="Catastrófico"),AND(AC40="Alta",AE40="Catastrófico"),AND(AC40="Muy Alta",AE40="Catastrófico")),"Extremo","")))),"")</f>
        <v/>
      </c>
      <c r="AH40" s="323"/>
      <c r="AI40" s="329"/>
      <c r="AJ40" s="329"/>
      <c r="AK40" s="329"/>
      <c r="AL40" s="329"/>
      <c r="AM40" s="360"/>
      <c r="AN40" s="360"/>
      <c r="AO40" s="352"/>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c r="CR40" s="273"/>
    </row>
    <row r="41" spans="1:102" s="258" customFormat="1" ht="10.5" customHeight="1" x14ac:dyDescent="0.2">
      <c r="A41" s="581"/>
      <c r="B41" s="579"/>
      <c r="C41" s="452"/>
      <c r="D41" s="454"/>
      <c r="E41" s="454"/>
      <c r="F41" s="454"/>
      <c r="G41" s="446"/>
      <c r="H41" s="446"/>
      <c r="I41" s="446"/>
      <c r="J41" s="457"/>
      <c r="K41" s="447"/>
      <c r="L41" s="445"/>
      <c r="M41" s="582"/>
      <c r="N41" s="459"/>
      <c r="O41" s="445"/>
      <c r="P41" s="459"/>
      <c r="Q41" s="248">
        <v>5</v>
      </c>
      <c r="R41" s="321"/>
      <c r="S41" s="245"/>
      <c r="T41" s="245"/>
      <c r="U41" s="322" t="str">
        <f t="shared" si="72"/>
        <v/>
      </c>
      <c r="V41" s="323"/>
      <c r="W41" s="323"/>
      <c r="X41" s="324" t="str">
        <f t="shared" si="73"/>
        <v/>
      </c>
      <c r="Y41" s="323"/>
      <c r="Z41" s="323"/>
      <c r="AA41" s="323"/>
      <c r="AB41" s="325" t="str">
        <f t="shared" si="69"/>
        <v/>
      </c>
      <c r="AC41" s="326" t="str">
        <f t="shared" si="66"/>
        <v/>
      </c>
      <c r="AD41" s="324" t="str">
        <f t="shared" si="67"/>
        <v/>
      </c>
      <c r="AE41" s="326" t="str">
        <f t="shared" si="70"/>
        <v/>
      </c>
      <c r="AF41" s="324" t="str">
        <f t="shared" si="71"/>
        <v/>
      </c>
      <c r="AG41" s="328" t="str">
        <f t="shared" ref="AG41:AG42" si="74">IFERROR(IF(OR(AND(AC41="Muy Baja",AE41="Leve"),AND(AC41="Muy Baja",AE41="Menor"),AND(AC41="Baja",AE41="Leve")),"Bajo",IF(OR(AND(AC41="Muy baja",AE41="Moderado"),AND(AC41="Baja",AE41="Menor"),AND(AC41="Baja",AE41="Moderado"),AND(AC41="Media",AE41="Leve"),AND(AC41="Media",AE41="Menor"),AND(AC41="Media",AE41="Moderado"),AND(AC41="Alta",AE41="Leve"),AND(AC41="Alta",AE41="Menor")),"Moderado",IF(OR(AND(AC41="Muy Baja",AE41="Mayor"),AND(AC41="Baja",AE41="Mayor"),AND(AC41="Media",AE41="Mayor"),AND(AC41="Alta",AE41="Moderado"),AND(AC41="Alta",AE41="Mayor"),AND(AC41="Muy Alta",AE41="Leve"),AND(AC41="Muy Alta",AE41="Menor"),AND(AC41="Muy Alta",AE41="Moderado"),AND(AC41="Muy Alta",AE41="Mayor")),"Alto",IF(OR(AND(AC41="Muy Baja",AE41="Catastrófico"),AND(AC41="Baja",AE41="Catastrófico"),AND(AC41="Media",AE41="Catastrófico"),AND(AC41="Alta",AE41="Catastrófico"),AND(AC41="Muy Alta",AE41="Catastrófico")),"Extremo","")))),"")</f>
        <v/>
      </c>
      <c r="AH41" s="323"/>
      <c r="AI41" s="329"/>
      <c r="AJ41" s="329"/>
      <c r="AK41" s="329"/>
      <c r="AL41" s="329"/>
      <c r="AM41" s="356"/>
      <c r="AN41" s="356"/>
      <c r="AO41" s="357"/>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c r="CR41" s="273"/>
    </row>
    <row r="42" spans="1:102" s="258" customFormat="1" ht="10.5" customHeight="1" x14ac:dyDescent="0.2">
      <c r="A42" s="581"/>
      <c r="B42" s="579"/>
      <c r="C42" s="452"/>
      <c r="D42" s="454"/>
      <c r="E42" s="454"/>
      <c r="F42" s="454"/>
      <c r="G42" s="446"/>
      <c r="H42" s="446"/>
      <c r="I42" s="446"/>
      <c r="J42" s="457"/>
      <c r="K42" s="447"/>
      <c r="L42" s="445"/>
      <c r="M42" s="582"/>
      <c r="N42" s="459"/>
      <c r="O42" s="445"/>
      <c r="P42" s="459"/>
      <c r="Q42" s="248">
        <v>6</v>
      </c>
      <c r="R42" s="321"/>
      <c r="S42" s="245"/>
      <c r="T42" s="245"/>
      <c r="U42" s="322" t="str">
        <f t="shared" si="72"/>
        <v/>
      </c>
      <c r="V42" s="323"/>
      <c r="W42" s="323"/>
      <c r="X42" s="324" t="str">
        <f t="shared" si="73"/>
        <v/>
      </c>
      <c r="Y42" s="323"/>
      <c r="Z42" s="323"/>
      <c r="AA42" s="323"/>
      <c r="AB42" s="325" t="str">
        <f t="shared" si="69"/>
        <v/>
      </c>
      <c r="AC42" s="326" t="str">
        <f t="shared" si="66"/>
        <v/>
      </c>
      <c r="AD42" s="324" t="str">
        <f t="shared" si="67"/>
        <v/>
      </c>
      <c r="AE42" s="326" t="str">
        <f t="shared" si="70"/>
        <v/>
      </c>
      <c r="AF42" s="324" t="str">
        <f t="shared" si="71"/>
        <v/>
      </c>
      <c r="AG42" s="328" t="str">
        <f t="shared" si="74"/>
        <v/>
      </c>
      <c r="AH42" s="323"/>
      <c r="AI42" s="329"/>
      <c r="AJ42" s="329"/>
      <c r="AK42" s="329"/>
      <c r="AL42" s="329"/>
      <c r="AM42" s="356"/>
      <c r="AN42" s="356"/>
      <c r="AO42" s="357"/>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row>
    <row r="43" spans="1:102" s="261" customFormat="1" ht="144.75" customHeight="1" x14ac:dyDescent="0.2">
      <c r="A43" s="581" t="s">
        <v>740</v>
      </c>
      <c r="B43" s="579" t="s">
        <v>830</v>
      </c>
      <c r="C43" s="452" t="s">
        <v>606</v>
      </c>
      <c r="D43" s="454" t="s">
        <v>620</v>
      </c>
      <c r="E43" s="454" t="s">
        <v>880</v>
      </c>
      <c r="F43" s="446" t="s">
        <v>675</v>
      </c>
      <c r="G43" s="446" t="s">
        <v>807</v>
      </c>
      <c r="H43" s="446" t="s">
        <v>233</v>
      </c>
      <c r="I43" s="446" t="s">
        <v>777</v>
      </c>
      <c r="J43" s="457">
        <v>12</v>
      </c>
      <c r="K43" s="447" t="str">
        <f t="shared" ref="K43" si="75">IF(J43&lt;=0,"",IF(J43&lt;=2,"Muy Baja",IF(J43&lt;=24,"Baja",IF(J43&lt;=500,"Media",IF(J43&lt;=5000,"Alta","Muy Alta")))))</f>
        <v>Baja</v>
      </c>
      <c r="L43" s="445">
        <f t="shared" ref="L43" si="76">IF(K43="","",IF(K43="Muy Baja",0.2,IF(K43="Baja",0.4,IF(K43="Media",0.6,IF(K43="Alta",0.8,IF(K43="Muy Alta",1,))))))</f>
        <v>0.4</v>
      </c>
      <c r="M43" s="582">
        <v>5</v>
      </c>
      <c r="N43" s="445" t="str">
        <f>IF(M43=1,"INSIGNIFICANTE",IF(M43=2,"Menor",IF(M43=3,"Moderado",IF(M43=4,"MAYOR",IF(M43=5,"Catastrófico",IF(M43=""," "))))))</f>
        <v>Catastrófico</v>
      </c>
      <c r="O43" s="445">
        <f t="shared" ref="O43" si="77">IF(N43="","",IF(N43="Leve",0.2,IF(N43="Menor",0.4,IF(N43="Moderado",0.6,IF(N43="Mayor",0.8,IF(N43="Catastrófico",1,))))))</f>
        <v>1</v>
      </c>
      <c r="P43" s="459" t="str">
        <f t="shared" ref="P43" si="78">IF(OR(AND(K43="Muy Baja",N43="Leve"),AND(K43="Muy Baja",K43="Menor"),AND(K43="Baja",N43="Leve")),"Bajo",IF(OR(AND(K43="Muy baja",N43="Moderado"),AND(K43="Baja",N43="Menor"),AND(K43="Baja",N43="Moderado"),AND(K43="Media",N43="Leve"),AND(K43="Media",N43="Menor"),AND(K43="Media",N43="Moderado"),AND(K43="Alta",N43="Leve"),AND(K43="Alta",N43="Menor")),"Moderado",IF(OR(AND(K43="Muy Baja",N43="Mayor"),AND(K43="Baja",N43="Mayor"),AND(K43="Media",N43="Mayor"),AND(K43="Alta",N43="Moderado"),AND(K43="Alta",N43="Mayor"),AND(K43="Muy Alta",N43="Leve"),AND(K43="Muy Alta",N43="Menor"),AND(K43="Muy Alta",N43="Moderado"),AND(K43="Muy Alta",N43="Mayor")),"Alto",IF(OR(AND(K43="Muy Baja",N43="Catastrófico"),AND(K43="Baja",N43="Catastrófico"),AND(K43="Media",N43="Catastrófico"),AND(K43="Alta",N43="Catastrófico"),AND(K43="Muy Alta",N43="Catastrófico")),"Extremo",""))))</f>
        <v>Extremo</v>
      </c>
      <c r="Q43" s="248">
        <v>1</v>
      </c>
      <c r="R43" s="321" t="s">
        <v>877</v>
      </c>
      <c r="S43" s="245" t="s">
        <v>293</v>
      </c>
      <c r="T43" s="245" t="s">
        <v>741</v>
      </c>
      <c r="U43" s="322" t="str">
        <f>IF(OR(V43="Preventivo",V43="Detectivo"),"Probabilidad",IF(V43="Correctivo","Impacto",""))</f>
        <v>Probabilidad</v>
      </c>
      <c r="V43" s="323" t="s">
        <v>13</v>
      </c>
      <c r="W43" s="323" t="s">
        <v>8</v>
      </c>
      <c r="X43" s="324" t="str">
        <f t="shared" si="46"/>
        <v>40%</v>
      </c>
      <c r="Y43" s="323" t="s">
        <v>18</v>
      </c>
      <c r="Z43" s="323" t="s">
        <v>21</v>
      </c>
      <c r="AA43" s="323" t="s">
        <v>103</v>
      </c>
      <c r="AB43" s="325">
        <f>IFERROR(IF(U43="Probabilidad",(L43-(+L43*X43)),IF(U43="Impacto",L43,"")),"")</f>
        <v>0.24</v>
      </c>
      <c r="AC43" s="326" t="str">
        <f>IFERROR(IF(AB43="","",IF(AB43&lt;=0.2,"Muy Baja",IF(AB43&lt;=0.4,"Baja",IF(AB43&lt;=0.6,"Media",IF(AB43&lt;=0.8,"Alta","Muy Alta"))))),"")</f>
        <v>Baja</v>
      </c>
      <c r="AD43" s="324">
        <f>+AB43</f>
        <v>0.24</v>
      </c>
      <c r="AE43" s="326" t="str">
        <f>IFERROR(IF(AF43="","",IF(AF43&lt;=0.2,"Leve",IF(AF43&lt;=0.4,"Menor",IF(AF43&lt;=0.6,"Moderado",IF(AF43&lt;=0.8,"Mayor","Catastrófico"))))),"")</f>
        <v>Catastrófico</v>
      </c>
      <c r="AF43" s="324">
        <f>IFERROR(IF(U43="Impacto",(O43-(+O43*X43)),IF(U43="Probabilidad",O43,"")),"")</f>
        <v>1</v>
      </c>
      <c r="AG43" s="328" t="str">
        <f>IFERROR(IF(OR(AND(AC43="Muy Baja",AE43="Leve"),AND(AC43="Muy Baja",AE43="Menor"),AND(AC43="Baja",AE43="Leve")),"Bajo",IF(OR(AND(AC43="Muy baja",AE43="Moderado"),AND(AC43="Baja",AE43="Menor"),AND(AC43="Baja",AE43="Moderado"),AND(AC43="Media",AE43="Leve"),AND(AC43="Media",AE43="Menor"),AND(AC43="Media",AE43="Moderado"),AND(AC43="Alta",AE43="Leve"),AND(AC43="Alta",AE43="Menor")),"Moderado",IF(OR(AND(AC43="Muy Baja",AE43="Mayor"),AND(AC43="Baja",AE43="Mayor"),AND(AC43="Media",AE43="Mayor"),AND(AC43="Alta",AE43="Moderado"),AND(AC43="Alta",AE43="Mayor"),AND(AC43="Muy Alta",AE43="Leve"),AND(AC43="Muy Alta",AE43="Menor"),AND(AC43="Muy Alta",AE43="Moderado"),AND(AC43="Muy Alta",AE43="Mayor")),"Alto",IF(OR(AND(AC43="Muy Baja",AE43="Catastrófico"),AND(AC43="Baja",AE43="Catastrófico"),AND(AC43="Media",AE43="Catastrófico"),AND(AC43="Alta",AE43="Catastrófico"),AND(AC43="Muy Alta",AE43="Catastrófico")),"Extremo","")))),"")</f>
        <v>Extremo</v>
      </c>
      <c r="AH43" s="323" t="s">
        <v>26</v>
      </c>
      <c r="AI43" s="329">
        <v>0</v>
      </c>
      <c r="AJ43" s="329">
        <v>0</v>
      </c>
      <c r="AK43" s="329">
        <v>0</v>
      </c>
      <c r="AL43" s="329">
        <v>0</v>
      </c>
      <c r="AM43" s="262"/>
      <c r="AN43" s="262"/>
      <c r="AO43" s="356"/>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60"/>
      <c r="CT43" s="260"/>
      <c r="CU43" s="260"/>
      <c r="CV43" s="260"/>
      <c r="CW43" s="260"/>
      <c r="CX43" s="260"/>
    </row>
    <row r="44" spans="1:102" s="258" customFormat="1" ht="128.25" x14ac:dyDescent="0.2">
      <c r="A44" s="581"/>
      <c r="B44" s="579"/>
      <c r="C44" s="452"/>
      <c r="D44" s="454"/>
      <c r="E44" s="454"/>
      <c r="F44" s="446"/>
      <c r="G44" s="446"/>
      <c r="H44" s="446"/>
      <c r="I44" s="446"/>
      <c r="J44" s="457"/>
      <c r="K44" s="447"/>
      <c r="L44" s="445"/>
      <c r="M44" s="582"/>
      <c r="N44" s="445"/>
      <c r="O44" s="445"/>
      <c r="P44" s="459"/>
      <c r="Q44" s="248">
        <v>2</v>
      </c>
      <c r="R44" s="321" t="s">
        <v>878</v>
      </c>
      <c r="S44" s="245" t="s">
        <v>293</v>
      </c>
      <c r="T44" s="245" t="s">
        <v>742</v>
      </c>
      <c r="U44" s="322" t="str">
        <f>IF(OR(V44="Preventivo",V44="Detectivo"),"Probabilidad",IF(V44="Correctivo","Impacto",""))</f>
        <v>Probabilidad</v>
      </c>
      <c r="V44" s="323" t="s">
        <v>13</v>
      </c>
      <c r="W44" s="323" t="s">
        <v>8</v>
      </c>
      <c r="X44" s="324" t="str">
        <f t="shared" si="46"/>
        <v>40%</v>
      </c>
      <c r="Y44" s="323" t="s">
        <v>18</v>
      </c>
      <c r="Z44" s="323" t="s">
        <v>21</v>
      </c>
      <c r="AA44" s="323" t="s">
        <v>103</v>
      </c>
      <c r="AB44" s="325">
        <f>IFERROR(IF(AND(U43="Probabilidad",U44="Probabilidad"),(AD43-(+AD43*X44)),IF(U44="Probabilidad",(L43-(+L43*X44)),IF(U44="Impacto",AD43,""))),"")</f>
        <v>0.14399999999999999</v>
      </c>
      <c r="AC44" s="326" t="str">
        <f t="shared" ref="AC44:AC48" si="79">IFERROR(IF(AB44="","",IF(AB44&lt;=0.2,"Muy Baja",IF(AB44&lt;=0.4,"Baja",IF(AB44&lt;=0.6,"Media",IF(AB44&lt;=0.8,"Alta","Muy Alta"))))),"")</f>
        <v>Muy Baja</v>
      </c>
      <c r="AD44" s="324">
        <f t="shared" ref="AD44:AD48" si="80">+AB44</f>
        <v>0.14399999999999999</v>
      </c>
      <c r="AE44" s="326" t="str">
        <f t="shared" ref="AE44:AE48" si="81">IFERROR(IF(AF44="","",IF(AF44&lt;=0.2,"Leve",IF(AF44&lt;=0.4,"Menor",IF(AF44&lt;=0.6,"Moderado",IF(AF44&lt;=0.8,"Mayor","Catastrófico"))))),"")</f>
        <v>Catastrófico</v>
      </c>
      <c r="AF44" s="324">
        <f>IFERROR(IF(AND(U43="Impacto",U44="Impacto"),(AF43-(+AF43*X44)),IF(U44="Impacto",($O$43-(+$O$43*X44)),IF(U44="Probabilidad",AF43,""))),"")</f>
        <v>1</v>
      </c>
      <c r="AG44" s="328" t="str">
        <f t="shared" ref="AG44:AG45" si="82">IFERROR(IF(OR(AND(AC44="Muy Baja",AE44="Leve"),AND(AC44="Muy Baja",AE44="Menor"),AND(AC44="Baja",AE44="Leve")),"Bajo",IF(OR(AND(AC44="Muy baja",AE44="Moderado"),AND(AC44="Baja",AE44="Menor"),AND(AC44="Baja",AE44="Moderado"),AND(AC44="Media",AE44="Leve"),AND(AC44="Media",AE44="Menor"),AND(AC44="Media",AE44="Moderado"),AND(AC44="Alta",AE44="Leve"),AND(AC44="Alta",AE44="Menor")),"Moderado",IF(OR(AND(AC44="Muy Baja",AE44="Mayor"),AND(AC44="Baja",AE44="Mayor"),AND(AC44="Media",AE44="Mayor"),AND(AC44="Alta",AE44="Moderado"),AND(AC44="Alta",AE44="Mayor"),AND(AC44="Muy Alta",AE44="Leve"),AND(AC44="Muy Alta",AE44="Menor"),AND(AC44="Muy Alta",AE44="Moderado"),AND(AC44="Muy Alta",AE44="Mayor")),"Alto",IF(OR(AND(AC44="Muy Baja",AE44="Catastrófico"),AND(AC44="Baja",AE44="Catastrófico"),AND(AC44="Media",AE44="Catastrófico"),AND(AC44="Alta",AE44="Catastrófico"),AND(AC44="Muy Alta",AE44="Catastrófico")),"Extremo","")))),"")</f>
        <v>Extremo</v>
      </c>
      <c r="AH44" s="323" t="s">
        <v>26</v>
      </c>
      <c r="AI44" s="329">
        <v>0</v>
      </c>
      <c r="AJ44" s="329">
        <v>0</v>
      </c>
      <c r="AK44" s="329">
        <v>0</v>
      </c>
      <c r="AL44" s="329">
        <v>0</v>
      </c>
      <c r="AM44" s="355"/>
      <c r="AN44" s="355"/>
      <c r="AO44" s="356"/>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row>
    <row r="45" spans="1:102" s="258" customFormat="1" ht="122.25" customHeight="1" x14ac:dyDescent="0.2">
      <c r="A45" s="581"/>
      <c r="B45" s="579"/>
      <c r="C45" s="452"/>
      <c r="D45" s="454"/>
      <c r="E45" s="454"/>
      <c r="F45" s="446"/>
      <c r="G45" s="446"/>
      <c r="H45" s="446"/>
      <c r="I45" s="446"/>
      <c r="J45" s="457"/>
      <c r="K45" s="447"/>
      <c r="L45" s="445"/>
      <c r="M45" s="582"/>
      <c r="N45" s="445"/>
      <c r="O45" s="445"/>
      <c r="P45" s="459"/>
      <c r="Q45" s="248">
        <v>3</v>
      </c>
      <c r="R45" s="321" t="s">
        <v>879</v>
      </c>
      <c r="S45" s="245" t="s">
        <v>293</v>
      </c>
      <c r="T45" s="245" t="s">
        <v>743</v>
      </c>
      <c r="U45" s="322" t="str">
        <f>IF(OR(V45="Preventivo",V45="Detectivo"),"Probabilidad",IF(V45="Correctivo","Impacto",""))</f>
        <v>Probabilidad</v>
      </c>
      <c r="V45" s="323" t="s">
        <v>13</v>
      </c>
      <c r="W45" s="323" t="s">
        <v>8</v>
      </c>
      <c r="X45" s="324" t="str">
        <f>IF(AND(V45="Preventivo",W45="Automático"),"50%",IF(AND(V45="Preventivo",W45="Manual"),"40%",IF(AND(V45="Detectivo",W45="Automático"),"40%",IF(AND(V45="Detectivo",W45="Manual"),"30%",IF(AND(V45="Correctivo",W45="Automático"),"35%",IF(AND(V45="Correctivo",W45="Manual"),"25%",""))))))</f>
        <v>40%</v>
      </c>
      <c r="Y45" s="323" t="s">
        <v>18</v>
      </c>
      <c r="Z45" s="323" t="s">
        <v>21</v>
      </c>
      <c r="AA45" s="323" t="s">
        <v>103</v>
      </c>
      <c r="AB45" s="325">
        <f t="shared" ref="AB45:AB48" si="83">IFERROR(IF(AND(U44="Probabilidad",U45="Probabilidad"),(AD44-(+AD44*X45)),IF(AND(U44="Impacto",U45="Probabilidad"),(AD43-(+AD43*X45)),IF(U45="Impacto",AD44,""))),"")</f>
        <v>8.6399999999999991E-2</v>
      </c>
      <c r="AC45" s="326" t="str">
        <f t="shared" si="79"/>
        <v>Muy Baja</v>
      </c>
      <c r="AD45" s="324">
        <f t="shared" si="80"/>
        <v>8.6399999999999991E-2</v>
      </c>
      <c r="AE45" s="326" t="str">
        <f t="shared" si="81"/>
        <v>Catastrófico</v>
      </c>
      <c r="AF45" s="324">
        <f t="shared" ref="AF45:AF48" si="84">IFERROR(IF(AND(U44="Impacto",U45="Impacto"),(AF44-(+AF44*X45)),IF(U45="Impacto",($O$43-(+$O$43*X45)),IF(U45="Probabilidad",AF44,""))),"")</f>
        <v>1</v>
      </c>
      <c r="AG45" s="328" t="str">
        <f t="shared" si="82"/>
        <v>Extremo</v>
      </c>
      <c r="AH45" s="323" t="s">
        <v>26</v>
      </c>
      <c r="AI45" s="329">
        <v>0</v>
      </c>
      <c r="AJ45" s="329">
        <v>0</v>
      </c>
      <c r="AK45" s="329">
        <v>0</v>
      </c>
      <c r="AL45" s="329">
        <v>0</v>
      </c>
      <c r="AM45" s="355"/>
      <c r="AN45" s="355"/>
      <c r="AO45" s="356"/>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c r="CG45" s="273"/>
      <c r="CH45" s="273"/>
      <c r="CI45" s="273"/>
      <c r="CJ45" s="273"/>
      <c r="CK45" s="273"/>
      <c r="CL45" s="273"/>
      <c r="CM45" s="273"/>
      <c r="CN45" s="273"/>
      <c r="CO45" s="273"/>
      <c r="CP45" s="273"/>
      <c r="CQ45" s="273"/>
      <c r="CR45" s="273"/>
    </row>
    <row r="46" spans="1:102" s="258" customFormat="1" ht="9.75" customHeight="1" x14ac:dyDescent="0.2">
      <c r="A46" s="581"/>
      <c r="B46" s="579"/>
      <c r="C46" s="452"/>
      <c r="D46" s="454"/>
      <c r="E46" s="454"/>
      <c r="F46" s="446"/>
      <c r="G46" s="446"/>
      <c r="H46" s="446"/>
      <c r="I46" s="446"/>
      <c r="J46" s="457"/>
      <c r="K46" s="447"/>
      <c r="L46" s="445"/>
      <c r="M46" s="582"/>
      <c r="N46" s="445"/>
      <c r="O46" s="445"/>
      <c r="P46" s="459"/>
      <c r="Q46" s="248">
        <v>4</v>
      </c>
      <c r="R46" s="321"/>
      <c r="S46" s="245"/>
      <c r="T46" s="245"/>
      <c r="U46" s="322" t="str">
        <f t="shared" ref="U46:U48" si="85">IF(OR(V46="Preventivo",V46="Detectivo"),"Probabilidad",IF(V46="Correctivo","Impacto",""))</f>
        <v/>
      </c>
      <c r="V46" s="323"/>
      <c r="W46" s="323"/>
      <c r="X46" s="324" t="str">
        <f t="shared" ref="X46:X56" si="86">IF(AND(V46="Preventivo",W46="Automático"),"50%",IF(AND(V46="Preventivo",W46="Manual"),"40%",IF(AND(V46="Detectivo",W46="Automático"),"40%",IF(AND(V46="Detectivo",W46="Manual"),"30%",IF(AND(V46="Correctivo",W46="Automático"),"35%",IF(AND(V46="Correctivo",W46="Manual"),"25%",""))))))</f>
        <v/>
      </c>
      <c r="Y46" s="323"/>
      <c r="Z46" s="323"/>
      <c r="AA46" s="323"/>
      <c r="AB46" s="325" t="str">
        <f t="shared" si="83"/>
        <v/>
      </c>
      <c r="AC46" s="326" t="str">
        <f t="shared" si="79"/>
        <v/>
      </c>
      <c r="AD46" s="324" t="str">
        <f t="shared" si="80"/>
        <v/>
      </c>
      <c r="AE46" s="326" t="str">
        <f t="shared" si="81"/>
        <v/>
      </c>
      <c r="AF46" s="324" t="str">
        <f t="shared" si="84"/>
        <v/>
      </c>
      <c r="AG46" s="328" t="str">
        <f>IFERROR(IF(OR(AND(AC46="Muy Baja",AE46="Leve"),AND(AC46="Muy Baja",AE46="Menor"),AND(AC46="Baja",AE46="Leve")),"Bajo",IF(OR(AND(AC46="Muy baja",AE46="Moderado"),AND(AC46="Baja",AE46="Menor"),AND(AC46="Baja",AE46="Moderado"),AND(AC46="Media",AE46="Leve"),AND(AC46="Media",AE46="Menor"),AND(AC46="Media",AE46="Moderado"),AND(AC46="Alta",AE46="Leve"),AND(AC46="Alta",AE46="Menor")),"Moderado",IF(OR(AND(AC46="Muy Baja",AE46="Mayor"),AND(AC46="Baja",AE46="Mayor"),AND(AC46="Media",AE46="Mayor"),AND(AC46="Alta",AE46="Moderado"),AND(AC46="Alta",AE46="Mayor"),AND(AC46="Muy Alta",AE46="Leve"),AND(AC46="Muy Alta",AE46="Menor"),AND(AC46="Muy Alta",AE46="Moderado"),AND(AC46="Muy Alta",AE46="Mayor")),"Alto",IF(OR(AND(AC46="Muy Baja",AE46="Catastrófico"),AND(AC46="Baja",AE46="Catastrófico"),AND(AC46="Media",AE46="Catastrófico"),AND(AC46="Alta",AE46="Catastrófico"),AND(AC46="Muy Alta",AE46="Catastrófico")),"Extremo","")))),"")</f>
        <v/>
      </c>
      <c r="AH46" s="323"/>
      <c r="AI46" s="329"/>
      <c r="AJ46" s="329"/>
      <c r="AK46" s="329"/>
      <c r="AL46" s="329"/>
      <c r="AM46" s="360"/>
      <c r="AN46" s="360"/>
      <c r="AO46" s="352"/>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c r="CO46" s="273"/>
      <c r="CP46" s="273"/>
      <c r="CQ46" s="273"/>
      <c r="CR46" s="273"/>
    </row>
    <row r="47" spans="1:102" s="258" customFormat="1" ht="9.75" customHeight="1" x14ac:dyDescent="0.2">
      <c r="A47" s="581"/>
      <c r="B47" s="579"/>
      <c r="C47" s="452"/>
      <c r="D47" s="454"/>
      <c r="E47" s="454"/>
      <c r="F47" s="446"/>
      <c r="G47" s="446"/>
      <c r="H47" s="446"/>
      <c r="I47" s="446"/>
      <c r="J47" s="457"/>
      <c r="K47" s="447"/>
      <c r="L47" s="445"/>
      <c r="M47" s="582"/>
      <c r="N47" s="445"/>
      <c r="O47" s="445"/>
      <c r="P47" s="459"/>
      <c r="Q47" s="248">
        <v>5</v>
      </c>
      <c r="R47" s="321"/>
      <c r="S47" s="245"/>
      <c r="T47" s="245"/>
      <c r="U47" s="322" t="str">
        <f t="shared" si="85"/>
        <v/>
      </c>
      <c r="V47" s="323"/>
      <c r="W47" s="323"/>
      <c r="X47" s="324" t="str">
        <f t="shared" si="86"/>
        <v/>
      </c>
      <c r="Y47" s="323"/>
      <c r="Z47" s="323"/>
      <c r="AA47" s="323"/>
      <c r="AB47" s="325" t="str">
        <f t="shared" si="83"/>
        <v/>
      </c>
      <c r="AC47" s="326" t="str">
        <f t="shared" si="79"/>
        <v/>
      </c>
      <c r="AD47" s="324" t="str">
        <f t="shared" si="80"/>
        <v/>
      </c>
      <c r="AE47" s="326" t="str">
        <f t="shared" si="81"/>
        <v/>
      </c>
      <c r="AF47" s="324" t="str">
        <f t="shared" si="84"/>
        <v/>
      </c>
      <c r="AG47" s="328" t="str">
        <f t="shared" ref="AG47:AG48" si="87">IFERROR(IF(OR(AND(AC47="Muy Baja",AE47="Leve"),AND(AC47="Muy Baja",AE47="Menor"),AND(AC47="Baja",AE47="Leve")),"Bajo",IF(OR(AND(AC47="Muy baja",AE47="Moderado"),AND(AC47="Baja",AE47="Menor"),AND(AC47="Baja",AE47="Moderado"),AND(AC47="Media",AE47="Leve"),AND(AC47="Media",AE47="Menor"),AND(AC47="Media",AE47="Moderado"),AND(AC47="Alta",AE47="Leve"),AND(AC47="Alta",AE47="Menor")),"Moderado",IF(OR(AND(AC47="Muy Baja",AE47="Mayor"),AND(AC47="Baja",AE47="Mayor"),AND(AC47="Media",AE47="Mayor"),AND(AC47="Alta",AE47="Moderado"),AND(AC47="Alta",AE47="Mayor"),AND(AC47="Muy Alta",AE47="Leve"),AND(AC47="Muy Alta",AE47="Menor"),AND(AC47="Muy Alta",AE47="Moderado"),AND(AC47="Muy Alta",AE47="Mayor")),"Alto",IF(OR(AND(AC47="Muy Baja",AE47="Catastrófico"),AND(AC47="Baja",AE47="Catastrófico"),AND(AC47="Media",AE47="Catastrófico"),AND(AC47="Alta",AE47="Catastrófico"),AND(AC47="Muy Alta",AE47="Catastrófico")),"Extremo","")))),"")</f>
        <v/>
      </c>
      <c r="AH47" s="323"/>
      <c r="AI47" s="329"/>
      <c r="AJ47" s="329"/>
      <c r="AK47" s="329"/>
      <c r="AL47" s="329"/>
      <c r="AM47" s="356"/>
      <c r="AN47" s="356"/>
      <c r="AO47" s="357"/>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3"/>
      <c r="CL47" s="273"/>
      <c r="CM47" s="273"/>
      <c r="CN47" s="273"/>
      <c r="CO47" s="273"/>
      <c r="CP47" s="273"/>
      <c r="CQ47" s="273"/>
      <c r="CR47" s="273"/>
    </row>
    <row r="48" spans="1:102" s="258" customFormat="1" ht="9.75" customHeight="1" x14ac:dyDescent="0.2">
      <c r="A48" s="581"/>
      <c r="B48" s="579"/>
      <c r="C48" s="452"/>
      <c r="D48" s="454"/>
      <c r="E48" s="454"/>
      <c r="F48" s="446"/>
      <c r="G48" s="446"/>
      <c r="H48" s="446"/>
      <c r="I48" s="446"/>
      <c r="J48" s="457"/>
      <c r="K48" s="447"/>
      <c r="L48" s="445"/>
      <c r="M48" s="582"/>
      <c r="N48" s="445"/>
      <c r="O48" s="445"/>
      <c r="P48" s="459"/>
      <c r="Q48" s="248">
        <v>6</v>
      </c>
      <c r="R48" s="321"/>
      <c r="S48" s="245"/>
      <c r="T48" s="245"/>
      <c r="U48" s="322" t="str">
        <f t="shared" si="85"/>
        <v/>
      </c>
      <c r="V48" s="323"/>
      <c r="W48" s="323"/>
      <c r="X48" s="324" t="str">
        <f t="shared" si="86"/>
        <v/>
      </c>
      <c r="Y48" s="323"/>
      <c r="Z48" s="323"/>
      <c r="AA48" s="323"/>
      <c r="AB48" s="325" t="str">
        <f t="shared" si="83"/>
        <v/>
      </c>
      <c r="AC48" s="326" t="str">
        <f t="shared" si="79"/>
        <v/>
      </c>
      <c r="AD48" s="324" t="str">
        <f t="shared" si="80"/>
        <v/>
      </c>
      <c r="AE48" s="326" t="str">
        <f t="shared" si="81"/>
        <v/>
      </c>
      <c r="AF48" s="324" t="str">
        <f t="shared" si="84"/>
        <v/>
      </c>
      <c r="AG48" s="328" t="str">
        <f t="shared" si="87"/>
        <v/>
      </c>
      <c r="AH48" s="323"/>
      <c r="AI48" s="329"/>
      <c r="AJ48" s="329"/>
      <c r="AK48" s="329"/>
      <c r="AL48" s="329"/>
      <c r="AM48" s="356"/>
      <c r="AN48" s="356"/>
      <c r="AO48" s="357"/>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c r="CG48" s="273"/>
      <c r="CH48" s="273"/>
      <c r="CI48" s="273"/>
      <c r="CJ48" s="273"/>
      <c r="CK48" s="273"/>
      <c r="CL48" s="273"/>
      <c r="CM48" s="273"/>
      <c r="CN48" s="273"/>
      <c r="CO48" s="273"/>
      <c r="CP48" s="273"/>
      <c r="CQ48" s="273"/>
      <c r="CR48" s="273"/>
    </row>
    <row r="49" spans="1:96" s="261" customFormat="1" ht="185.25" x14ac:dyDescent="0.2">
      <c r="A49" s="581" t="s">
        <v>1095</v>
      </c>
      <c r="B49" s="579" t="s">
        <v>830</v>
      </c>
      <c r="C49" s="452" t="s">
        <v>605</v>
      </c>
      <c r="D49" s="454" t="s">
        <v>620</v>
      </c>
      <c r="E49" s="454" t="s">
        <v>1008</v>
      </c>
      <c r="F49" s="446" t="s">
        <v>747</v>
      </c>
      <c r="G49" s="446" t="s">
        <v>888</v>
      </c>
      <c r="H49" s="446" t="s">
        <v>233</v>
      </c>
      <c r="I49" s="446" t="s">
        <v>777</v>
      </c>
      <c r="J49" s="457">
        <v>4000</v>
      </c>
      <c r="K49" s="447" t="str">
        <f t="shared" ref="K49" si="88">IF(J49&lt;=0,"",IF(J49&lt;=2,"Muy Baja",IF(J49&lt;=24,"Baja",IF(J49&lt;=500,"Media",IF(J49&lt;=5000,"Alta","Muy Alta")))))</f>
        <v>Alta</v>
      </c>
      <c r="L49" s="445">
        <f t="shared" ref="L49" si="89">IF(K49="","",IF(K49="Muy Baja",0.2,IF(K49="Baja",0.4,IF(K49="Media",0.6,IF(K49="Alta",0.8,IF(K49="Muy Alta",1,))))))</f>
        <v>0.8</v>
      </c>
      <c r="M49" s="447">
        <v>5</v>
      </c>
      <c r="N49" s="445" t="str">
        <f>IF(M49=1,"INSIGNIFICANTE",IF(M49=2,"Menor",IF(M49=3,"Moderado",IF(M49=4,"MAYOR",IF(M49=5,"Catastrófico",IF(M49=""," "))))))</f>
        <v>Catastrófico</v>
      </c>
      <c r="O49" s="445">
        <f t="shared" ref="O49" si="90">IF(N49="","",IF(N49="Leve",0.2,IF(N49="Menor",0.4,IF(N49="Moderado",0.6,IF(N49="Mayor",0.8,IF(N49="Catastrófico",1,))))))</f>
        <v>1</v>
      </c>
      <c r="P49" s="459" t="str">
        <f t="shared" ref="P49" si="91">IF(OR(AND(K49="Muy Baja",N49="Leve"),AND(K49="Muy Baja",K49="Menor"),AND(K49="Baja",N49="Leve")),"Bajo",IF(OR(AND(K49="Muy baja",N49="Moderado"),AND(K49="Baja",N49="Menor"),AND(K49="Baja",N49="Moderado"),AND(K49="Media",N49="Leve"),AND(K49="Media",N49="Menor"),AND(K49="Media",N49="Moderado"),AND(K49="Alta",N49="Leve"),AND(K49="Alta",N49="Menor")),"Moderado",IF(OR(AND(K49="Muy Baja",N49="Mayor"),AND(K49="Baja",N49="Mayor"),AND(K49="Media",N49="Mayor"),AND(K49="Alta",N49="Moderado"),AND(K49="Alta",N49="Mayor"),AND(K49="Muy Alta",N49="Leve"),AND(K49="Muy Alta",N49="Menor"),AND(K49="Muy Alta",N49="Moderado"),AND(K49="Muy Alta",N49="Mayor")),"Alto",IF(OR(AND(K49="Muy Baja",N49="Catastrófico"),AND(K49="Baja",N49="Catastrófico"),AND(K49="Media",N49="Catastrófico"),AND(K49="Alta",N49="Catastrófico"),AND(K49="Muy Alta",N49="Catastrófico")),"Extremo",""))))</f>
        <v>Extremo</v>
      </c>
      <c r="Q49" s="248">
        <v>1</v>
      </c>
      <c r="R49" s="321" t="s">
        <v>890</v>
      </c>
      <c r="S49" s="245" t="s">
        <v>293</v>
      </c>
      <c r="T49" s="245" t="s">
        <v>793</v>
      </c>
      <c r="U49" s="322" t="str">
        <f>IF(OR(V49="Preventivo",V49="Detectivo"),"Probabilidad",IF(V49="Correctivo","Impacto",""))</f>
        <v>Probabilidad</v>
      </c>
      <c r="V49" s="323" t="s">
        <v>13</v>
      </c>
      <c r="W49" s="323" t="s">
        <v>8</v>
      </c>
      <c r="X49" s="324" t="str">
        <f t="shared" si="86"/>
        <v>40%</v>
      </c>
      <c r="Y49" s="323" t="s">
        <v>18</v>
      </c>
      <c r="Z49" s="323" t="s">
        <v>21</v>
      </c>
      <c r="AA49" s="323" t="s">
        <v>103</v>
      </c>
      <c r="AB49" s="325">
        <f>IFERROR(IF(U49="Probabilidad",(L49-(+L49*X49)),IF(U49="Impacto",L49,"")),"")</f>
        <v>0.48</v>
      </c>
      <c r="AC49" s="326" t="str">
        <f>IFERROR(IF(AB49="","",IF(AB49&lt;=0.2,"Muy Baja",IF(AB49&lt;=0.4,"Baja",IF(AB49&lt;=0.6,"Media",IF(AB49&lt;=0.8,"Alta","Muy Alta"))))),"")</f>
        <v>Media</v>
      </c>
      <c r="AD49" s="324">
        <f>+AB49</f>
        <v>0.48</v>
      </c>
      <c r="AE49" s="326" t="str">
        <f>IFERROR(IF(AF49="","",IF(AF49&lt;=0.2,"Leve",IF(AF49&lt;=0.4,"Menor",IF(AF49&lt;=0.6,"Moderado",IF(AF49&lt;=0.8,"Mayor","Catastrófico"))))),"")</f>
        <v>Catastrófico</v>
      </c>
      <c r="AF49" s="324">
        <f>IFERROR(IF(U49="Impacto",(O49-(+O49*X49)),IF(U49="Probabilidad",O49,"")),"")</f>
        <v>1</v>
      </c>
      <c r="AG49" s="328" t="str">
        <f>IFERROR(IF(OR(AND(AC49="Muy Baja",AE49="Leve"),AND(AC49="Muy Baja",AE49="Menor"),AND(AC49="Baja",AE49="Leve")),"Bajo",IF(OR(AND(AC49="Muy baja",AE49="Moderado"),AND(AC49="Baja",AE49="Menor"),AND(AC49="Baja",AE49="Moderado"),AND(AC49="Media",AE49="Leve"),AND(AC49="Media",AE49="Menor"),AND(AC49="Media",AE49="Moderado"),AND(AC49="Alta",AE49="Leve"),AND(AC49="Alta",AE49="Menor")),"Moderado",IF(OR(AND(AC49="Muy Baja",AE49="Mayor"),AND(AC49="Baja",AE49="Mayor"),AND(AC49="Media",AE49="Mayor"),AND(AC49="Alta",AE49="Moderado"),AND(AC49="Alta",AE49="Mayor"),AND(AC49="Muy Alta",AE49="Leve"),AND(AC49="Muy Alta",AE49="Menor"),AND(AC49="Muy Alta",AE49="Moderado"),AND(AC49="Muy Alta",AE49="Mayor")),"Alto",IF(OR(AND(AC49="Muy Baja",AE49="Catastrófico"),AND(AC49="Baja",AE49="Catastrófico"),AND(AC49="Media",AE49="Catastrófico"),AND(AC49="Alta",AE49="Catastrófico"),AND(AC49="Muy Alta",AE49="Catastrófico")),"Extremo","")))),"")</f>
        <v>Extremo</v>
      </c>
      <c r="AH49" s="323" t="s">
        <v>26</v>
      </c>
      <c r="AI49" s="329">
        <v>0</v>
      </c>
      <c r="AJ49" s="329">
        <v>0</v>
      </c>
      <c r="AK49" s="329">
        <v>0</v>
      </c>
      <c r="AL49" s="329">
        <v>0</v>
      </c>
      <c r="AM49" s="262"/>
      <c r="AN49" s="262"/>
      <c r="AO49" s="356"/>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c r="CG49" s="273"/>
      <c r="CH49" s="273"/>
      <c r="CI49" s="273"/>
      <c r="CJ49" s="273"/>
      <c r="CK49" s="273"/>
      <c r="CL49" s="273"/>
      <c r="CM49" s="273"/>
      <c r="CN49" s="273"/>
      <c r="CO49" s="273"/>
      <c r="CP49" s="273"/>
      <c r="CQ49" s="273"/>
      <c r="CR49" s="273"/>
    </row>
    <row r="50" spans="1:96" s="258" customFormat="1" ht="139.5" customHeight="1" x14ac:dyDescent="0.2">
      <c r="A50" s="581"/>
      <c r="B50" s="579"/>
      <c r="C50" s="452"/>
      <c r="D50" s="454"/>
      <c r="E50" s="454"/>
      <c r="F50" s="446"/>
      <c r="G50" s="446"/>
      <c r="H50" s="446"/>
      <c r="I50" s="446"/>
      <c r="J50" s="457"/>
      <c r="K50" s="447"/>
      <c r="L50" s="445"/>
      <c r="M50" s="447"/>
      <c r="N50" s="445"/>
      <c r="O50" s="445"/>
      <c r="P50" s="459"/>
      <c r="Q50" s="248">
        <v>2</v>
      </c>
      <c r="R50" s="321" t="s">
        <v>891</v>
      </c>
      <c r="S50" s="245" t="s">
        <v>293</v>
      </c>
      <c r="T50" s="245" t="s">
        <v>1074</v>
      </c>
      <c r="U50" s="322" t="str">
        <f>IF(OR(V50="Preventivo",V50="Detectivo"),"Probabilidad",IF(V50="Correctivo","Impacto",""))</f>
        <v>Probabilidad</v>
      </c>
      <c r="V50" s="323" t="s">
        <v>13</v>
      </c>
      <c r="W50" s="323" t="s">
        <v>8</v>
      </c>
      <c r="X50" s="324" t="str">
        <f t="shared" si="86"/>
        <v>40%</v>
      </c>
      <c r="Y50" s="323" t="s">
        <v>18</v>
      </c>
      <c r="Z50" s="323" t="s">
        <v>21</v>
      </c>
      <c r="AA50" s="323" t="s">
        <v>103</v>
      </c>
      <c r="AB50" s="325">
        <f>IFERROR(IF(AND(U49="Probabilidad",U50="Probabilidad"),(AD49-(+AD49*X50)),IF(U50="Probabilidad",(L49-(+L49*X50)),IF(U50="Impacto",AD49,""))),"")</f>
        <v>0.28799999999999998</v>
      </c>
      <c r="AC50" s="326" t="str">
        <f t="shared" ref="AC50:AC54" si="92">IFERROR(IF(AB50="","",IF(AB50&lt;=0.2,"Muy Baja",IF(AB50&lt;=0.4,"Baja",IF(AB50&lt;=0.6,"Media",IF(AB50&lt;=0.8,"Alta","Muy Alta"))))),"")</f>
        <v>Baja</v>
      </c>
      <c r="AD50" s="324">
        <f t="shared" ref="AD50:AD54" si="93">+AB50</f>
        <v>0.28799999999999998</v>
      </c>
      <c r="AE50" s="326" t="str">
        <f t="shared" ref="AE50:AE54" si="94">IFERROR(IF(AF50="","",IF(AF50&lt;=0.2,"Leve",IF(AF50&lt;=0.4,"Menor",IF(AF50&lt;=0.6,"Moderado",IF(AF50&lt;=0.8,"Mayor","Catastrófico"))))),"")</f>
        <v>Catastrófico</v>
      </c>
      <c r="AF50" s="324">
        <f>IFERROR(IF(AND(U49="Impacto",U50="Impacto"),(AF49-(+AF49*X50)),IF(U50="Impacto",($O$49-(+$O$49*X50)),IF(U50="Probabilidad",AF49,""))),"")</f>
        <v>1</v>
      </c>
      <c r="AG50" s="328" t="str">
        <f t="shared" ref="AG50:AG51" si="95">IFERROR(IF(OR(AND(AC50="Muy Baja",AE50="Leve"),AND(AC50="Muy Baja",AE50="Menor"),AND(AC50="Baja",AE50="Leve")),"Bajo",IF(OR(AND(AC50="Muy baja",AE50="Moderado"),AND(AC50="Baja",AE50="Menor"),AND(AC50="Baja",AE50="Moderado"),AND(AC50="Media",AE50="Leve"),AND(AC50="Media",AE50="Menor"),AND(AC50="Media",AE50="Moderado"),AND(AC50="Alta",AE50="Leve"),AND(AC50="Alta",AE50="Menor")),"Moderado",IF(OR(AND(AC50="Muy Baja",AE50="Mayor"),AND(AC50="Baja",AE50="Mayor"),AND(AC50="Media",AE50="Mayor"),AND(AC50="Alta",AE50="Moderado"),AND(AC50="Alta",AE50="Mayor"),AND(AC50="Muy Alta",AE50="Leve"),AND(AC50="Muy Alta",AE50="Menor"),AND(AC50="Muy Alta",AE50="Moderado"),AND(AC50="Muy Alta",AE50="Mayor")),"Alto",IF(OR(AND(AC50="Muy Baja",AE50="Catastrófico"),AND(AC50="Baja",AE50="Catastrófico"),AND(AC50="Media",AE50="Catastrófico"),AND(AC50="Alta",AE50="Catastrófico"),AND(AC50="Muy Alta",AE50="Catastrófico")),"Extremo","")))),"")</f>
        <v>Extremo</v>
      </c>
      <c r="AH50" s="323" t="s">
        <v>26</v>
      </c>
      <c r="AI50" s="329">
        <v>11</v>
      </c>
      <c r="AJ50" s="329">
        <v>3</v>
      </c>
      <c r="AK50" s="329">
        <v>4</v>
      </c>
      <c r="AL50" s="329">
        <v>4</v>
      </c>
      <c r="AM50" s="355"/>
      <c r="AN50" s="355"/>
      <c r="AO50" s="356"/>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c r="CI50" s="273"/>
      <c r="CJ50" s="273"/>
      <c r="CK50" s="273"/>
      <c r="CL50" s="273"/>
      <c r="CM50" s="273"/>
      <c r="CN50" s="273"/>
      <c r="CO50" s="273"/>
      <c r="CP50" s="273"/>
      <c r="CQ50" s="273"/>
      <c r="CR50" s="273"/>
    </row>
    <row r="51" spans="1:96" s="258" customFormat="1" ht="199.5" x14ac:dyDescent="0.2">
      <c r="A51" s="581"/>
      <c r="B51" s="579"/>
      <c r="C51" s="452"/>
      <c r="D51" s="454"/>
      <c r="E51" s="454"/>
      <c r="F51" s="446"/>
      <c r="G51" s="446"/>
      <c r="H51" s="446"/>
      <c r="I51" s="446"/>
      <c r="J51" s="457"/>
      <c r="K51" s="447"/>
      <c r="L51" s="445"/>
      <c r="M51" s="447"/>
      <c r="N51" s="445"/>
      <c r="O51" s="445"/>
      <c r="P51" s="459"/>
      <c r="Q51" s="248">
        <v>3</v>
      </c>
      <c r="R51" s="321" t="s">
        <v>892</v>
      </c>
      <c r="S51" s="245" t="s">
        <v>293</v>
      </c>
      <c r="T51" s="245" t="s">
        <v>889</v>
      </c>
      <c r="U51" s="322" t="str">
        <f>IF(OR(V51="Preventivo",V51="Detectivo"),"Probabilidad",IF(V51="Correctivo","Impacto",""))</f>
        <v>Probabilidad</v>
      </c>
      <c r="V51" s="323" t="s">
        <v>13</v>
      </c>
      <c r="W51" s="323" t="s">
        <v>8</v>
      </c>
      <c r="X51" s="324" t="str">
        <f>IF(AND(V51="Preventivo",W51="Automático"),"50%",IF(AND(V51="Preventivo",W51="Manual"),"40%",IF(AND(V51="Detectivo",W51="Automático"),"40%",IF(AND(V51="Detectivo",W51="Manual"),"30%",IF(AND(V51="Correctivo",W51="Automático"),"35%",IF(AND(V51="Correctivo",W51="Manual"),"25%",""))))))</f>
        <v>40%</v>
      </c>
      <c r="Y51" s="323" t="s">
        <v>18</v>
      </c>
      <c r="Z51" s="323" t="s">
        <v>21</v>
      </c>
      <c r="AA51" s="323" t="s">
        <v>103</v>
      </c>
      <c r="AB51" s="325">
        <f>IFERROR(IF(AND(U50="Probabilidad",U51="Probabilidad"),(AD50-(+AD50*X51)),IF(AND(U50="Impacto",U51="Probabilidad"),(AD49-(+AD49*X51)),IF(U51="Impacto",AD50,""))),"")</f>
        <v>0.17279999999999998</v>
      </c>
      <c r="AC51" s="326" t="str">
        <f t="shared" si="92"/>
        <v>Muy Baja</v>
      </c>
      <c r="AD51" s="324">
        <f t="shared" si="93"/>
        <v>0.17279999999999998</v>
      </c>
      <c r="AE51" s="326" t="str">
        <f t="shared" si="94"/>
        <v>Catastrófico</v>
      </c>
      <c r="AF51" s="324">
        <f t="shared" ref="AF51:AF54" si="96">IFERROR(IF(AND(U50="Impacto",U51="Impacto"),(AF50-(+AF50*X51)),IF(U51="Impacto",($O$49-(+$O$49*X51)),IF(U51="Probabilidad",AF50,""))),"")</f>
        <v>1</v>
      </c>
      <c r="AG51" s="328" t="str">
        <f t="shared" si="95"/>
        <v>Extremo</v>
      </c>
      <c r="AH51" s="323" t="s">
        <v>26</v>
      </c>
      <c r="AI51" s="329">
        <v>11</v>
      </c>
      <c r="AJ51" s="329">
        <v>3</v>
      </c>
      <c r="AK51" s="329">
        <v>4</v>
      </c>
      <c r="AL51" s="329">
        <v>4</v>
      </c>
      <c r="AM51" s="355"/>
      <c r="AN51" s="355"/>
      <c r="AO51" s="356"/>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c r="CJ51" s="273"/>
      <c r="CK51" s="273"/>
      <c r="CL51" s="273"/>
      <c r="CM51" s="273"/>
      <c r="CN51" s="273"/>
      <c r="CO51" s="273"/>
      <c r="CP51" s="273"/>
      <c r="CQ51" s="273"/>
      <c r="CR51" s="273"/>
    </row>
    <row r="52" spans="1:96" s="258" customFormat="1" ht="8.25" customHeight="1" x14ac:dyDescent="0.2">
      <c r="A52" s="581"/>
      <c r="B52" s="579"/>
      <c r="C52" s="452"/>
      <c r="D52" s="454"/>
      <c r="E52" s="454"/>
      <c r="F52" s="446"/>
      <c r="G52" s="446"/>
      <c r="H52" s="446"/>
      <c r="I52" s="446"/>
      <c r="J52" s="457"/>
      <c r="K52" s="447"/>
      <c r="L52" s="445"/>
      <c r="M52" s="447"/>
      <c r="N52" s="445"/>
      <c r="O52" s="445"/>
      <c r="P52" s="459"/>
      <c r="Q52" s="248">
        <v>4</v>
      </c>
      <c r="R52" s="272"/>
      <c r="S52" s="245"/>
      <c r="T52" s="272"/>
      <c r="U52" s="322" t="str">
        <f t="shared" ref="U52:U54" si="97">IF(OR(V52="Preventivo",V52="Detectivo"),"Probabilidad",IF(V52="Correctivo","Impacto",""))</f>
        <v/>
      </c>
      <c r="V52" s="323"/>
      <c r="W52" s="323"/>
      <c r="X52" s="324" t="str">
        <f t="shared" ref="X52:X54" si="98">IF(AND(V52="Preventivo",W52="Automático"),"50%",IF(AND(V52="Preventivo",W52="Manual"),"40%",IF(AND(V52="Detectivo",W52="Automático"),"40%",IF(AND(V52="Detectivo",W52="Manual"),"30%",IF(AND(V52="Correctivo",W52="Automático"),"35%",IF(AND(V52="Correctivo",W52="Manual"),"25%",""))))))</f>
        <v/>
      </c>
      <c r="Y52" s="323"/>
      <c r="Z52" s="323"/>
      <c r="AA52" s="323"/>
      <c r="AB52" s="325" t="str">
        <f>IFERROR(IF(AND(U51="Probabilidad",U52="Probabilidad"),(AD51-(+AD51*X52)),IF(AND(U51="Impacto",U52="Probabilidad"),(AD50-(+AD50*X52)),IF(U52="Impacto",AD51,""))),"")</f>
        <v/>
      </c>
      <c r="AC52" s="326" t="str">
        <f t="shared" si="92"/>
        <v/>
      </c>
      <c r="AD52" s="324" t="str">
        <f>+AB52</f>
        <v/>
      </c>
      <c r="AE52" s="326" t="str">
        <f t="shared" si="94"/>
        <v/>
      </c>
      <c r="AF52" s="324" t="str">
        <f t="shared" si="96"/>
        <v/>
      </c>
      <c r="AG52" s="328" t="str">
        <f>IFERROR(IF(OR(AND(AC52="Muy Baja",AE52="Leve"),AND(AC52="Muy Baja",AE52="Menor"),AND(AC52="Baja",AE52="Leve")),"Bajo",IF(OR(AND(AC52="Muy baja",AE52="Moderado"),AND(AC52="Baja",AE52="Menor"),AND(AC52="Baja",AE52="Moderado"),AND(AC52="Media",AE52="Leve"),AND(AC52="Media",AE52="Menor"),AND(AC52="Media",AE52="Moderado"),AND(AC52="Alta",AE52="Leve"),AND(AC52="Alta",AE52="Menor")),"Moderado",IF(OR(AND(AC52="Muy Baja",AE52="Mayor"),AND(AC52="Baja",AE52="Mayor"),AND(AC52="Media",AE52="Mayor"),AND(AC52="Alta",AE52="Moderado"),AND(AC52="Alta",AE52="Mayor"),AND(AC52="Muy Alta",AE52="Leve"),AND(AC52="Muy Alta",AE52="Menor"),AND(AC52="Muy Alta",AE52="Moderado"),AND(AC52="Muy Alta",AE52="Mayor")),"Alto",IF(OR(AND(AC52="Muy Baja",AE52="Catastrófico"),AND(AC52="Baja",AE52="Catastrófico"),AND(AC52="Media",AE52="Catastrófico"),AND(AC52="Alta",AE52="Catastrófico"),AND(AC52="Muy Alta",AE52="Catastrófico")),"Extremo","")))),"")</f>
        <v/>
      </c>
      <c r="AH52" s="323"/>
      <c r="AI52" s="329"/>
      <c r="AJ52" s="329"/>
      <c r="AK52" s="329"/>
      <c r="AL52" s="329"/>
      <c r="AM52" s="360"/>
      <c r="AN52" s="360"/>
      <c r="AO52" s="352"/>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c r="CI52" s="273"/>
      <c r="CJ52" s="273"/>
      <c r="CK52" s="273"/>
      <c r="CL52" s="273"/>
      <c r="CM52" s="273"/>
      <c r="CN52" s="273"/>
      <c r="CO52" s="273"/>
      <c r="CP52" s="273"/>
      <c r="CQ52" s="273"/>
      <c r="CR52" s="273"/>
    </row>
    <row r="53" spans="1:96" s="258" customFormat="1" ht="8.25" customHeight="1" x14ac:dyDescent="0.2">
      <c r="A53" s="581"/>
      <c r="B53" s="579"/>
      <c r="C53" s="452"/>
      <c r="D53" s="454"/>
      <c r="E53" s="454"/>
      <c r="F53" s="446"/>
      <c r="G53" s="446"/>
      <c r="H53" s="446"/>
      <c r="I53" s="446"/>
      <c r="J53" s="457"/>
      <c r="K53" s="447"/>
      <c r="L53" s="445"/>
      <c r="M53" s="447"/>
      <c r="N53" s="445"/>
      <c r="O53" s="445"/>
      <c r="P53" s="459"/>
      <c r="Q53" s="248">
        <v>5</v>
      </c>
      <c r="R53" s="321"/>
      <c r="S53" s="245"/>
      <c r="T53" s="245"/>
      <c r="U53" s="322" t="str">
        <f t="shared" si="97"/>
        <v/>
      </c>
      <c r="V53" s="323"/>
      <c r="W53" s="323"/>
      <c r="X53" s="324" t="str">
        <f t="shared" si="98"/>
        <v/>
      </c>
      <c r="Y53" s="323"/>
      <c r="Z53" s="323"/>
      <c r="AA53" s="323"/>
      <c r="AB53" s="325" t="str">
        <f t="shared" ref="AB53:AB54" si="99">IFERROR(IF(AND(U52="Probabilidad",U53="Probabilidad"),(AD52-(+AD52*X53)),IF(AND(U52="Impacto",U53="Probabilidad"),(AD51-(+AD51*X53)),IF(U53="Impacto",AD52,""))),"")</f>
        <v/>
      </c>
      <c r="AC53" s="326" t="str">
        <f t="shared" si="92"/>
        <v/>
      </c>
      <c r="AD53" s="324" t="str">
        <f t="shared" si="93"/>
        <v/>
      </c>
      <c r="AE53" s="326" t="str">
        <f t="shared" si="94"/>
        <v/>
      </c>
      <c r="AF53" s="324" t="str">
        <f t="shared" si="96"/>
        <v/>
      </c>
      <c r="AG53" s="328" t="str">
        <f t="shared" ref="AG53:AG54" si="100">IFERROR(IF(OR(AND(AC53="Muy Baja",AE53="Leve"),AND(AC53="Muy Baja",AE53="Menor"),AND(AC53="Baja",AE53="Leve")),"Bajo",IF(OR(AND(AC53="Muy baja",AE53="Moderado"),AND(AC53="Baja",AE53="Menor"),AND(AC53="Baja",AE53="Moderado"),AND(AC53="Media",AE53="Leve"),AND(AC53="Media",AE53="Menor"),AND(AC53="Media",AE53="Moderado"),AND(AC53="Alta",AE53="Leve"),AND(AC53="Alta",AE53="Menor")),"Moderado",IF(OR(AND(AC53="Muy Baja",AE53="Mayor"),AND(AC53="Baja",AE53="Mayor"),AND(AC53="Media",AE53="Mayor"),AND(AC53="Alta",AE53="Moderado"),AND(AC53="Alta",AE53="Mayor"),AND(AC53="Muy Alta",AE53="Leve"),AND(AC53="Muy Alta",AE53="Menor"),AND(AC53="Muy Alta",AE53="Moderado"),AND(AC53="Muy Alta",AE53="Mayor")),"Alto",IF(OR(AND(AC53="Muy Baja",AE53="Catastrófico"),AND(AC53="Baja",AE53="Catastrófico"),AND(AC53="Media",AE53="Catastrófico"),AND(AC53="Alta",AE53="Catastrófico"),AND(AC53="Muy Alta",AE53="Catastrófico")),"Extremo","")))),"")</f>
        <v/>
      </c>
      <c r="AH53" s="323"/>
      <c r="AI53" s="329"/>
      <c r="AJ53" s="329"/>
      <c r="AK53" s="329"/>
      <c r="AL53" s="329"/>
      <c r="AM53" s="356"/>
      <c r="AN53" s="356"/>
      <c r="AO53" s="357"/>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c r="CG53" s="273"/>
      <c r="CH53" s="273"/>
      <c r="CI53" s="273"/>
      <c r="CJ53" s="273"/>
      <c r="CK53" s="273"/>
      <c r="CL53" s="273"/>
      <c r="CM53" s="273"/>
      <c r="CN53" s="273"/>
      <c r="CO53" s="273"/>
      <c r="CP53" s="273"/>
      <c r="CQ53" s="273"/>
      <c r="CR53" s="273"/>
    </row>
    <row r="54" spans="1:96" s="258" customFormat="1" ht="8.25" customHeight="1" x14ac:dyDescent="0.2">
      <c r="A54" s="581"/>
      <c r="B54" s="579"/>
      <c r="C54" s="452"/>
      <c r="D54" s="454"/>
      <c r="E54" s="454"/>
      <c r="F54" s="446"/>
      <c r="G54" s="446"/>
      <c r="H54" s="446"/>
      <c r="I54" s="446"/>
      <c r="J54" s="457"/>
      <c r="K54" s="447"/>
      <c r="L54" s="445"/>
      <c r="M54" s="447"/>
      <c r="N54" s="445"/>
      <c r="O54" s="445"/>
      <c r="P54" s="459"/>
      <c r="Q54" s="248">
        <v>6</v>
      </c>
      <c r="R54" s="321"/>
      <c r="S54" s="245"/>
      <c r="T54" s="245"/>
      <c r="U54" s="322" t="str">
        <f t="shared" si="97"/>
        <v/>
      </c>
      <c r="V54" s="323"/>
      <c r="W54" s="323"/>
      <c r="X54" s="324" t="str">
        <f t="shared" si="98"/>
        <v/>
      </c>
      <c r="Y54" s="323"/>
      <c r="Z54" s="323"/>
      <c r="AA54" s="323"/>
      <c r="AB54" s="325" t="str">
        <f t="shared" si="99"/>
        <v/>
      </c>
      <c r="AC54" s="326" t="str">
        <f t="shared" si="92"/>
        <v/>
      </c>
      <c r="AD54" s="324" t="str">
        <f t="shared" si="93"/>
        <v/>
      </c>
      <c r="AE54" s="326" t="str">
        <f t="shared" si="94"/>
        <v/>
      </c>
      <c r="AF54" s="324" t="str">
        <f t="shared" si="96"/>
        <v/>
      </c>
      <c r="AG54" s="328" t="str">
        <f t="shared" si="100"/>
        <v/>
      </c>
      <c r="AH54" s="323"/>
      <c r="AI54" s="329"/>
      <c r="AJ54" s="329"/>
      <c r="AK54" s="329"/>
      <c r="AL54" s="329"/>
      <c r="AM54" s="356"/>
      <c r="AN54" s="356"/>
      <c r="AO54" s="357"/>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row>
    <row r="55" spans="1:96" s="261" customFormat="1" ht="263.45" customHeight="1" x14ac:dyDescent="0.2">
      <c r="A55" s="581" t="s">
        <v>751</v>
      </c>
      <c r="B55" s="579" t="s">
        <v>830</v>
      </c>
      <c r="C55" s="452" t="s">
        <v>610</v>
      </c>
      <c r="D55" s="454" t="s">
        <v>619</v>
      </c>
      <c r="E55" s="454" t="s">
        <v>1075</v>
      </c>
      <c r="F55" s="446" t="s">
        <v>675</v>
      </c>
      <c r="G55" s="456" t="s">
        <v>936</v>
      </c>
      <c r="H55" s="446" t="s">
        <v>233</v>
      </c>
      <c r="I55" s="446" t="s">
        <v>778</v>
      </c>
      <c r="J55" s="457">
        <v>4800</v>
      </c>
      <c r="K55" s="447" t="str">
        <f t="shared" ref="K55" si="101">IF(J55&lt;=0,"",IF(J55&lt;=2,"Muy Baja",IF(J55&lt;=24,"Baja",IF(J55&lt;=500,"Media",IF(J55&lt;=5000,"Alta","Muy Alta")))))</f>
        <v>Alta</v>
      </c>
      <c r="L55" s="445">
        <f t="shared" ref="L55" si="102">IF(K55="","",IF(K55="Muy Baja",0.2,IF(K55="Baja",0.4,IF(K55="Media",0.6,IF(K55="Alta",0.8,IF(K55="Muy Alta",1,))))))</f>
        <v>0.8</v>
      </c>
      <c r="M55" s="447">
        <v>4</v>
      </c>
      <c r="N55" s="445" t="str">
        <f>IF(M55=1,"INSIGNIFICANTE",IF(M55=2,"Menor",IF(M55=3,"Moderado",IF(M55=4,"Mayor",IF(M55=5,"Catastrófico",IF(M55=""," "))))))</f>
        <v>Mayor</v>
      </c>
      <c r="O55" s="445">
        <f t="shared" ref="O55" si="103">IF(N55="","",IF(N55="Leve",0.2,IF(N55="Menor",0.4,IF(N55="Moderado",0.6,IF(N55="Mayor",0.8,IF(N55="Catastrófico",1,))))))</f>
        <v>0.8</v>
      </c>
      <c r="P55" s="459" t="str">
        <f t="shared" ref="P55" si="104">IF(OR(AND(K55="Muy Baja",N55="Leve"),AND(K55="Muy Baja",K55="Menor"),AND(K55="Baja",N55="Leve")),"Bajo",IF(OR(AND(K55="Muy baja",N55="Moderado"),AND(K55="Baja",N55="Menor"),AND(K55="Baja",N55="Moderado"),AND(K55="Media",N55="Leve"),AND(K55="Media",N55="Menor"),AND(K55="Media",N55="Moderado"),AND(K55="Alta",N55="Leve"),AND(K55="Alta",N55="Menor")),"Moderado",IF(OR(AND(K55="Muy Baja",N55="Mayor"),AND(K55="Baja",N55="Mayor"),AND(K55="Media",N55="Mayor"),AND(K55="Alta",N55="Moderado"),AND(K55="Alta",N55="Mayor"),AND(K55="Muy Alta",N55="Leve"),AND(K55="Muy Alta",N55="Menor"),AND(K55="Muy Alta",N55="Moderado"),AND(K55="Muy Alta",N55="Mayor")),"Alto",IF(OR(AND(K55="Muy Baja",N55="Catastrófico"),AND(K55="Baja",N55="Catastrófico"),AND(K55="Media",N55="Catastrófico"),AND(K55="Alta",N55="Catastrófico"),AND(K55="Muy Alta",N55="Catastrófico")),"Extremo",""))))</f>
        <v>Alto</v>
      </c>
      <c r="Q55" s="248">
        <v>1</v>
      </c>
      <c r="R55" s="351" t="s">
        <v>779</v>
      </c>
      <c r="S55" s="350" t="s">
        <v>292</v>
      </c>
      <c r="T55" s="245" t="s">
        <v>752</v>
      </c>
      <c r="U55" s="322" t="str">
        <f>IF(OR(V55="Preventivo",V55="Detectivo"),"Probabilidad",IF(V55="Correctivo","Impacto",""))</f>
        <v>Probabilidad</v>
      </c>
      <c r="V55" s="323" t="s">
        <v>13</v>
      </c>
      <c r="W55" s="323" t="s">
        <v>8</v>
      </c>
      <c r="X55" s="324" t="str">
        <f t="shared" si="86"/>
        <v>40%</v>
      </c>
      <c r="Y55" s="323" t="s">
        <v>18</v>
      </c>
      <c r="Z55" s="323" t="s">
        <v>21</v>
      </c>
      <c r="AA55" s="323" t="s">
        <v>103</v>
      </c>
      <c r="AB55" s="325">
        <f>IFERROR(IF(U55="Probabilidad",(L55-(+L55*X55)),IF(U55="Impacto",L55,"")),"")</f>
        <v>0.48</v>
      </c>
      <c r="AC55" s="326" t="str">
        <f>IFERROR(IF(AB55="","",IF(AB55&lt;=0.2,"Muy Baja",IF(AB55&lt;=0.4,"Baja",IF(AB55&lt;=0.6,"Media",IF(AB55&lt;=0.8,"Alta","Muy Alta"))))),"")</f>
        <v>Media</v>
      </c>
      <c r="AD55" s="324">
        <f>+AB55</f>
        <v>0.48</v>
      </c>
      <c r="AE55" s="326" t="str">
        <f>IFERROR(IF(AF55="","",IF(AF55&lt;=0.2,"Leve",IF(AF55&lt;=0.4,"Menor",IF(AF55&lt;=0.6,"Moderado",IF(AF55&lt;=0.8,"Mayor","Catastrófico"))))),"")</f>
        <v>Mayor</v>
      </c>
      <c r="AF55" s="324">
        <f>IFERROR(IF(U55="Impacto",(O55-(+O55*X55)),IF(U55="Probabilidad",O55,"")),"")</f>
        <v>0.8</v>
      </c>
      <c r="AG55" s="328" t="str">
        <f>IFERROR(IF(OR(AND(AC55="Muy Baja",AE55="Leve"),AND(AC55="Muy Baja",AE55="Menor"),AND(AC55="Baja",AE55="Leve")),"Bajo",IF(OR(AND(AC55="Muy baja",AE55="Moderado"),AND(AC55="Baja",AE55="Menor"),AND(AC55="Baja",AE55="Moderado"),AND(AC55="Media",AE55="Leve"),AND(AC55="Media",AE55="Menor"),AND(AC55="Media",AE55="Moderado"),AND(AC55="Alta",AE55="Leve"),AND(AC55="Alta",AE55="Menor")),"Moderado",IF(OR(AND(AC55="Muy Baja",AE55="Mayor"),AND(AC55="Baja",AE55="Mayor"),AND(AC55="Media",AE55="Mayor"),AND(AC55="Alta",AE55="Moderado"),AND(AC55="Alta",AE55="Mayor"),AND(AC55="Muy Alta",AE55="Leve"),AND(AC55="Muy Alta",AE55="Menor"),AND(AC55="Muy Alta",AE55="Moderado"),AND(AC55="Muy Alta",AE55="Mayor")),"Alto",IF(OR(AND(AC55="Muy Baja",AE55="Catastrófico"),AND(AC55="Baja",AE55="Catastrófico"),AND(AC55="Media",AE55="Catastrófico"),AND(AC55="Alta",AE55="Catastrófico"),AND(AC55="Muy Alta",AE55="Catastrófico")),"Extremo","")))),"")</f>
        <v>Alto</v>
      </c>
      <c r="AH55" s="323" t="s">
        <v>26</v>
      </c>
      <c r="AI55" s="329">
        <v>4</v>
      </c>
      <c r="AJ55" s="329">
        <v>1</v>
      </c>
      <c r="AK55" s="329">
        <v>1</v>
      </c>
      <c r="AL55" s="329">
        <v>2</v>
      </c>
      <c r="AM55" s="262"/>
      <c r="AN55" s="262"/>
      <c r="AO55" s="356"/>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c r="CG55" s="273"/>
      <c r="CH55" s="273"/>
      <c r="CI55" s="273"/>
      <c r="CJ55" s="273"/>
      <c r="CK55" s="273"/>
      <c r="CL55" s="273"/>
      <c r="CM55" s="273"/>
      <c r="CN55" s="273"/>
      <c r="CO55" s="273"/>
      <c r="CP55" s="273"/>
      <c r="CQ55" s="273"/>
      <c r="CR55" s="273"/>
    </row>
    <row r="56" spans="1:96" s="258" customFormat="1" ht="15" customHeight="1" x14ac:dyDescent="0.2">
      <c r="A56" s="581"/>
      <c r="B56" s="579"/>
      <c r="C56" s="452"/>
      <c r="D56" s="454"/>
      <c r="E56" s="454"/>
      <c r="F56" s="446"/>
      <c r="G56" s="456"/>
      <c r="H56" s="446"/>
      <c r="I56" s="446"/>
      <c r="J56" s="457"/>
      <c r="K56" s="447"/>
      <c r="L56" s="445"/>
      <c r="M56" s="447"/>
      <c r="N56" s="445"/>
      <c r="O56" s="445"/>
      <c r="P56" s="459"/>
      <c r="Q56" s="248">
        <v>2</v>
      </c>
      <c r="R56" s="321"/>
      <c r="S56" s="245"/>
      <c r="T56" s="245"/>
      <c r="U56" s="322" t="str">
        <f>IF(OR(V56="Preventivo",V56="Detectivo"),"Probabilidad",IF(V56="Correctivo","Impacto",""))</f>
        <v/>
      </c>
      <c r="V56" s="323"/>
      <c r="W56" s="323"/>
      <c r="X56" s="324" t="str">
        <f t="shared" si="86"/>
        <v/>
      </c>
      <c r="Y56" s="323"/>
      <c r="Z56" s="323"/>
      <c r="AA56" s="323"/>
      <c r="AB56" s="325" t="str">
        <f>IFERROR(IF(AND(U55="Probabilidad",U56="Probabilidad"),(AD55-(+AD55*X56)),IF(U56="Probabilidad",(L55-(+L55*X56)),IF(U56="Impacto",AD55,""))),"")</f>
        <v/>
      </c>
      <c r="AC56" s="326" t="str">
        <f t="shared" ref="AC56:AC60" si="105">IFERROR(IF(AB56="","",IF(AB56&lt;=0.2,"Muy Baja",IF(AB56&lt;=0.4,"Baja",IF(AB56&lt;=0.6,"Media",IF(AB56&lt;=0.8,"Alta","Muy Alta"))))),"")</f>
        <v/>
      </c>
      <c r="AD56" s="324" t="str">
        <f t="shared" ref="AD56:AD60" si="106">+AB56</f>
        <v/>
      </c>
      <c r="AE56" s="326" t="str">
        <f t="shared" ref="AE56:AE60" si="107">IFERROR(IF(AF56="","",IF(AF56&lt;=0.2,"Leve",IF(AF56&lt;=0.4,"Menor",IF(AF56&lt;=0.6,"Moderado",IF(AF56&lt;=0.8,"Mayor","Catastrófico"))))),"")</f>
        <v/>
      </c>
      <c r="AF56" s="324" t="str">
        <f>IFERROR(IF(AND(U55="Impacto",U56="Impacto"),(AF55-(+AF55*X56)),IF(U56="Impacto",($O$55-(+$O$55*X56)),IF(U56="Probabilidad",AF55,""))),"")</f>
        <v/>
      </c>
      <c r="AG56" s="328" t="str">
        <f t="shared" ref="AG56:AG57" si="108">IFERROR(IF(OR(AND(AC56="Muy Baja",AE56="Leve"),AND(AC56="Muy Baja",AE56="Menor"),AND(AC56="Baja",AE56="Leve")),"Bajo",IF(OR(AND(AC56="Muy baja",AE56="Moderado"),AND(AC56="Baja",AE56="Menor"),AND(AC56="Baja",AE56="Moderado"),AND(AC56="Media",AE56="Leve"),AND(AC56="Media",AE56="Menor"),AND(AC56="Media",AE56="Moderado"),AND(AC56="Alta",AE56="Leve"),AND(AC56="Alta",AE56="Menor")),"Moderado",IF(OR(AND(AC56="Muy Baja",AE56="Mayor"),AND(AC56="Baja",AE56="Mayor"),AND(AC56="Media",AE56="Mayor"),AND(AC56="Alta",AE56="Moderado"),AND(AC56="Alta",AE56="Mayor"),AND(AC56="Muy Alta",AE56="Leve"),AND(AC56="Muy Alta",AE56="Menor"),AND(AC56="Muy Alta",AE56="Moderado"),AND(AC56="Muy Alta",AE56="Mayor")),"Alto",IF(OR(AND(AC56="Muy Baja",AE56="Catastrófico"),AND(AC56="Baja",AE56="Catastrófico"),AND(AC56="Media",AE56="Catastrófico"),AND(AC56="Alta",AE56="Catastrófico"),AND(AC56="Muy Alta",AE56="Catastrófico")),"Extremo","")))),"")</f>
        <v/>
      </c>
      <c r="AH56" s="323"/>
      <c r="AI56" s="329"/>
      <c r="AJ56" s="329"/>
      <c r="AK56" s="329"/>
      <c r="AL56" s="329"/>
      <c r="AM56" s="355"/>
      <c r="AN56" s="355"/>
      <c r="AO56" s="356"/>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c r="CG56" s="273"/>
      <c r="CH56" s="273"/>
      <c r="CI56" s="273"/>
      <c r="CJ56" s="273"/>
      <c r="CK56" s="273"/>
      <c r="CL56" s="273"/>
      <c r="CM56" s="273"/>
      <c r="CN56" s="273"/>
      <c r="CO56" s="273"/>
      <c r="CP56" s="273"/>
      <c r="CQ56" s="273"/>
      <c r="CR56" s="273"/>
    </row>
    <row r="57" spans="1:96" s="258" customFormat="1" ht="15" customHeight="1" x14ac:dyDescent="0.2">
      <c r="A57" s="581"/>
      <c r="B57" s="579"/>
      <c r="C57" s="452"/>
      <c r="D57" s="454"/>
      <c r="E57" s="454"/>
      <c r="F57" s="446"/>
      <c r="G57" s="456"/>
      <c r="H57" s="446"/>
      <c r="I57" s="446"/>
      <c r="J57" s="457"/>
      <c r="K57" s="447"/>
      <c r="L57" s="445"/>
      <c r="M57" s="447"/>
      <c r="N57" s="445"/>
      <c r="O57" s="445"/>
      <c r="P57" s="459"/>
      <c r="Q57" s="248">
        <v>3</v>
      </c>
      <c r="R57" s="330"/>
      <c r="S57" s="245"/>
      <c r="T57" s="245"/>
      <c r="U57" s="322" t="str">
        <f>IF(OR(V57="Preventivo",V57="Detectivo"),"Probabilidad",IF(V57="Correctivo","Impacto",""))</f>
        <v/>
      </c>
      <c r="V57" s="323"/>
      <c r="W57" s="323"/>
      <c r="X57" s="324" t="str">
        <f>IF(AND(V57="Preventivo",W57="Automático"),"50%",IF(AND(V57="Preventivo",W57="Manual"),"40%",IF(AND(V57="Detectivo",W57="Automático"),"40%",IF(AND(V57="Detectivo",W57="Manual"),"30%",IF(AND(V57="Correctivo",W57="Automático"),"35%",IF(AND(V57="Correctivo",W57="Manual"),"25%",""))))))</f>
        <v/>
      </c>
      <c r="Y57" s="323"/>
      <c r="Z57" s="323"/>
      <c r="AA57" s="323"/>
      <c r="AB57" s="325" t="str">
        <f t="shared" ref="AB57:AB60" si="109">IFERROR(IF(AND(U56="Probabilidad",U57="Probabilidad"),(AD56-(+AD56*X57)),IF(AND(U56="Impacto",U57="Probabilidad"),(AD55-(+AD55*X57)),IF(U57="Impacto",AD56,""))),"")</f>
        <v/>
      </c>
      <c r="AC57" s="326" t="str">
        <f t="shared" si="105"/>
        <v/>
      </c>
      <c r="AD57" s="324" t="str">
        <f t="shared" si="106"/>
        <v/>
      </c>
      <c r="AE57" s="326" t="str">
        <f t="shared" si="107"/>
        <v/>
      </c>
      <c r="AF57" s="324" t="str">
        <f t="shared" ref="AF57:AF60" si="110">IFERROR(IF(AND(U56="Impacto",U57="Impacto"),(AF56-(+AF56*X57)),IF(U57="Impacto",($O$55-(+$O$55*X57)),IF(U57="Probabilidad",AF56,""))),"")</f>
        <v/>
      </c>
      <c r="AG57" s="328" t="str">
        <f t="shared" si="108"/>
        <v/>
      </c>
      <c r="AH57" s="323"/>
      <c r="AI57" s="329"/>
      <c r="AJ57" s="329"/>
      <c r="AK57" s="329"/>
      <c r="AL57" s="329"/>
      <c r="AM57" s="355"/>
      <c r="AN57" s="355"/>
      <c r="AO57" s="356"/>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c r="CG57" s="273"/>
      <c r="CH57" s="273"/>
      <c r="CI57" s="273"/>
      <c r="CJ57" s="273"/>
      <c r="CK57" s="273"/>
      <c r="CL57" s="273"/>
      <c r="CM57" s="273"/>
      <c r="CN57" s="273"/>
      <c r="CO57" s="273"/>
      <c r="CP57" s="273"/>
      <c r="CQ57" s="273"/>
      <c r="CR57" s="273"/>
    </row>
    <row r="58" spans="1:96" s="258" customFormat="1" ht="15" customHeight="1" x14ac:dyDescent="0.2">
      <c r="A58" s="581"/>
      <c r="B58" s="579"/>
      <c r="C58" s="452"/>
      <c r="D58" s="454"/>
      <c r="E58" s="454"/>
      <c r="F58" s="446"/>
      <c r="G58" s="456"/>
      <c r="H58" s="446"/>
      <c r="I58" s="446"/>
      <c r="J58" s="457"/>
      <c r="K58" s="447"/>
      <c r="L58" s="445"/>
      <c r="M58" s="447"/>
      <c r="N58" s="445"/>
      <c r="O58" s="445"/>
      <c r="P58" s="459"/>
      <c r="Q58" s="248">
        <v>4</v>
      </c>
      <c r="R58" s="321"/>
      <c r="S58" s="245"/>
      <c r="T58" s="245"/>
      <c r="U58" s="322" t="str">
        <f t="shared" ref="U58:U60" si="111">IF(OR(V58="Preventivo",V58="Detectivo"),"Probabilidad",IF(V58="Correctivo","Impacto",""))</f>
        <v/>
      </c>
      <c r="V58" s="323"/>
      <c r="W58" s="323"/>
      <c r="X58" s="324" t="str">
        <f t="shared" ref="X58:X60" si="112">IF(AND(V58="Preventivo",W58="Automático"),"50%",IF(AND(V58="Preventivo",W58="Manual"),"40%",IF(AND(V58="Detectivo",W58="Automático"),"40%",IF(AND(V58="Detectivo",W58="Manual"),"30%",IF(AND(V58="Correctivo",W58="Automático"),"35%",IF(AND(V58="Correctivo",W58="Manual"),"25%",""))))))</f>
        <v/>
      </c>
      <c r="Y58" s="323"/>
      <c r="Z58" s="323"/>
      <c r="AA58" s="323"/>
      <c r="AB58" s="325" t="str">
        <f t="shared" si="109"/>
        <v/>
      </c>
      <c r="AC58" s="326" t="str">
        <f t="shared" si="105"/>
        <v/>
      </c>
      <c r="AD58" s="324" t="str">
        <f t="shared" si="106"/>
        <v/>
      </c>
      <c r="AE58" s="326" t="str">
        <f t="shared" si="107"/>
        <v/>
      </c>
      <c r="AF58" s="324" t="str">
        <f t="shared" si="110"/>
        <v/>
      </c>
      <c r="AG58" s="328" t="str">
        <f>IFERROR(IF(OR(AND(AC58="Muy Baja",AE58="Leve"),AND(AC58="Muy Baja",AE58="Menor"),AND(AC58="Baja",AE58="Leve")),"Bajo",IF(OR(AND(AC58="Muy baja",AE58="Moderado"),AND(AC58="Baja",AE58="Menor"),AND(AC58="Baja",AE58="Moderado"),AND(AC58="Media",AE58="Leve"),AND(AC58="Media",AE58="Menor"),AND(AC58="Media",AE58="Moderado"),AND(AC58="Alta",AE58="Leve"),AND(AC58="Alta",AE58="Menor")),"Moderado",IF(OR(AND(AC58="Muy Baja",AE58="Mayor"),AND(AC58="Baja",AE58="Mayor"),AND(AC58="Media",AE58="Mayor"),AND(AC58="Alta",AE58="Moderado"),AND(AC58="Alta",AE58="Mayor"),AND(AC58="Muy Alta",AE58="Leve"),AND(AC58="Muy Alta",AE58="Menor"),AND(AC58="Muy Alta",AE58="Moderado"),AND(AC58="Muy Alta",AE58="Mayor")),"Alto",IF(OR(AND(AC58="Muy Baja",AE58="Catastrófico"),AND(AC58="Baja",AE58="Catastrófico"),AND(AC58="Media",AE58="Catastrófico"),AND(AC58="Alta",AE58="Catastrófico"),AND(AC58="Muy Alta",AE58="Catastrófico")),"Extremo","")))),"")</f>
        <v/>
      </c>
      <c r="AH58" s="323"/>
      <c r="AI58" s="329"/>
      <c r="AJ58" s="329"/>
      <c r="AK58" s="329"/>
      <c r="AL58" s="329"/>
      <c r="AM58" s="360"/>
      <c r="AN58" s="360"/>
      <c r="AO58" s="352"/>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3"/>
      <c r="CM58" s="273"/>
      <c r="CN58" s="273"/>
      <c r="CO58" s="273"/>
      <c r="CP58" s="273"/>
      <c r="CQ58" s="273"/>
      <c r="CR58" s="273"/>
    </row>
    <row r="59" spans="1:96" s="258" customFormat="1" ht="15" customHeight="1" x14ac:dyDescent="0.2">
      <c r="A59" s="581"/>
      <c r="B59" s="579"/>
      <c r="C59" s="452"/>
      <c r="D59" s="454"/>
      <c r="E59" s="454"/>
      <c r="F59" s="446"/>
      <c r="G59" s="456"/>
      <c r="H59" s="446"/>
      <c r="I59" s="446"/>
      <c r="J59" s="457"/>
      <c r="K59" s="447"/>
      <c r="L59" s="445"/>
      <c r="M59" s="447"/>
      <c r="N59" s="445"/>
      <c r="O59" s="445"/>
      <c r="P59" s="459"/>
      <c r="Q59" s="248">
        <v>5</v>
      </c>
      <c r="R59" s="321"/>
      <c r="S59" s="245"/>
      <c r="T59" s="245"/>
      <c r="U59" s="322" t="str">
        <f t="shared" si="111"/>
        <v/>
      </c>
      <c r="V59" s="323"/>
      <c r="W59" s="323"/>
      <c r="X59" s="324" t="str">
        <f t="shared" si="112"/>
        <v/>
      </c>
      <c r="Y59" s="323"/>
      <c r="Z59" s="323"/>
      <c r="AA59" s="323"/>
      <c r="AB59" s="325" t="str">
        <f t="shared" si="109"/>
        <v/>
      </c>
      <c r="AC59" s="326" t="str">
        <f t="shared" si="105"/>
        <v/>
      </c>
      <c r="AD59" s="324" t="str">
        <f t="shared" si="106"/>
        <v/>
      </c>
      <c r="AE59" s="326" t="str">
        <f t="shared" si="107"/>
        <v/>
      </c>
      <c r="AF59" s="324" t="str">
        <f t="shared" si="110"/>
        <v/>
      </c>
      <c r="AG59" s="328" t="str">
        <f t="shared" ref="AG59:AG60" si="113">IFERROR(IF(OR(AND(AC59="Muy Baja",AE59="Leve"),AND(AC59="Muy Baja",AE59="Menor"),AND(AC59="Baja",AE59="Leve")),"Bajo",IF(OR(AND(AC59="Muy baja",AE59="Moderado"),AND(AC59="Baja",AE59="Menor"),AND(AC59="Baja",AE59="Moderado"),AND(AC59="Media",AE59="Leve"),AND(AC59="Media",AE59="Menor"),AND(AC59="Media",AE59="Moderado"),AND(AC59="Alta",AE59="Leve"),AND(AC59="Alta",AE59="Menor")),"Moderado",IF(OR(AND(AC59="Muy Baja",AE59="Mayor"),AND(AC59="Baja",AE59="Mayor"),AND(AC59="Media",AE59="Mayor"),AND(AC59="Alta",AE59="Moderado"),AND(AC59="Alta",AE59="Mayor"),AND(AC59="Muy Alta",AE59="Leve"),AND(AC59="Muy Alta",AE59="Menor"),AND(AC59="Muy Alta",AE59="Moderado"),AND(AC59="Muy Alta",AE59="Mayor")),"Alto",IF(OR(AND(AC59="Muy Baja",AE59="Catastrófico"),AND(AC59="Baja",AE59="Catastrófico"),AND(AC59="Media",AE59="Catastrófico"),AND(AC59="Alta",AE59="Catastrófico"),AND(AC59="Muy Alta",AE59="Catastrófico")),"Extremo","")))),"")</f>
        <v/>
      </c>
      <c r="AH59" s="323"/>
      <c r="AI59" s="329"/>
      <c r="AJ59" s="329"/>
      <c r="AK59" s="329"/>
      <c r="AL59" s="329"/>
      <c r="AM59" s="356"/>
      <c r="AN59" s="356"/>
      <c r="AO59" s="357"/>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row>
    <row r="60" spans="1:96" s="258" customFormat="1" ht="15" customHeight="1" x14ac:dyDescent="0.2">
      <c r="A60" s="581"/>
      <c r="B60" s="579"/>
      <c r="C60" s="452"/>
      <c r="D60" s="454"/>
      <c r="E60" s="454"/>
      <c r="F60" s="446"/>
      <c r="G60" s="456"/>
      <c r="H60" s="446"/>
      <c r="I60" s="446"/>
      <c r="J60" s="457"/>
      <c r="K60" s="447"/>
      <c r="L60" s="445"/>
      <c r="M60" s="447"/>
      <c r="N60" s="445"/>
      <c r="O60" s="445"/>
      <c r="P60" s="459"/>
      <c r="Q60" s="248">
        <v>6</v>
      </c>
      <c r="R60" s="321"/>
      <c r="S60" s="245"/>
      <c r="T60" s="245"/>
      <c r="U60" s="322" t="str">
        <f t="shared" si="111"/>
        <v/>
      </c>
      <c r="V60" s="323"/>
      <c r="W60" s="323"/>
      <c r="X60" s="324" t="str">
        <f t="shared" si="112"/>
        <v/>
      </c>
      <c r="Y60" s="323"/>
      <c r="Z60" s="323"/>
      <c r="AA60" s="323"/>
      <c r="AB60" s="325" t="str">
        <f t="shared" si="109"/>
        <v/>
      </c>
      <c r="AC60" s="326" t="str">
        <f t="shared" si="105"/>
        <v/>
      </c>
      <c r="AD60" s="324" t="str">
        <f t="shared" si="106"/>
        <v/>
      </c>
      <c r="AE60" s="326" t="str">
        <f t="shared" si="107"/>
        <v/>
      </c>
      <c r="AF60" s="324" t="str">
        <f t="shared" si="110"/>
        <v/>
      </c>
      <c r="AG60" s="328" t="str">
        <f t="shared" si="113"/>
        <v/>
      </c>
      <c r="AH60" s="323"/>
      <c r="AI60" s="329"/>
      <c r="AJ60" s="329"/>
      <c r="AK60" s="329"/>
      <c r="AL60" s="329"/>
      <c r="AM60" s="356"/>
      <c r="AN60" s="356"/>
      <c r="AO60" s="357"/>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3"/>
      <c r="CP60" s="273"/>
      <c r="CQ60" s="273"/>
      <c r="CR60" s="273"/>
    </row>
    <row r="61" spans="1:96" s="261" customFormat="1" ht="181.9" customHeight="1" x14ac:dyDescent="0.2">
      <c r="A61" s="581" t="s">
        <v>688</v>
      </c>
      <c r="B61" s="579" t="s">
        <v>830</v>
      </c>
      <c r="C61" s="452" t="s">
        <v>288</v>
      </c>
      <c r="D61" s="454" t="s">
        <v>619</v>
      </c>
      <c r="E61" s="454" t="s">
        <v>789</v>
      </c>
      <c r="F61" s="446" t="s">
        <v>675</v>
      </c>
      <c r="G61" s="456" t="s">
        <v>790</v>
      </c>
      <c r="H61" s="446" t="s">
        <v>233</v>
      </c>
      <c r="I61" s="446" t="s">
        <v>762</v>
      </c>
      <c r="J61" s="457">
        <v>100</v>
      </c>
      <c r="K61" s="447" t="str">
        <f t="shared" ref="K61:K97" si="114">IF(J61&lt;=0,"",IF(J61&lt;=2,"Muy Baja",IF(J61&lt;=24,"Baja",IF(J61&lt;=500,"Media",IF(J61&lt;=5000,"Alta","Muy Alta")))))</f>
        <v>Media</v>
      </c>
      <c r="L61" s="445">
        <f t="shared" ref="L61" si="115">IF(K61="","",IF(K61="Muy Baja",0.2,IF(K61="Baja",0.4,IF(K61="Media",0.6,IF(K61="Alta",0.8,IF(K61="Muy Alta",1,))))))</f>
        <v>0.6</v>
      </c>
      <c r="M61" s="447">
        <v>4</v>
      </c>
      <c r="N61" s="445" t="str">
        <f>IF(M61=1,"INSIGNIFICANTE",IF(M61=2,"Menor",IF(M61=3,"Moderado",IF(M61=4,"Mayor",IF(M61=5,"Catastrófico",IF(M61=""," "))))))</f>
        <v>Mayor</v>
      </c>
      <c r="O61" s="445">
        <f t="shared" ref="O61" si="116">IF(N61="","",IF(N61="Leve",0.2,IF(N61="Menor",0.4,IF(N61="Moderado",0.6,IF(N61="Mayor",0.8,IF(N61="Catastrófico",1,))))))</f>
        <v>0.8</v>
      </c>
      <c r="P61" s="459" t="str">
        <f t="shared" ref="P61" si="117">IF(OR(AND(K61="Muy Baja",N61="Leve"),AND(K61="Muy Baja",K61="Menor"),AND(K61="Baja",N61="Leve")),"Bajo",IF(OR(AND(K61="Muy baja",N61="Moderado"),AND(K61="Baja",N61="Menor"),AND(K61="Baja",N61="Moderado"),AND(K61="Media",N61="Leve"),AND(K61="Media",N61="Menor"),AND(K61="Media",N61="Moderado"),AND(K61="Alta",N61="Leve"),AND(K61="Alta",N61="Menor")),"Moderado",IF(OR(AND(K61="Muy Baja",N61="Mayor"),AND(K61="Baja",N61="Mayor"),AND(K61="Media",N61="Mayor"),AND(K61="Alta",N61="Moderado"),AND(K61="Alta",N61="Mayor"),AND(K61="Muy Alta",N61="Leve"),AND(K61="Muy Alta",N61="Menor"),AND(K61="Muy Alta",N61="Moderado"),AND(K61="Muy Alta",N61="Mayor")),"Alto",IF(OR(AND(K61="Muy Baja",N61="Catastrófico"),AND(K61="Baja",N61="Catastrófico"),AND(K61="Media",N61="Catastrófico"),AND(K61="Alta",N61="Catastrófico"),AND(K61="Muy Alta",N61="Catastrófico")),"Extremo",""))))</f>
        <v>Alto</v>
      </c>
      <c r="Q61" s="248">
        <v>1</v>
      </c>
      <c r="R61" s="351" t="s">
        <v>787</v>
      </c>
      <c r="S61" s="350" t="s">
        <v>292</v>
      </c>
      <c r="T61" s="245" t="s">
        <v>788</v>
      </c>
      <c r="U61" s="322" t="str">
        <f>IF(OR(V61="Preventivo",V61="Detectivo"),"Probabilidad",IF(V61="Correctivo","Impacto",""))</f>
        <v>Probabilidad</v>
      </c>
      <c r="V61" s="323" t="s">
        <v>13</v>
      </c>
      <c r="W61" s="323" t="s">
        <v>8</v>
      </c>
      <c r="X61" s="324" t="str">
        <f t="shared" si="9"/>
        <v>40%</v>
      </c>
      <c r="Y61" s="323" t="s">
        <v>18</v>
      </c>
      <c r="Z61" s="323" t="s">
        <v>21</v>
      </c>
      <c r="AA61" s="323" t="s">
        <v>103</v>
      </c>
      <c r="AB61" s="325">
        <f>IFERROR(IF(U61="Probabilidad",(L61-(+L61*X61)),IF(U61="Impacto",L61,"")),"")</f>
        <v>0.36</v>
      </c>
      <c r="AC61" s="326" t="str">
        <f>IFERROR(IF(AB61="","",IF(AB61&lt;=0.2,"Muy Baja",IF(AB61&lt;=0.4,"Baja",IF(AB61&lt;=0.6,"Media",IF(AB61&lt;=0.8,"Alta","Muy Alta"))))),"")</f>
        <v>Baja</v>
      </c>
      <c r="AD61" s="324">
        <f>+AB61</f>
        <v>0.36</v>
      </c>
      <c r="AE61" s="326" t="str">
        <f>IFERROR(IF(AF61="","",IF(AF61&lt;=0.2,"Leve",IF(AF61&lt;=0.4,"Menor",IF(AF61&lt;=0.6,"Moderado",IF(AF61&lt;=0.8,"Mayor","Catastrófico"))))),"")</f>
        <v>Mayor</v>
      </c>
      <c r="AF61" s="324">
        <f>IFERROR(IF(U61="Impacto",(O61-(+O61*X61)),IF(U61="Probabilidad",O61,"")),"")</f>
        <v>0.8</v>
      </c>
      <c r="AG61" s="328" t="str">
        <f>IFERROR(IF(OR(AND(AC61="Muy Baja",AE61="Leve"),AND(AC61="Muy Baja",AE61="Menor"),AND(AC61="Baja",AE61="Leve")),"Bajo",IF(OR(AND(AC61="Muy baja",AE61="Moderado"),AND(AC61="Baja",AE61="Menor"),AND(AC61="Baja",AE61="Moderado"),AND(AC61="Media",AE61="Leve"),AND(AC61="Media",AE61="Menor"),AND(AC61="Media",AE61="Moderado"),AND(AC61="Alta",AE61="Leve"),AND(AC61="Alta",AE61="Menor")),"Moderado",IF(OR(AND(AC61="Muy Baja",AE61="Mayor"),AND(AC61="Baja",AE61="Mayor"),AND(AC61="Media",AE61="Mayor"),AND(AC61="Alta",AE61="Moderado"),AND(AC61="Alta",AE61="Mayor"),AND(AC61="Muy Alta",AE61="Leve"),AND(AC61="Muy Alta",AE61="Menor"),AND(AC61="Muy Alta",AE61="Moderado"),AND(AC61="Muy Alta",AE61="Mayor")),"Alto",IF(OR(AND(AC61="Muy Baja",AE61="Catastrófico"),AND(AC61="Baja",AE61="Catastrófico"),AND(AC61="Media",AE61="Catastrófico"),AND(AC61="Alta",AE61="Catastrófico"),AND(AC61="Muy Alta",AE61="Catastrófico")),"Extremo","")))),"")</f>
        <v>Alto</v>
      </c>
      <c r="AH61" s="323" t="s">
        <v>26</v>
      </c>
      <c r="AI61" s="243">
        <v>0</v>
      </c>
      <c r="AJ61" s="243">
        <v>0</v>
      </c>
      <c r="AK61" s="243">
        <v>0</v>
      </c>
      <c r="AL61" s="243">
        <v>0</v>
      </c>
      <c r="AM61" s="262"/>
      <c r="AN61" s="262"/>
      <c r="AO61" s="356"/>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c r="CG61" s="273"/>
      <c r="CH61" s="273"/>
      <c r="CI61" s="273"/>
      <c r="CJ61" s="273"/>
      <c r="CK61" s="273"/>
      <c r="CL61" s="273"/>
      <c r="CM61" s="273"/>
      <c r="CN61" s="273"/>
      <c r="CO61" s="273"/>
      <c r="CP61" s="273"/>
      <c r="CQ61" s="273"/>
      <c r="CR61" s="273"/>
    </row>
    <row r="62" spans="1:96" s="258" customFormat="1" ht="99.75" x14ac:dyDescent="0.2">
      <c r="A62" s="581"/>
      <c r="B62" s="579"/>
      <c r="C62" s="452"/>
      <c r="D62" s="454"/>
      <c r="E62" s="454"/>
      <c r="F62" s="446"/>
      <c r="G62" s="456"/>
      <c r="H62" s="446"/>
      <c r="I62" s="446"/>
      <c r="J62" s="457"/>
      <c r="K62" s="447"/>
      <c r="L62" s="445"/>
      <c r="M62" s="447"/>
      <c r="N62" s="445"/>
      <c r="O62" s="445"/>
      <c r="P62" s="459"/>
      <c r="Q62" s="248">
        <v>2</v>
      </c>
      <c r="R62" s="321" t="s">
        <v>689</v>
      </c>
      <c r="S62" s="245" t="s">
        <v>293</v>
      </c>
      <c r="T62" s="245" t="s">
        <v>690</v>
      </c>
      <c r="U62" s="322" t="str">
        <f>IF(OR(V62="Preventivo",V62="Detectivo"),"Probabilidad",IF(V62="Correctivo","Impacto",""))</f>
        <v>Probabilidad</v>
      </c>
      <c r="V62" s="323" t="s">
        <v>13</v>
      </c>
      <c r="W62" s="323" t="s">
        <v>8</v>
      </c>
      <c r="X62" s="324" t="str">
        <f t="shared" si="9"/>
        <v>40%</v>
      </c>
      <c r="Y62" s="323" t="s">
        <v>18</v>
      </c>
      <c r="Z62" s="323" t="s">
        <v>21</v>
      </c>
      <c r="AA62" s="323" t="s">
        <v>103</v>
      </c>
      <c r="AB62" s="325">
        <f>IFERROR(IF(AND(U61="Probabilidad",U62="Probabilidad"),(AD61-(+AD61*X62)),IF(U62="Probabilidad",(L61-(+L61*X62)),IF(U62="Impacto",AD61,""))),"")</f>
        <v>0.216</v>
      </c>
      <c r="AC62" s="326" t="str">
        <f t="shared" ref="AC62:AC66" si="118">IFERROR(IF(AB62="","",IF(AB62&lt;=0.2,"Muy Baja",IF(AB62&lt;=0.4,"Baja",IF(AB62&lt;=0.6,"Media",IF(AB62&lt;=0.8,"Alta","Muy Alta"))))),"")</f>
        <v>Baja</v>
      </c>
      <c r="AD62" s="324">
        <f t="shared" ref="AD62:AD66" si="119">+AB62</f>
        <v>0.216</v>
      </c>
      <c r="AE62" s="326" t="str">
        <f t="shared" ref="AE62:AE66" si="120">IFERROR(IF(AF62="","",IF(AF62&lt;=0.2,"Leve",IF(AF62&lt;=0.4,"Menor",IF(AF62&lt;=0.6,"Moderado",IF(AF62&lt;=0.8,"Mayor","Catastrófico"))))),"")</f>
        <v>Mayor</v>
      </c>
      <c r="AF62" s="324">
        <f>IFERROR(IF(AND(U61="Impacto",U62="Impacto"),(AF61-(+AF61*X62)),IF(U62="Impacto",($O$61-(+$O$61*X62)),IF(U62="Probabilidad",AF61,""))),"")</f>
        <v>0.8</v>
      </c>
      <c r="AG62" s="328" t="str">
        <f t="shared" ref="AG62:AG63" si="121">IFERROR(IF(OR(AND(AC62="Muy Baja",AE62="Leve"),AND(AC62="Muy Baja",AE62="Menor"),AND(AC62="Baja",AE62="Leve")),"Bajo",IF(OR(AND(AC62="Muy baja",AE62="Moderado"),AND(AC62="Baja",AE62="Menor"),AND(AC62="Baja",AE62="Moderado"),AND(AC62="Media",AE62="Leve"),AND(AC62="Media",AE62="Menor"),AND(AC62="Media",AE62="Moderado"),AND(AC62="Alta",AE62="Leve"),AND(AC62="Alta",AE62="Menor")),"Moderado",IF(OR(AND(AC62="Muy Baja",AE62="Mayor"),AND(AC62="Baja",AE62="Mayor"),AND(AC62="Media",AE62="Mayor"),AND(AC62="Alta",AE62="Moderado"),AND(AC62="Alta",AE62="Mayor"),AND(AC62="Muy Alta",AE62="Leve"),AND(AC62="Muy Alta",AE62="Menor"),AND(AC62="Muy Alta",AE62="Moderado"),AND(AC62="Muy Alta",AE62="Mayor")),"Alto",IF(OR(AND(AC62="Muy Baja",AE62="Catastrófico"),AND(AC62="Baja",AE62="Catastrófico"),AND(AC62="Media",AE62="Catastrófico"),AND(AC62="Alta",AE62="Catastrófico"),AND(AC62="Muy Alta",AE62="Catastrófico")),"Extremo","")))),"")</f>
        <v>Alto</v>
      </c>
      <c r="AH62" s="323" t="s">
        <v>26</v>
      </c>
      <c r="AI62" s="243">
        <v>0</v>
      </c>
      <c r="AJ62" s="243">
        <v>0</v>
      </c>
      <c r="AK62" s="243">
        <v>0</v>
      </c>
      <c r="AL62" s="243">
        <v>0</v>
      </c>
      <c r="AM62" s="355"/>
      <c r="AN62" s="355"/>
      <c r="AO62" s="356"/>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c r="CG62" s="273"/>
      <c r="CH62" s="273"/>
      <c r="CI62" s="273"/>
      <c r="CJ62" s="273"/>
      <c r="CK62" s="273"/>
      <c r="CL62" s="273"/>
      <c r="CM62" s="273"/>
      <c r="CN62" s="273"/>
      <c r="CO62" s="273"/>
      <c r="CP62" s="273"/>
      <c r="CQ62" s="273"/>
      <c r="CR62" s="273"/>
    </row>
    <row r="63" spans="1:96" s="258" customFormat="1" ht="30.75" customHeight="1" x14ac:dyDescent="0.2">
      <c r="A63" s="581"/>
      <c r="B63" s="579"/>
      <c r="C63" s="452"/>
      <c r="D63" s="454"/>
      <c r="E63" s="454"/>
      <c r="F63" s="446"/>
      <c r="G63" s="456"/>
      <c r="H63" s="446"/>
      <c r="I63" s="446"/>
      <c r="J63" s="457"/>
      <c r="K63" s="447"/>
      <c r="L63" s="445"/>
      <c r="M63" s="447"/>
      <c r="N63" s="445"/>
      <c r="O63" s="445"/>
      <c r="P63" s="459"/>
      <c r="Q63" s="248">
        <v>3</v>
      </c>
      <c r="R63" s="330"/>
      <c r="S63" s="245"/>
      <c r="T63" s="245"/>
      <c r="U63" s="322" t="str">
        <f>IF(OR(V63="Preventivo",V63="Detectivo"),"Probabilidad",IF(V63="Correctivo","Impacto",""))</f>
        <v/>
      </c>
      <c r="V63" s="323"/>
      <c r="W63" s="323"/>
      <c r="X63" s="324" t="str">
        <f>IF(AND(V63="Preventivo",W63="Automático"),"50%",IF(AND(V63="Preventivo",W63="Manual"),"40%",IF(AND(V63="Detectivo",W63="Automático"),"40%",IF(AND(V63="Detectivo",W63="Manual"),"30%",IF(AND(V63="Correctivo",W63="Automático"),"35%",IF(AND(V63="Correctivo",W63="Manual"),"25%",""))))))</f>
        <v/>
      </c>
      <c r="Y63" s="323"/>
      <c r="Z63" s="323"/>
      <c r="AA63" s="323"/>
      <c r="AB63" s="325" t="str">
        <f t="shared" ref="AB63:AB66" si="122">IFERROR(IF(AND(U62="Probabilidad",U63="Probabilidad"),(AD62-(+AD62*X63)),IF(AND(U62="Impacto",U63="Probabilidad"),(AD61-(+AD61*X63)),IF(U63="Impacto",AD62,""))),"")</f>
        <v/>
      </c>
      <c r="AC63" s="326" t="str">
        <f t="shared" si="118"/>
        <v/>
      </c>
      <c r="AD63" s="324" t="str">
        <f t="shared" si="119"/>
        <v/>
      </c>
      <c r="AE63" s="326" t="str">
        <f t="shared" si="120"/>
        <v/>
      </c>
      <c r="AF63" s="324" t="str">
        <f t="shared" ref="AF63:AF66" si="123">IFERROR(IF(AND(U62="Impacto",U63="Impacto"),(AF62-(+AF62*X63)),IF(U63="Impacto",($O$61-(+$O$61*X63)),IF(U63="Probabilidad",AF62,""))),"")</f>
        <v/>
      </c>
      <c r="AG63" s="328" t="str">
        <f t="shared" si="121"/>
        <v/>
      </c>
      <c r="AH63" s="323"/>
      <c r="AI63" s="329"/>
      <c r="AJ63" s="329"/>
      <c r="AK63" s="329"/>
      <c r="AL63" s="329"/>
      <c r="AM63" s="355"/>
      <c r="AN63" s="355"/>
      <c r="AO63" s="356"/>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c r="CR63" s="273"/>
    </row>
    <row r="64" spans="1:96" s="258" customFormat="1" ht="30.75" customHeight="1" x14ac:dyDescent="0.2">
      <c r="A64" s="581"/>
      <c r="B64" s="579"/>
      <c r="C64" s="452"/>
      <c r="D64" s="454"/>
      <c r="E64" s="454"/>
      <c r="F64" s="446"/>
      <c r="G64" s="456"/>
      <c r="H64" s="446"/>
      <c r="I64" s="446"/>
      <c r="J64" s="457"/>
      <c r="K64" s="447"/>
      <c r="L64" s="445"/>
      <c r="M64" s="447"/>
      <c r="N64" s="445"/>
      <c r="O64" s="445"/>
      <c r="P64" s="459"/>
      <c r="Q64" s="248">
        <v>4</v>
      </c>
      <c r="R64" s="321"/>
      <c r="S64" s="245"/>
      <c r="T64" s="245"/>
      <c r="U64" s="322" t="str">
        <f t="shared" ref="U64:U66" si="124">IF(OR(V64="Preventivo",V64="Detectivo"),"Probabilidad",IF(V64="Correctivo","Impacto",""))</f>
        <v/>
      </c>
      <c r="V64" s="323"/>
      <c r="W64" s="323"/>
      <c r="X64" s="324" t="str">
        <f t="shared" ref="X64:X68" si="125">IF(AND(V64="Preventivo",W64="Automático"),"50%",IF(AND(V64="Preventivo",W64="Manual"),"40%",IF(AND(V64="Detectivo",W64="Automático"),"40%",IF(AND(V64="Detectivo",W64="Manual"),"30%",IF(AND(V64="Correctivo",W64="Automático"),"35%",IF(AND(V64="Correctivo",W64="Manual"),"25%",""))))))</f>
        <v/>
      </c>
      <c r="Y64" s="323"/>
      <c r="Z64" s="323"/>
      <c r="AA64" s="323"/>
      <c r="AB64" s="325" t="str">
        <f t="shared" si="122"/>
        <v/>
      </c>
      <c r="AC64" s="326" t="str">
        <f t="shared" si="118"/>
        <v/>
      </c>
      <c r="AD64" s="324" t="str">
        <f t="shared" si="119"/>
        <v/>
      </c>
      <c r="AE64" s="326" t="str">
        <f t="shared" si="120"/>
        <v/>
      </c>
      <c r="AF64" s="324" t="str">
        <f t="shared" si="123"/>
        <v/>
      </c>
      <c r="AG64" s="328" t="str">
        <f>IFERROR(IF(OR(AND(AC64="Muy Baja",AE64="Leve"),AND(AC64="Muy Baja",AE64="Menor"),AND(AC64="Baja",AE64="Leve")),"Bajo",IF(OR(AND(AC64="Muy baja",AE64="Moderado"),AND(AC64="Baja",AE64="Menor"),AND(AC64="Baja",AE64="Moderado"),AND(AC64="Media",AE64="Leve"),AND(AC64="Media",AE64="Menor"),AND(AC64="Media",AE64="Moderado"),AND(AC64="Alta",AE64="Leve"),AND(AC64="Alta",AE64="Menor")),"Moderado",IF(OR(AND(AC64="Muy Baja",AE64="Mayor"),AND(AC64="Baja",AE64="Mayor"),AND(AC64="Media",AE64="Mayor"),AND(AC64="Alta",AE64="Moderado"),AND(AC64="Alta",AE64="Mayor"),AND(AC64="Muy Alta",AE64="Leve"),AND(AC64="Muy Alta",AE64="Menor"),AND(AC64="Muy Alta",AE64="Moderado"),AND(AC64="Muy Alta",AE64="Mayor")),"Alto",IF(OR(AND(AC64="Muy Baja",AE64="Catastrófico"),AND(AC64="Baja",AE64="Catastrófico"),AND(AC64="Media",AE64="Catastrófico"),AND(AC64="Alta",AE64="Catastrófico"),AND(AC64="Muy Alta",AE64="Catastrófico")),"Extremo","")))),"")</f>
        <v/>
      </c>
      <c r="AH64" s="323"/>
      <c r="AI64" s="329"/>
      <c r="AJ64" s="329"/>
      <c r="AK64" s="329"/>
      <c r="AL64" s="329"/>
      <c r="AM64" s="360"/>
      <c r="AN64" s="360"/>
      <c r="AO64" s="352"/>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c r="CG64" s="273"/>
      <c r="CH64" s="273"/>
      <c r="CI64" s="273"/>
      <c r="CJ64" s="273"/>
      <c r="CK64" s="273"/>
      <c r="CL64" s="273"/>
      <c r="CM64" s="273"/>
      <c r="CN64" s="273"/>
      <c r="CO64" s="273"/>
      <c r="CP64" s="273"/>
      <c r="CQ64" s="273"/>
      <c r="CR64" s="273"/>
    </row>
    <row r="65" spans="1:96" s="258" customFormat="1" ht="30.75" customHeight="1" x14ac:dyDescent="0.2">
      <c r="A65" s="581"/>
      <c r="B65" s="579"/>
      <c r="C65" s="452"/>
      <c r="D65" s="454"/>
      <c r="E65" s="454"/>
      <c r="F65" s="446"/>
      <c r="G65" s="456"/>
      <c r="H65" s="446"/>
      <c r="I65" s="446"/>
      <c r="J65" s="457"/>
      <c r="K65" s="447"/>
      <c r="L65" s="445"/>
      <c r="M65" s="447"/>
      <c r="N65" s="445"/>
      <c r="O65" s="445"/>
      <c r="P65" s="459"/>
      <c r="Q65" s="248">
        <v>5</v>
      </c>
      <c r="R65" s="321"/>
      <c r="S65" s="245"/>
      <c r="T65" s="245"/>
      <c r="U65" s="322" t="str">
        <f t="shared" si="124"/>
        <v/>
      </c>
      <c r="V65" s="323"/>
      <c r="W65" s="323"/>
      <c r="X65" s="324" t="str">
        <f t="shared" si="125"/>
        <v/>
      </c>
      <c r="Y65" s="323"/>
      <c r="Z65" s="323"/>
      <c r="AA65" s="323"/>
      <c r="AB65" s="325" t="str">
        <f t="shared" si="122"/>
        <v/>
      </c>
      <c r="AC65" s="326" t="str">
        <f t="shared" si="118"/>
        <v/>
      </c>
      <c r="AD65" s="324" t="str">
        <f t="shared" si="119"/>
        <v/>
      </c>
      <c r="AE65" s="326" t="str">
        <f t="shared" si="120"/>
        <v/>
      </c>
      <c r="AF65" s="324" t="str">
        <f t="shared" si="123"/>
        <v/>
      </c>
      <c r="AG65" s="328" t="str">
        <f t="shared" ref="AG65:AG66" si="126">IFERROR(IF(OR(AND(AC65="Muy Baja",AE65="Leve"),AND(AC65="Muy Baja",AE65="Menor"),AND(AC65="Baja",AE65="Leve")),"Bajo",IF(OR(AND(AC65="Muy baja",AE65="Moderado"),AND(AC65="Baja",AE65="Menor"),AND(AC65="Baja",AE65="Moderado"),AND(AC65="Media",AE65="Leve"),AND(AC65="Media",AE65="Menor"),AND(AC65="Media",AE65="Moderado"),AND(AC65="Alta",AE65="Leve"),AND(AC65="Alta",AE65="Menor")),"Moderado",IF(OR(AND(AC65="Muy Baja",AE65="Mayor"),AND(AC65="Baja",AE65="Mayor"),AND(AC65="Media",AE65="Mayor"),AND(AC65="Alta",AE65="Moderado"),AND(AC65="Alta",AE65="Mayor"),AND(AC65="Muy Alta",AE65="Leve"),AND(AC65="Muy Alta",AE65="Menor"),AND(AC65="Muy Alta",AE65="Moderado"),AND(AC65="Muy Alta",AE65="Mayor")),"Alto",IF(OR(AND(AC65="Muy Baja",AE65="Catastrófico"),AND(AC65="Baja",AE65="Catastrófico"),AND(AC65="Media",AE65="Catastrófico"),AND(AC65="Alta",AE65="Catastrófico"),AND(AC65="Muy Alta",AE65="Catastrófico")),"Extremo","")))),"")</f>
        <v/>
      </c>
      <c r="AH65" s="323"/>
      <c r="AI65" s="329"/>
      <c r="AJ65" s="329"/>
      <c r="AK65" s="329"/>
      <c r="AL65" s="329"/>
      <c r="AM65" s="356"/>
      <c r="AN65" s="356"/>
      <c r="AO65" s="357"/>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c r="CG65" s="273"/>
      <c r="CH65" s="273"/>
      <c r="CI65" s="273"/>
      <c r="CJ65" s="273"/>
      <c r="CK65" s="273"/>
      <c r="CL65" s="273"/>
      <c r="CM65" s="273"/>
      <c r="CN65" s="273"/>
      <c r="CO65" s="273"/>
      <c r="CP65" s="273"/>
      <c r="CQ65" s="273"/>
      <c r="CR65" s="273"/>
    </row>
    <row r="66" spans="1:96" s="258" customFormat="1" ht="30.75" customHeight="1" x14ac:dyDescent="0.2">
      <c r="A66" s="581"/>
      <c r="B66" s="579"/>
      <c r="C66" s="452"/>
      <c r="D66" s="454"/>
      <c r="E66" s="454"/>
      <c r="F66" s="446"/>
      <c r="G66" s="456"/>
      <c r="H66" s="446"/>
      <c r="I66" s="446"/>
      <c r="J66" s="457"/>
      <c r="K66" s="447"/>
      <c r="L66" s="445"/>
      <c r="M66" s="447"/>
      <c r="N66" s="445"/>
      <c r="O66" s="445"/>
      <c r="P66" s="459"/>
      <c r="Q66" s="248">
        <v>6</v>
      </c>
      <c r="R66" s="321"/>
      <c r="S66" s="245"/>
      <c r="T66" s="245"/>
      <c r="U66" s="322" t="str">
        <f t="shared" si="124"/>
        <v/>
      </c>
      <c r="V66" s="323"/>
      <c r="W66" s="323"/>
      <c r="X66" s="324" t="str">
        <f t="shared" si="125"/>
        <v/>
      </c>
      <c r="Y66" s="323"/>
      <c r="Z66" s="323"/>
      <c r="AA66" s="323"/>
      <c r="AB66" s="325" t="str">
        <f t="shared" si="122"/>
        <v/>
      </c>
      <c r="AC66" s="326" t="str">
        <f t="shared" si="118"/>
        <v/>
      </c>
      <c r="AD66" s="324" t="str">
        <f t="shared" si="119"/>
        <v/>
      </c>
      <c r="AE66" s="326" t="str">
        <f t="shared" si="120"/>
        <v/>
      </c>
      <c r="AF66" s="324" t="str">
        <f t="shared" si="123"/>
        <v/>
      </c>
      <c r="AG66" s="328" t="str">
        <f t="shared" si="126"/>
        <v/>
      </c>
      <c r="AH66" s="323"/>
      <c r="AI66" s="329"/>
      <c r="AJ66" s="329"/>
      <c r="AK66" s="329"/>
      <c r="AL66" s="329"/>
      <c r="AM66" s="356"/>
      <c r="AN66" s="356"/>
      <c r="AO66" s="357"/>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c r="CG66" s="273"/>
      <c r="CH66" s="273"/>
      <c r="CI66" s="273"/>
      <c r="CJ66" s="273"/>
      <c r="CK66" s="273"/>
      <c r="CL66" s="273"/>
      <c r="CM66" s="273"/>
      <c r="CN66" s="273"/>
      <c r="CO66" s="273"/>
      <c r="CP66" s="273"/>
      <c r="CQ66" s="273"/>
      <c r="CR66" s="273"/>
    </row>
    <row r="67" spans="1:96" s="261" customFormat="1" ht="324.60000000000002" customHeight="1" x14ac:dyDescent="0.2">
      <c r="A67" s="581" t="s">
        <v>685</v>
      </c>
      <c r="B67" s="579" t="s">
        <v>830</v>
      </c>
      <c r="C67" s="452" t="s">
        <v>611</v>
      </c>
      <c r="D67" s="454" t="s">
        <v>620</v>
      </c>
      <c r="E67" s="454" t="s">
        <v>1076</v>
      </c>
      <c r="F67" s="446" t="s">
        <v>675</v>
      </c>
      <c r="G67" s="456" t="s">
        <v>916</v>
      </c>
      <c r="H67" s="446" t="s">
        <v>233</v>
      </c>
      <c r="I67" s="446" t="s">
        <v>777</v>
      </c>
      <c r="J67" s="598">
        <v>1000</v>
      </c>
      <c r="K67" s="447" t="str">
        <f t="shared" si="114"/>
        <v>Alta</v>
      </c>
      <c r="L67" s="445">
        <f t="shared" ref="L67" si="127">IF(K67="","",IF(K67="Muy Baja",0.2,IF(K67="Baja",0.4,IF(K67="Media",0.6,IF(K67="Alta",0.8,IF(K67="Muy Alta",1,))))))</f>
        <v>0.8</v>
      </c>
      <c r="M67" s="447">
        <v>4</v>
      </c>
      <c r="N67" s="445" t="str">
        <f>IF(M67=1,"INSIGNIFICANTE",IF(M67=2,"Menor",IF(M67=3,"Moderado",IF(M67=4,"MAYOR",IF(M67=5,"Catastrófico",IF(M67=""," "))))))</f>
        <v>MAYOR</v>
      </c>
      <c r="O67" s="445">
        <f>IF(N67="","",IF(N67="Leve",0.2,IF(N67="Menor",0.4,IF(N67="Moderado",0.6,IF(N67="Mayor",0.8,IF(N67="Catastrófico",1,))))))</f>
        <v>0.8</v>
      </c>
      <c r="P67" s="459" t="str">
        <f>IF(OR(AND(K67="Muy Baja",N67="Leve"),AND(K67="Muy Baja",K67="Menor"),AND(K67="Baja",N67="Leve")),"Bajo",IF(OR(AND(K67="Muy baja",N67="Moderado"),AND(K67="Baja",N67="Menor"),AND(K67="Baja",N67="Moderado"),AND(K67="Media",N67="Leve"),AND(K67="Media",N67="Menor"),AND(K67="Media",N67="Moderado"),AND(K67="Alta",N67="Leve"),AND(K67="Alta",N67="Menor")),"Moderado",IF(OR(AND(K67="Muy Baja",N67="Mayor"),AND(K67="Baja",N67="Mayor"),AND(K67="Media",N67="Mayor"),AND(K67="Alta",N67="Moderado"),AND(K67="Alta",N67="Mayor"),AND(K67="Muy Alta",N67="Leve"),AND(K67="Muy Alta",N67="Menor"),AND(K67="Muy Alta",N67="Moderado"),AND(K67="Muy Alta",N67="Mayor")),"Alto",IF(OR(AND(K67="Muy Baja",N67="Catastrófico"),AND(K67="Baja",N67="Catastrófico"),AND(K67="Media",N67="Catastrófico"),AND(K67="Alta",N67="Catastrófico"),AND(K67="Muy Alta",N67="Catastrófico")),"Extremo",""))))</f>
        <v>Alto</v>
      </c>
      <c r="Q67" s="248">
        <v>1</v>
      </c>
      <c r="R67" s="351" t="s">
        <v>691</v>
      </c>
      <c r="S67" s="350" t="s">
        <v>292</v>
      </c>
      <c r="T67" s="245" t="s">
        <v>692</v>
      </c>
      <c r="U67" s="322" t="str">
        <f>IF(OR(V67="Preventivo",V67="Detectivo"),"Probabilidad",IF(V67="Correctivo","Impacto",""))</f>
        <v>Probabilidad</v>
      </c>
      <c r="V67" s="323" t="s">
        <v>13</v>
      </c>
      <c r="W67" s="323" t="s">
        <v>8</v>
      </c>
      <c r="X67" s="324" t="str">
        <f>IF(AND(V67="Preventivo",W67="Automático"),"50%",IF(AND(V67="Preventivo",W67="Manual"),"40%",IF(AND(V67="Detectivo",W67="Automático"),"40%",IF(AND(V67="Detectivo",W67="Manual"),"30%",IF(AND(V67="Correctivo",W67="Automático"),"35%",IF(AND(V67="Correctivo",W67="Manual"),"25%",""))))))</f>
        <v>40%</v>
      </c>
      <c r="Y67" s="323" t="s">
        <v>18</v>
      </c>
      <c r="Z67" s="323" t="s">
        <v>21</v>
      </c>
      <c r="AA67" s="323" t="s">
        <v>103</v>
      </c>
      <c r="AB67" s="325">
        <f>IFERROR(IF(U67="Probabilidad",(L67-(+L67*X67)),IF(U67="Impacto",L67,"")),"")</f>
        <v>0.48</v>
      </c>
      <c r="AC67" s="326" t="str">
        <f>IFERROR(IF(AB67="","",IF(AB67&lt;=0.2,"Muy Baja",IF(AB67&lt;=0.4,"Baja",IF(AB67&lt;=0.6,"Media",IF(AB67&lt;=0.8,"Alta","Muy Alta"))))),"")</f>
        <v>Media</v>
      </c>
      <c r="AD67" s="324">
        <f>+AB67</f>
        <v>0.48</v>
      </c>
      <c r="AE67" s="326" t="str">
        <f>IFERROR(IF(AF67="","",IF(AF67&lt;=0.2,"Leve",IF(AF67&lt;=0.4,"Menor",IF(AF67&lt;=0.6,"Moderado",IF(AF67&lt;=0.8,"Mayor","Catastrófico"))))),"")</f>
        <v>Mayor</v>
      </c>
      <c r="AF67" s="324">
        <f>IFERROR(IF(U67="Impacto",(O67-(+O67*X67)),IF(U67="Probabilidad",O67,"")),"")</f>
        <v>0.8</v>
      </c>
      <c r="AG67" s="328" t="str">
        <f>IFERROR(IF(OR(AND(AC67="Muy Baja",AE67="Leve"),AND(AC67="Muy Baja",AE67="Menor"),AND(AC67="Baja",AE67="Leve")),"Bajo",IF(OR(AND(AC67="Muy baja",AE67="Moderado"),AND(AC67="Baja",AE67="Menor"),AND(AC67="Baja",AE67="Moderado"),AND(AC67="Media",AE67="Leve"),AND(AC67="Media",AE67="Menor"),AND(AC67="Media",AE67="Moderado"),AND(AC67="Alta",AE67="Leve"),AND(AC67="Alta",AE67="Menor")),"Moderado",IF(OR(AND(AC67="Muy Baja",AE67="Mayor"),AND(AC67="Baja",AE67="Mayor"),AND(AC67="Media",AE67="Mayor"),AND(AC67="Alta",AE67="Moderado"),AND(AC67="Alta",AE67="Mayor"),AND(AC67="Muy Alta",AE67="Leve"),AND(AC67="Muy Alta",AE67="Menor"),AND(AC67="Muy Alta",AE67="Moderado"),AND(AC67="Muy Alta",AE67="Mayor")),"Alto",IF(OR(AND(AC67="Muy Baja",AE67="Catastrófico"),AND(AC67="Baja",AE67="Catastrófico"),AND(AC67="Media",AE67="Catastrófico"),AND(AC67="Alta",AE67="Catastrófico"),AND(AC67="Muy Alta",AE67="Catastrófico")),"Extremo","")))),"")</f>
        <v>Alto</v>
      </c>
      <c r="AH67" s="323" t="s">
        <v>26</v>
      </c>
      <c r="AI67" s="243">
        <v>4</v>
      </c>
      <c r="AJ67" s="243">
        <v>1</v>
      </c>
      <c r="AK67" s="243">
        <v>1</v>
      </c>
      <c r="AL67" s="243">
        <v>2</v>
      </c>
      <c r="AM67" s="262"/>
      <c r="AN67" s="262"/>
      <c r="AO67" s="356"/>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c r="CG67" s="273"/>
      <c r="CH67" s="273"/>
      <c r="CI67" s="273"/>
      <c r="CJ67" s="273"/>
      <c r="CK67" s="273"/>
      <c r="CL67" s="273"/>
      <c r="CM67" s="273"/>
      <c r="CN67" s="273"/>
      <c r="CO67" s="273"/>
      <c r="CP67" s="273"/>
      <c r="CQ67" s="273"/>
      <c r="CR67" s="273"/>
    </row>
    <row r="68" spans="1:96" s="258" customFormat="1" ht="9.75" customHeight="1" x14ac:dyDescent="0.2">
      <c r="A68" s="581"/>
      <c r="B68" s="579"/>
      <c r="C68" s="452"/>
      <c r="D68" s="454"/>
      <c r="E68" s="454"/>
      <c r="F68" s="446"/>
      <c r="G68" s="456"/>
      <c r="H68" s="446"/>
      <c r="I68" s="446"/>
      <c r="J68" s="598"/>
      <c r="K68" s="447"/>
      <c r="L68" s="445"/>
      <c r="M68" s="447"/>
      <c r="N68" s="445"/>
      <c r="O68" s="445"/>
      <c r="P68" s="459"/>
      <c r="Q68" s="248">
        <v>2</v>
      </c>
      <c r="R68" s="321"/>
      <c r="S68" s="245"/>
      <c r="T68" s="245"/>
      <c r="U68" s="322" t="str">
        <f>IF(OR(V68="Preventivo",V68="Detectivo"),"Probabilidad",IF(V68="Correctivo","Impacto",""))</f>
        <v/>
      </c>
      <c r="V68" s="323"/>
      <c r="W68" s="323"/>
      <c r="X68" s="324" t="str">
        <f t="shared" si="125"/>
        <v/>
      </c>
      <c r="Y68" s="323"/>
      <c r="Z68" s="323"/>
      <c r="AA68" s="323"/>
      <c r="AB68" s="325" t="str">
        <f>IFERROR(IF(AND(U67="Probabilidad",U68="Probabilidad"),(AD67-(+AD67*X68)),IF(U68="Probabilidad",(L67-(+L67*X68)),IF(U68="Impacto",AD67,""))),"")</f>
        <v/>
      </c>
      <c r="AC68" s="326" t="str">
        <f>IFERROR(IF(AB68="","",IF(AB68&lt;=0.2,"Muy Baja",IF(AB68&lt;=0.4,"Baja",IF(AB68&lt;=0.6,"Media",IF(AB68&lt;=0.8,"Alta","Muy Alta"))))),"")</f>
        <v/>
      </c>
      <c r="AD68" s="324" t="str">
        <f>+AB68</f>
        <v/>
      </c>
      <c r="AE68" s="326" t="str">
        <f>IFERROR(IF(AF68="","",IF(AF68&lt;=0.2,"Leve",IF(AF68&lt;=0.4,"Menor",IF(AF68&lt;=0.6,"Moderado",IF(AF68&lt;=0.8,"Mayor","Catastrófico"))))),"")</f>
        <v/>
      </c>
      <c r="AF68" s="324" t="str">
        <f>IFERROR(IF(AND(U67="Impacto",U68="Impacto"),(AF67-(+AF67*X68)),IF(U68="Impacto",($O$67-(+$O$67*X68)),IF(U68="Probabilidad",AF67,""))),"")</f>
        <v/>
      </c>
      <c r="AG68" s="328" t="str">
        <f t="shared" ref="AG68:AG69" si="128">IFERROR(IF(OR(AND(AC68="Muy Baja",AE68="Leve"),AND(AC68="Muy Baja",AE68="Menor"),AND(AC68="Baja",AE68="Leve")),"Bajo",IF(OR(AND(AC68="Muy baja",AE68="Moderado"),AND(AC68="Baja",AE68="Menor"),AND(AC68="Baja",AE68="Moderado"),AND(AC68="Media",AE68="Leve"),AND(AC68="Media",AE68="Menor"),AND(AC68="Media",AE68="Moderado"),AND(AC68="Alta",AE68="Leve"),AND(AC68="Alta",AE68="Menor")),"Moderado",IF(OR(AND(AC68="Muy Baja",AE68="Mayor"),AND(AC68="Baja",AE68="Mayor"),AND(AC68="Media",AE68="Mayor"),AND(AC68="Alta",AE68="Moderado"),AND(AC68="Alta",AE68="Mayor"),AND(AC68="Muy Alta",AE68="Leve"),AND(AC68="Muy Alta",AE68="Menor"),AND(AC68="Muy Alta",AE68="Moderado"),AND(AC68="Muy Alta",AE68="Mayor")),"Alto",IF(OR(AND(AC68="Muy Baja",AE68="Catastrófico"),AND(AC68="Baja",AE68="Catastrófico"),AND(AC68="Media",AE68="Catastrófico"),AND(AC68="Alta",AE68="Catastrófico"),AND(AC68="Muy Alta",AE68="Catastrófico")),"Extremo","")))),"")</f>
        <v/>
      </c>
      <c r="AH68" s="323"/>
      <c r="AI68" s="329"/>
      <c r="AJ68" s="329"/>
      <c r="AK68" s="329"/>
      <c r="AL68" s="329"/>
      <c r="AM68" s="355"/>
      <c r="AN68" s="355"/>
      <c r="AO68" s="356"/>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row>
    <row r="69" spans="1:96" s="258" customFormat="1" ht="9.75" customHeight="1" x14ac:dyDescent="0.2">
      <c r="A69" s="581"/>
      <c r="B69" s="579"/>
      <c r="C69" s="452"/>
      <c r="D69" s="454"/>
      <c r="E69" s="454"/>
      <c r="F69" s="446"/>
      <c r="G69" s="456"/>
      <c r="H69" s="446"/>
      <c r="I69" s="446"/>
      <c r="J69" s="598"/>
      <c r="K69" s="447"/>
      <c r="L69" s="445"/>
      <c r="M69" s="447"/>
      <c r="N69" s="445"/>
      <c r="O69" s="445"/>
      <c r="P69" s="459"/>
      <c r="Q69" s="248">
        <v>3</v>
      </c>
      <c r="R69" s="330"/>
      <c r="S69" s="245"/>
      <c r="T69" s="245"/>
      <c r="U69" s="322" t="str">
        <f>IF(OR(V69="Preventivo",V69="Detectivo"),"Probabilidad",IF(V69="Correctivo","Impacto",""))</f>
        <v/>
      </c>
      <c r="V69" s="323"/>
      <c r="W69" s="323"/>
      <c r="X69" s="324" t="str">
        <f>IF(AND(V69="Preventivo",W69="Automático"),"50%",IF(AND(V69="Preventivo",W69="Manual"),"40%",IF(AND(V69="Detectivo",W69="Automático"),"40%",IF(AND(V69="Detectivo",W69="Manual"),"30%",IF(AND(V69="Correctivo",W69="Automático"),"35%",IF(AND(V69="Correctivo",W69="Manual"),"25%",""))))))</f>
        <v/>
      </c>
      <c r="Y69" s="323"/>
      <c r="Z69" s="323"/>
      <c r="AA69" s="323"/>
      <c r="AB69" s="325" t="str">
        <f t="shared" ref="AB69:AB72" si="129">IFERROR(IF(AND(U68="Probabilidad",U69="Probabilidad"),(AD68-(+AD68*X69)),IF(AND(U68="Impacto",U69="Probabilidad"),(AD67-(+AD67*X69)),IF(U69="Impacto",AD68,""))),"")</f>
        <v/>
      </c>
      <c r="AC69" s="326" t="str">
        <f t="shared" ref="AC69:AC72" si="130">IFERROR(IF(AB69="","",IF(AB69&lt;=0.2,"Muy Baja",IF(AB69&lt;=0.4,"Baja",IF(AB69&lt;=0.6,"Media",IF(AB69&lt;=0.8,"Alta","Muy Alta"))))),"")</f>
        <v/>
      </c>
      <c r="AD69" s="324" t="str">
        <f t="shared" ref="AD69:AD72" si="131">+AB69</f>
        <v/>
      </c>
      <c r="AE69" s="326" t="str">
        <f t="shared" ref="AE69:AE72" si="132">IFERROR(IF(AF69="","",IF(AF69&lt;=0.2,"Leve",IF(AF69&lt;=0.4,"Menor",IF(AF69&lt;=0.6,"Moderado",IF(AF69&lt;=0.8,"Mayor","Catastrófico"))))),"")</f>
        <v/>
      </c>
      <c r="AF69" s="324" t="str">
        <f t="shared" ref="AF69:AF72" si="133">IFERROR(IF(AND(U68="Impacto",U69="Impacto"),(AF68-(+AF68*X69)),IF(U69="Impacto",($O$67-(+$O$67*X69)),IF(U69="Probabilidad",AF68,""))),"")</f>
        <v/>
      </c>
      <c r="AG69" s="328" t="str">
        <f t="shared" si="128"/>
        <v/>
      </c>
      <c r="AH69" s="323"/>
      <c r="AI69" s="329"/>
      <c r="AJ69" s="329"/>
      <c r="AK69" s="329"/>
      <c r="AL69" s="329"/>
      <c r="AM69" s="355"/>
      <c r="AN69" s="355"/>
      <c r="AO69" s="356"/>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c r="CG69" s="273"/>
      <c r="CH69" s="273"/>
      <c r="CI69" s="273"/>
      <c r="CJ69" s="273"/>
      <c r="CK69" s="273"/>
      <c r="CL69" s="273"/>
      <c r="CM69" s="273"/>
      <c r="CN69" s="273"/>
      <c r="CO69" s="273"/>
      <c r="CP69" s="273"/>
      <c r="CQ69" s="273"/>
      <c r="CR69" s="273"/>
    </row>
    <row r="70" spans="1:96" s="258" customFormat="1" ht="9.75" customHeight="1" x14ac:dyDescent="0.2">
      <c r="A70" s="581"/>
      <c r="B70" s="579"/>
      <c r="C70" s="452"/>
      <c r="D70" s="454"/>
      <c r="E70" s="454"/>
      <c r="F70" s="446"/>
      <c r="G70" s="456"/>
      <c r="H70" s="446"/>
      <c r="I70" s="446"/>
      <c r="J70" s="598"/>
      <c r="K70" s="447"/>
      <c r="L70" s="445"/>
      <c r="M70" s="447"/>
      <c r="N70" s="445"/>
      <c r="O70" s="445"/>
      <c r="P70" s="459"/>
      <c r="Q70" s="248">
        <v>4</v>
      </c>
      <c r="R70" s="321"/>
      <c r="S70" s="245"/>
      <c r="T70" s="245"/>
      <c r="U70" s="322" t="str">
        <f t="shared" ref="U70:U72" si="134">IF(OR(V70="Preventivo",V70="Detectivo"),"Probabilidad",IF(V70="Correctivo","Impacto",""))</f>
        <v/>
      </c>
      <c r="V70" s="323"/>
      <c r="W70" s="323"/>
      <c r="X70" s="324" t="str">
        <f t="shared" ref="X70:X74" si="135">IF(AND(V70="Preventivo",W70="Automático"),"50%",IF(AND(V70="Preventivo",W70="Manual"),"40%",IF(AND(V70="Detectivo",W70="Automático"),"40%",IF(AND(V70="Detectivo",W70="Manual"),"30%",IF(AND(V70="Correctivo",W70="Automático"),"35%",IF(AND(V70="Correctivo",W70="Manual"),"25%",""))))))</f>
        <v/>
      </c>
      <c r="Y70" s="323"/>
      <c r="Z70" s="323"/>
      <c r="AA70" s="323"/>
      <c r="AB70" s="325" t="str">
        <f t="shared" si="129"/>
        <v/>
      </c>
      <c r="AC70" s="326" t="str">
        <f t="shared" si="130"/>
        <v/>
      </c>
      <c r="AD70" s="324" t="str">
        <f t="shared" si="131"/>
        <v/>
      </c>
      <c r="AE70" s="326" t="str">
        <f t="shared" si="132"/>
        <v/>
      </c>
      <c r="AF70" s="324" t="str">
        <f t="shared" si="133"/>
        <v/>
      </c>
      <c r="AG70" s="328" t="str">
        <f>IFERROR(IF(OR(AND(AC70="Muy Baja",AE70="Leve"),AND(AC70="Muy Baja",AE70="Menor"),AND(AC70="Baja",AE70="Leve")),"Bajo",IF(OR(AND(AC70="Muy baja",AE70="Moderado"),AND(AC70="Baja",AE70="Menor"),AND(AC70="Baja",AE70="Moderado"),AND(AC70="Media",AE70="Leve"),AND(AC70="Media",AE70="Menor"),AND(AC70="Media",AE70="Moderado"),AND(AC70="Alta",AE70="Leve"),AND(AC70="Alta",AE70="Menor")),"Moderado",IF(OR(AND(AC70="Muy Baja",AE70="Mayor"),AND(AC70="Baja",AE70="Mayor"),AND(AC70="Media",AE70="Mayor"),AND(AC70="Alta",AE70="Moderado"),AND(AC70="Alta",AE70="Mayor"),AND(AC70="Muy Alta",AE70="Leve"),AND(AC70="Muy Alta",AE70="Menor"),AND(AC70="Muy Alta",AE70="Moderado"),AND(AC70="Muy Alta",AE70="Mayor")),"Alto",IF(OR(AND(AC70="Muy Baja",AE70="Catastrófico"),AND(AC70="Baja",AE70="Catastrófico"),AND(AC70="Media",AE70="Catastrófico"),AND(AC70="Alta",AE70="Catastrófico"),AND(AC70="Muy Alta",AE70="Catastrófico")),"Extremo","")))),"")</f>
        <v/>
      </c>
      <c r="AH70" s="323"/>
      <c r="AI70" s="329"/>
      <c r="AJ70" s="329"/>
      <c r="AK70" s="329"/>
      <c r="AL70" s="329"/>
      <c r="AM70" s="360"/>
      <c r="AN70" s="360"/>
      <c r="AO70" s="352"/>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c r="CG70" s="273"/>
      <c r="CH70" s="273"/>
      <c r="CI70" s="273"/>
      <c r="CJ70" s="273"/>
      <c r="CK70" s="273"/>
      <c r="CL70" s="273"/>
      <c r="CM70" s="273"/>
      <c r="CN70" s="273"/>
      <c r="CO70" s="273"/>
      <c r="CP70" s="273"/>
      <c r="CQ70" s="273"/>
      <c r="CR70" s="273"/>
    </row>
    <row r="71" spans="1:96" s="258" customFormat="1" ht="9.75" customHeight="1" x14ac:dyDescent="0.2">
      <c r="A71" s="581"/>
      <c r="B71" s="579"/>
      <c r="C71" s="452"/>
      <c r="D71" s="454"/>
      <c r="E71" s="454"/>
      <c r="F71" s="446"/>
      <c r="G71" s="456"/>
      <c r="H71" s="446"/>
      <c r="I71" s="446"/>
      <c r="J71" s="598"/>
      <c r="K71" s="447"/>
      <c r="L71" s="445"/>
      <c r="M71" s="447"/>
      <c r="N71" s="445"/>
      <c r="O71" s="445"/>
      <c r="P71" s="459"/>
      <c r="Q71" s="248">
        <v>5</v>
      </c>
      <c r="R71" s="321"/>
      <c r="S71" s="245"/>
      <c r="T71" s="245"/>
      <c r="U71" s="322" t="str">
        <f t="shared" si="134"/>
        <v/>
      </c>
      <c r="V71" s="323"/>
      <c r="W71" s="323"/>
      <c r="X71" s="324" t="str">
        <f t="shared" si="135"/>
        <v/>
      </c>
      <c r="Y71" s="323"/>
      <c r="Z71" s="323"/>
      <c r="AA71" s="323"/>
      <c r="AB71" s="325" t="str">
        <f t="shared" si="129"/>
        <v/>
      </c>
      <c r="AC71" s="326" t="str">
        <f t="shared" si="130"/>
        <v/>
      </c>
      <c r="AD71" s="324" t="str">
        <f t="shared" si="131"/>
        <v/>
      </c>
      <c r="AE71" s="326" t="str">
        <f t="shared" si="132"/>
        <v/>
      </c>
      <c r="AF71" s="324" t="str">
        <f t="shared" si="133"/>
        <v/>
      </c>
      <c r="AG71" s="328" t="str">
        <f t="shared" ref="AG71:AG72" si="136">IFERROR(IF(OR(AND(AC71="Muy Baja",AE71="Leve"),AND(AC71="Muy Baja",AE71="Menor"),AND(AC71="Baja",AE71="Leve")),"Bajo",IF(OR(AND(AC71="Muy baja",AE71="Moderado"),AND(AC71="Baja",AE71="Menor"),AND(AC71="Baja",AE71="Moderado"),AND(AC71="Media",AE71="Leve"),AND(AC71="Media",AE71="Menor"),AND(AC71="Media",AE71="Moderado"),AND(AC71="Alta",AE71="Leve"),AND(AC71="Alta",AE71="Menor")),"Moderado",IF(OR(AND(AC71="Muy Baja",AE71="Mayor"),AND(AC71="Baja",AE71="Mayor"),AND(AC71="Media",AE71="Mayor"),AND(AC71="Alta",AE71="Moderado"),AND(AC71="Alta",AE71="Mayor"),AND(AC71="Muy Alta",AE71="Leve"),AND(AC71="Muy Alta",AE71="Menor"),AND(AC71="Muy Alta",AE71="Moderado"),AND(AC71="Muy Alta",AE71="Mayor")),"Alto",IF(OR(AND(AC71="Muy Baja",AE71="Catastrófico"),AND(AC71="Baja",AE71="Catastrófico"),AND(AC71="Media",AE71="Catastrófico"),AND(AC71="Alta",AE71="Catastrófico"),AND(AC71="Muy Alta",AE71="Catastrófico")),"Extremo","")))),"")</f>
        <v/>
      </c>
      <c r="AH71" s="323"/>
      <c r="AI71" s="329"/>
      <c r="AJ71" s="329"/>
      <c r="AK71" s="329"/>
      <c r="AL71" s="329"/>
      <c r="AM71" s="356"/>
      <c r="AN71" s="356"/>
      <c r="AO71" s="357"/>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c r="CN71" s="273"/>
      <c r="CO71" s="273"/>
      <c r="CP71" s="273"/>
      <c r="CQ71" s="273"/>
      <c r="CR71" s="273"/>
    </row>
    <row r="72" spans="1:96" s="258" customFormat="1" ht="9.75" customHeight="1" x14ac:dyDescent="0.2">
      <c r="A72" s="581"/>
      <c r="B72" s="579"/>
      <c r="C72" s="452"/>
      <c r="D72" s="454"/>
      <c r="E72" s="454"/>
      <c r="F72" s="446"/>
      <c r="G72" s="456"/>
      <c r="H72" s="446"/>
      <c r="I72" s="446"/>
      <c r="J72" s="598"/>
      <c r="K72" s="447"/>
      <c r="L72" s="445"/>
      <c r="M72" s="447"/>
      <c r="N72" s="445"/>
      <c r="O72" s="445"/>
      <c r="P72" s="459"/>
      <c r="Q72" s="248">
        <v>6</v>
      </c>
      <c r="R72" s="321"/>
      <c r="S72" s="245"/>
      <c r="T72" s="245"/>
      <c r="U72" s="322" t="str">
        <f t="shared" si="134"/>
        <v/>
      </c>
      <c r="V72" s="323"/>
      <c r="W72" s="323"/>
      <c r="X72" s="324" t="str">
        <f t="shared" si="135"/>
        <v/>
      </c>
      <c r="Y72" s="323"/>
      <c r="Z72" s="323"/>
      <c r="AA72" s="323"/>
      <c r="AB72" s="325" t="str">
        <f t="shared" si="129"/>
        <v/>
      </c>
      <c r="AC72" s="326" t="str">
        <f t="shared" si="130"/>
        <v/>
      </c>
      <c r="AD72" s="324" t="str">
        <f t="shared" si="131"/>
        <v/>
      </c>
      <c r="AE72" s="326" t="str">
        <f t="shared" si="132"/>
        <v/>
      </c>
      <c r="AF72" s="324" t="str">
        <f t="shared" si="133"/>
        <v/>
      </c>
      <c r="AG72" s="328" t="str">
        <f t="shared" si="136"/>
        <v/>
      </c>
      <c r="AH72" s="323"/>
      <c r="AI72" s="329"/>
      <c r="AJ72" s="329"/>
      <c r="AK72" s="329"/>
      <c r="AL72" s="329"/>
      <c r="AM72" s="356"/>
      <c r="AN72" s="356"/>
      <c r="AO72" s="357"/>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c r="CG72" s="273"/>
      <c r="CH72" s="273"/>
      <c r="CI72" s="273"/>
      <c r="CJ72" s="273"/>
      <c r="CK72" s="273"/>
      <c r="CL72" s="273"/>
      <c r="CM72" s="273"/>
      <c r="CN72" s="273"/>
      <c r="CO72" s="273"/>
      <c r="CP72" s="273"/>
      <c r="CQ72" s="273"/>
      <c r="CR72" s="273"/>
    </row>
    <row r="73" spans="1:96" s="261" customFormat="1" ht="144" x14ac:dyDescent="0.2">
      <c r="A73" s="581" t="s">
        <v>754</v>
      </c>
      <c r="B73" s="579" t="s">
        <v>830</v>
      </c>
      <c r="C73" s="452" t="s">
        <v>281</v>
      </c>
      <c r="D73" s="454" t="s">
        <v>621</v>
      </c>
      <c r="E73" s="454" t="s">
        <v>785</v>
      </c>
      <c r="F73" s="446" t="s">
        <v>675</v>
      </c>
      <c r="G73" s="456" t="s">
        <v>901</v>
      </c>
      <c r="H73" s="446" t="s">
        <v>233</v>
      </c>
      <c r="I73" s="446" t="s">
        <v>777</v>
      </c>
      <c r="J73" s="457">
        <v>284</v>
      </c>
      <c r="K73" s="447" t="str">
        <f t="shared" si="114"/>
        <v>Media</v>
      </c>
      <c r="L73" s="445">
        <f t="shared" ref="L73" si="137">IF(K73="","",IF(K73="Muy Baja",0.2,IF(K73="Baja",0.4,IF(K73="Media",0.6,IF(K73="Alta",0.8,IF(K73="Muy Alta",1,))))))</f>
        <v>0.6</v>
      </c>
      <c r="M73" s="447">
        <v>5</v>
      </c>
      <c r="N73" s="445" t="str">
        <f t="shared" ref="N73" si="138">IF(M73=1,"INSIGNIFICANTE",IF(M73=2,"Menor",IF(M73=3,"Moderado",IF(M73=4,"MAYOR",IF(M73=5,"Catastrófico",IF(M73=""," "))))))</f>
        <v>Catastrófico</v>
      </c>
      <c r="O73" s="445">
        <f>IF(N73="","",IF(N73="Leve",0.2,IF(N73="Menor",0.4,IF(N73="Moderado",0.6,IF(N73="Mayor",0.8,IF(N73="Catastrófico",1,))))))</f>
        <v>1</v>
      </c>
      <c r="P73" s="459" t="str">
        <f t="shared" ref="P73:P97" si="139">IF(OR(AND(K73="Muy Baja",N73="Leve"),AND(K73="Muy Baja",K73="Menor"),AND(K73="Baja",N73="Leve")),"Bajo",IF(OR(AND(K73="Muy baja",N73="Moderado"),AND(K73="Baja",N73="Menor"),AND(K73="Baja",N73="Moderado"),AND(K73="Media",N73="Leve"),AND(K73="Media",N73="Menor"),AND(K73="Media",N73="Moderado"),AND(K73="Alta",N73="Leve"),AND(K73="Alta",N73="Menor")),"Moderado",IF(OR(AND(K73="Muy Baja",N73="Mayor"),AND(K73="Baja",N73="Mayor"),AND(K73="Media",N73="Mayor"),AND(K73="Alta",N73="Moderado"),AND(K73="Alta",N73="Mayor"),AND(K73="Muy Alta",N73="Leve"),AND(K73="Muy Alta",N73="Menor"),AND(K73="Muy Alta",N73="Moderado"),AND(K73="Muy Alta",N73="Mayor")),"Alto",IF(OR(AND(K73="Muy Baja",N73="Catastrófico"),AND(K73="Baja",N73="Catastrófico"),AND(K73="Media",N73="Catastrófico"),AND(K73="Alta",N73="Catastrófico"),AND(K73="Muy Alta",N73="Catastrófico")),"Extremo",""))))</f>
        <v>Extremo</v>
      </c>
      <c r="Q73" s="248">
        <v>1</v>
      </c>
      <c r="R73" s="321" t="s">
        <v>1077</v>
      </c>
      <c r="S73" s="245" t="s">
        <v>293</v>
      </c>
      <c r="T73" s="245" t="s">
        <v>784</v>
      </c>
      <c r="U73" s="322" t="str">
        <f>IF(OR(V73="Preventivo",V73="Detectivo"),"Probabilidad",IF(V73="Correctivo","Impacto",""))</f>
        <v>Probabilidad</v>
      </c>
      <c r="V73" s="323" t="s">
        <v>13</v>
      </c>
      <c r="W73" s="323" t="s">
        <v>8</v>
      </c>
      <c r="X73" s="324" t="str">
        <f t="shared" si="135"/>
        <v>40%</v>
      </c>
      <c r="Y73" s="323" t="s">
        <v>18</v>
      </c>
      <c r="Z73" s="323" t="s">
        <v>21</v>
      </c>
      <c r="AA73" s="323" t="s">
        <v>103</v>
      </c>
      <c r="AB73" s="325">
        <f>IFERROR(IF(U73="Probabilidad",(L73-(+L73*X73)),IF(U73="Impacto",L73,"")),"")</f>
        <v>0.36</v>
      </c>
      <c r="AC73" s="326" t="str">
        <f>IFERROR(IF(AB73="","",IF(AB73&lt;=0.2,"Muy Baja",IF(AB73&lt;=0.4,"Baja",IF(AB73&lt;=0.6,"Media",IF(AB73&lt;=0.8,"Alta","Muy Alta"))))),"")</f>
        <v>Baja</v>
      </c>
      <c r="AD73" s="324">
        <f>+AB73</f>
        <v>0.36</v>
      </c>
      <c r="AE73" s="326" t="str">
        <f>IFERROR(IF(AF73="","",IF(AF73&lt;=0.2,"Leve",IF(AF73&lt;=0.4,"Menor",IF(AF73&lt;=0.6,"Moderado",IF(AF73&lt;=0.8,"Mayor","Catastrófico"))))),"")</f>
        <v>Catastrófico</v>
      </c>
      <c r="AF73" s="324">
        <f>IFERROR(IF(U73="Impacto",(O73-(+O73*X73)),IF(U73="Probabilidad",O73,"")),"")</f>
        <v>1</v>
      </c>
      <c r="AG73" s="328" t="str">
        <f>IFERROR(IF(OR(AND(AC73="Muy Baja",AE73="Leve"),AND(AC73="Muy Baja",AE73="Menor"),AND(AC73="Baja",AE73="Leve")),"Bajo",IF(OR(AND(AC73="Muy baja",AE73="Moderado"),AND(AC73="Baja",AE73="Menor"),AND(AC73="Baja",AE73="Moderado"),AND(AC73="Media",AE73="Leve"),AND(AC73="Media",AE73="Menor"),AND(AC73="Media",AE73="Moderado"),AND(AC73="Alta",AE73="Leve"),AND(AC73="Alta",AE73="Menor")),"Moderado",IF(OR(AND(AC73="Muy Baja",AE73="Mayor"),AND(AC73="Baja",AE73="Mayor"),AND(AC73="Media",AE73="Mayor"),AND(AC73="Alta",AE73="Moderado"),AND(AC73="Alta",AE73="Mayor"),AND(AC73="Muy Alta",AE73="Leve"),AND(AC73="Muy Alta",AE73="Menor"),AND(AC73="Muy Alta",AE73="Moderado"),AND(AC73="Muy Alta",AE73="Mayor")),"Alto",IF(OR(AND(AC73="Muy Baja",AE73="Catastrófico"),AND(AC73="Baja",AE73="Catastrófico"),AND(AC73="Media",AE73="Catastrófico"),AND(AC73="Alta",AE73="Catastrófico"),AND(AC73="Muy Alta",AE73="Catastrófico")),"Extremo","")))),"")</f>
        <v>Extremo</v>
      </c>
      <c r="AH73" s="323" t="s">
        <v>26</v>
      </c>
      <c r="AI73" s="329">
        <v>4</v>
      </c>
      <c r="AJ73" s="329">
        <v>1</v>
      </c>
      <c r="AK73" s="329">
        <v>1</v>
      </c>
      <c r="AL73" s="329">
        <v>2</v>
      </c>
      <c r="AM73" s="262"/>
      <c r="AN73" s="262"/>
      <c r="AO73" s="356"/>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3"/>
      <c r="CP73" s="273"/>
      <c r="CQ73" s="273"/>
      <c r="CR73" s="273"/>
    </row>
    <row r="74" spans="1:96" s="258" customFormat="1" ht="7.5" customHeight="1" x14ac:dyDescent="0.2">
      <c r="A74" s="581"/>
      <c r="B74" s="579"/>
      <c r="C74" s="452"/>
      <c r="D74" s="454"/>
      <c r="E74" s="454"/>
      <c r="F74" s="446"/>
      <c r="G74" s="456"/>
      <c r="H74" s="446"/>
      <c r="I74" s="446"/>
      <c r="J74" s="457"/>
      <c r="K74" s="447"/>
      <c r="L74" s="445"/>
      <c r="M74" s="447"/>
      <c r="N74" s="445"/>
      <c r="O74" s="445"/>
      <c r="P74" s="459"/>
      <c r="Q74" s="248">
        <v>2</v>
      </c>
      <c r="R74" s="321"/>
      <c r="S74" s="245"/>
      <c r="T74" s="245"/>
      <c r="U74" s="322" t="str">
        <f>IF(OR(V74="Preventivo",V74="Detectivo"),"Probabilidad",IF(V74="Correctivo","Impacto",""))</f>
        <v/>
      </c>
      <c r="V74" s="323"/>
      <c r="W74" s="323"/>
      <c r="X74" s="324" t="str">
        <f t="shared" si="135"/>
        <v/>
      </c>
      <c r="Y74" s="323"/>
      <c r="Z74" s="323"/>
      <c r="AA74" s="323"/>
      <c r="AB74" s="325" t="str">
        <f>IFERROR(IF(AND(U73="Probabilidad",U74="Probabilidad"),(AD73-(+AD73*X74)),IF(U74="Probabilidad",(L73-(+L73*X74)),IF(U74="Impacto",AD73,""))),"")</f>
        <v/>
      </c>
      <c r="AC74" s="326" t="str">
        <f t="shared" ref="AC74:AC78" si="140">IFERROR(IF(AB74="","",IF(AB74&lt;=0.2,"Muy Baja",IF(AB74&lt;=0.4,"Baja",IF(AB74&lt;=0.6,"Media",IF(AB74&lt;=0.8,"Alta","Muy Alta"))))),"")</f>
        <v/>
      </c>
      <c r="AD74" s="324" t="str">
        <f t="shared" ref="AD74:AD78" si="141">+AB74</f>
        <v/>
      </c>
      <c r="AE74" s="326" t="str">
        <f t="shared" ref="AE74:AE78" si="142">IFERROR(IF(AF74="","",IF(AF74&lt;=0.2,"Leve",IF(AF74&lt;=0.4,"Menor",IF(AF74&lt;=0.6,"Moderado",IF(AF74&lt;=0.8,"Mayor","Catastrófico"))))),"")</f>
        <v/>
      </c>
      <c r="AF74" s="324" t="str">
        <f>IFERROR(IF(AND(U73="Impacto",U74="Impacto"),(AF73-(+AF73*X74)),IF(U74="Impacto",($O$73-(+$O$73*X74)),IF(U74="Probabilidad",AF73,""))),"")</f>
        <v/>
      </c>
      <c r="AG74" s="328" t="str">
        <f t="shared" ref="AG74:AG75" si="143">IFERROR(IF(OR(AND(AC74="Muy Baja",AE74="Leve"),AND(AC74="Muy Baja",AE74="Menor"),AND(AC74="Baja",AE74="Leve")),"Bajo",IF(OR(AND(AC74="Muy baja",AE74="Moderado"),AND(AC74="Baja",AE74="Menor"),AND(AC74="Baja",AE74="Moderado"),AND(AC74="Media",AE74="Leve"),AND(AC74="Media",AE74="Menor"),AND(AC74="Media",AE74="Moderado"),AND(AC74="Alta",AE74="Leve"),AND(AC74="Alta",AE74="Menor")),"Moderado",IF(OR(AND(AC74="Muy Baja",AE74="Mayor"),AND(AC74="Baja",AE74="Mayor"),AND(AC74="Media",AE74="Mayor"),AND(AC74="Alta",AE74="Moderado"),AND(AC74="Alta",AE74="Mayor"),AND(AC74="Muy Alta",AE74="Leve"),AND(AC74="Muy Alta",AE74="Menor"),AND(AC74="Muy Alta",AE74="Moderado"),AND(AC74="Muy Alta",AE74="Mayor")),"Alto",IF(OR(AND(AC74="Muy Baja",AE74="Catastrófico"),AND(AC74="Baja",AE74="Catastrófico"),AND(AC74="Media",AE74="Catastrófico"),AND(AC74="Alta",AE74="Catastrófico"),AND(AC74="Muy Alta",AE74="Catastrófico")),"Extremo","")))),"")</f>
        <v/>
      </c>
      <c r="AH74" s="323"/>
      <c r="AI74" s="329"/>
      <c r="AJ74" s="329"/>
      <c r="AK74" s="329"/>
      <c r="AL74" s="329"/>
      <c r="AM74" s="355"/>
      <c r="AN74" s="355"/>
      <c r="AO74" s="356"/>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c r="CG74" s="273"/>
      <c r="CH74" s="273"/>
      <c r="CI74" s="273"/>
      <c r="CJ74" s="273"/>
      <c r="CK74" s="273"/>
      <c r="CL74" s="273"/>
      <c r="CM74" s="273"/>
      <c r="CN74" s="273"/>
      <c r="CO74" s="273"/>
      <c r="CP74" s="273"/>
      <c r="CQ74" s="273"/>
      <c r="CR74" s="273"/>
    </row>
    <row r="75" spans="1:96" s="258" customFormat="1" ht="5.25" customHeight="1" x14ac:dyDescent="0.2">
      <c r="A75" s="581"/>
      <c r="B75" s="579"/>
      <c r="C75" s="452"/>
      <c r="D75" s="454"/>
      <c r="E75" s="454"/>
      <c r="F75" s="446"/>
      <c r="G75" s="456"/>
      <c r="H75" s="446"/>
      <c r="I75" s="446"/>
      <c r="J75" s="457"/>
      <c r="K75" s="447"/>
      <c r="L75" s="445"/>
      <c r="M75" s="447"/>
      <c r="N75" s="445"/>
      <c r="O75" s="445"/>
      <c r="P75" s="459"/>
      <c r="Q75" s="248">
        <v>3</v>
      </c>
      <c r="R75" s="330"/>
      <c r="S75" s="245"/>
      <c r="T75" s="245"/>
      <c r="U75" s="322" t="str">
        <f>IF(OR(V75="Preventivo",V75="Detectivo"),"Probabilidad",IF(V75="Correctivo","Impacto",""))</f>
        <v/>
      </c>
      <c r="V75" s="323"/>
      <c r="W75" s="323"/>
      <c r="X75" s="324" t="str">
        <f>IF(AND(V75="Preventivo",W75="Automático"),"50%",IF(AND(V75="Preventivo",W75="Manual"),"40%",IF(AND(V75="Detectivo",W75="Automático"),"40%",IF(AND(V75="Detectivo",W75="Manual"),"30%",IF(AND(V75="Correctivo",W75="Automático"),"35%",IF(AND(V75="Correctivo",W75="Manual"),"25%",""))))))</f>
        <v/>
      </c>
      <c r="Y75" s="323"/>
      <c r="Z75" s="323"/>
      <c r="AA75" s="323"/>
      <c r="AB75" s="325" t="str">
        <f t="shared" ref="AB75:AB78" si="144">IFERROR(IF(AND(U74="Probabilidad",U75="Probabilidad"),(AD74-(+AD74*X75)),IF(AND(U74="Impacto",U75="Probabilidad"),(AD73-(+AD73*X75)),IF(U75="Impacto",AD74,""))),"")</f>
        <v/>
      </c>
      <c r="AC75" s="326" t="str">
        <f t="shared" si="140"/>
        <v/>
      </c>
      <c r="AD75" s="324" t="str">
        <f t="shared" si="141"/>
        <v/>
      </c>
      <c r="AE75" s="326" t="str">
        <f t="shared" si="142"/>
        <v/>
      </c>
      <c r="AF75" s="324" t="str">
        <f t="shared" ref="AF75:AF78" si="145">IFERROR(IF(AND(U74="Impacto",U75="Impacto"),(AF74-(+AF74*X75)),IF(U75="Impacto",($O$73-(+$O$73*X75)),IF(U75="Probabilidad",AF74,""))),"")</f>
        <v/>
      </c>
      <c r="AG75" s="328" t="str">
        <f t="shared" si="143"/>
        <v/>
      </c>
      <c r="AH75" s="323"/>
      <c r="AI75" s="329"/>
      <c r="AJ75" s="329"/>
      <c r="AK75" s="329"/>
      <c r="AL75" s="329"/>
      <c r="AM75" s="355"/>
      <c r="AN75" s="355"/>
      <c r="AO75" s="356"/>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c r="CG75" s="273"/>
      <c r="CH75" s="273"/>
      <c r="CI75" s="273"/>
      <c r="CJ75" s="273"/>
      <c r="CK75" s="273"/>
      <c r="CL75" s="273"/>
      <c r="CM75" s="273"/>
      <c r="CN75" s="273"/>
      <c r="CO75" s="273"/>
      <c r="CP75" s="273"/>
      <c r="CQ75" s="273"/>
      <c r="CR75" s="273"/>
    </row>
    <row r="76" spans="1:96" s="258" customFormat="1" ht="7.5" customHeight="1" x14ac:dyDescent="0.2">
      <c r="A76" s="581"/>
      <c r="B76" s="579"/>
      <c r="C76" s="452"/>
      <c r="D76" s="454"/>
      <c r="E76" s="454"/>
      <c r="F76" s="446"/>
      <c r="G76" s="456"/>
      <c r="H76" s="446"/>
      <c r="I76" s="446"/>
      <c r="J76" s="457"/>
      <c r="K76" s="447"/>
      <c r="L76" s="445"/>
      <c r="M76" s="447"/>
      <c r="N76" s="445"/>
      <c r="O76" s="445"/>
      <c r="P76" s="459"/>
      <c r="Q76" s="248">
        <v>4</v>
      </c>
      <c r="R76" s="321"/>
      <c r="S76" s="245"/>
      <c r="T76" s="245"/>
      <c r="U76" s="322" t="str">
        <f t="shared" ref="U76:U78" si="146">IF(OR(V76="Preventivo",V76="Detectivo"),"Probabilidad",IF(V76="Correctivo","Impacto",""))</f>
        <v/>
      </c>
      <c r="V76" s="323"/>
      <c r="W76" s="323"/>
      <c r="X76" s="324" t="str">
        <f t="shared" ref="X76:X102" si="147">IF(AND(V76="Preventivo",W76="Automático"),"50%",IF(AND(V76="Preventivo",W76="Manual"),"40%",IF(AND(V76="Detectivo",W76="Automático"),"40%",IF(AND(V76="Detectivo",W76="Manual"),"30%",IF(AND(V76="Correctivo",W76="Automático"),"35%",IF(AND(V76="Correctivo",W76="Manual"),"25%",""))))))</f>
        <v/>
      </c>
      <c r="Y76" s="323"/>
      <c r="Z76" s="323"/>
      <c r="AA76" s="323"/>
      <c r="AB76" s="325" t="str">
        <f t="shared" si="144"/>
        <v/>
      </c>
      <c r="AC76" s="326" t="str">
        <f t="shared" si="140"/>
        <v/>
      </c>
      <c r="AD76" s="324" t="str">
        <f t="shared" si="141"/>
        <v/>
      </c>
      <c r="AE76" s="326" t="str">
        <f t="shared" si="142"/>
        <v/>
      </c>
      <c r="AF76" s="324" t="str">
        <f t="shared" si="145"/>
        <v/>
      </c>
      <c r="AG76" s="328" t="str">
        <f>IFERROR(IF(OR(AND(AC76="Muy Baja",AE76="Leve"),AND(AC76="Muy Baja",AE76="Menor"),AND(AC76="Baja",AE76="Leve")),"Bajo",IF(OR(AND(AC76="Muy baja",AE76="Moderado"),AND(AC76="Baja",AE76="Menor"),AND(AC76="Baja",AE76="Moderado"),AND(AC76="Media",AE76="Leve"),AND(AC76="Media",AE76="Menor"),AND(AC76="Media",AE76="Moderado"),AND(AC76="Alta",AE76="Leve"),AND(AC76="Alta",AE76="Menor")),"Moderado",IF(OR(AND(AC76="Muy Baja",AE76="Mayor"),AND(AC76="Baja",AE76="Mayor"),AND(AC76="Media",AE76="Mayor"),AND(AC76="Alta",AE76="Moderado"),AND(AC76="Alta",AE76="Mayor"),AND(AC76="Muy Alta",AE76="Leve"),AND(AC76="Muy Alta",AE76="Menor"),AND(AC76="Muy Alta",AE76="Moderado"),AND(AC76="Muy Alta",AE76="Mayor")),"Alto",IF(OR(AND(AC76="Muy Baja",AE76="Catastrófico"),AND(AC76="Baja",AE76="Catastrófico"),AND(AC76="Media",AE76="Catastrófico"),AND(AC76="Alta",AE76="Catastrófico"),AND(AC76="Muy Alta",AE76="Catastrófico")),"Extremo","")))),"")</f>
        <v/>
      </c>
      <c r="AH76" s="323"/>
      <c r="AI76" s="329"/>
      <c r="AJ76" s="329"/>
      <c r="AK76" s="329"/>
      <c r="AL76" s="329"/>
      <c r="AM76" s="360"/>
      <c r="AN76" s="360"/>
      <c r="AO76" s="352"/>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c r="CG76" s="273"/>
      <c r="CH76" s="273"/>
      <c r="CI76" s="273"/>
      <c r="CJ76" s="273"/>
      <c r="CK76" s="273"/>
      <c r="CL76" s="273"/>
      <c r="CM76" s="273"/>
      <c r="CN76" s="273"/>
      <c r="CO76" s="273"/>
      <c r="CP76" s="273"/>
      <c r="CQ76" s="273"/>
      <c r="CR76" s="273"/>
    </row>
    <row r="77" spans="1:96" s="258" customFormat="1" ht="7.5" customHeight="1" x14ac:dyDescent="0.2">
      <c r="A77" s="581"/>
      <c r="B77" s="579"/>
      <c r="C77" s="452"/>
      <c r="D77" s="454"/>
      <c r="E77" s="454"/>
      <c r="F77" s="446"/>
      <c r="G77" s="456"/>
      <c r="H77" s="446"/>
      <c r="I77" s="446"/>
      <c r="J77" s="457"/>
      <c r="K77" s="447"/>
      <c r="L77" s="445"/>
      <c r="M77" s="447"/>
      <c r="N77" s="445"/>
      <c r="O77" s="445"/>
      <c r="P77" s="459"/>
      <c r="Q77" s="248">
        <v>5</v>
      </c>
      <c r="R77" s="321"/>
      <c r="S77" s="245"/>
      <c r="T77" s="245"/>
      <c r="U77" s="322" t="str">
        <f t="shared" si="146"/>
        <v/>
      </c>
      <c r="V77" s="323"/>
      <c r="W77" s="323"/>
      <c r="X77" s="324" t="str">
        <f t="shared" si="147"/>
        <v/>
      </c>
      <c r="Y77" s="323"/>
      <c r="Z77" s="323"/>
      <c r="AA77" s="323"/>
      <c r="AB77" s="325" t="str">
        <f t="shared" si="144"/>
        <v/>
      </c>
      <c r="AC77" s="326" t="str">
        <f t="shared" si="140"/>
        <v/>
      </c>
      <c r="AD77" s="324" t="str">
        <f t="shared" si="141"/>
        <v/>
      </c>
      <c r="AE77" s="326" t="str">
        <f t="shared" si="142"/>
        <v/>
      </c>
      <c r="AF77" s="324" t="str">
        <f t="shared" si="145"/>
        <v/>
      </c>
      <c r="AG77" s="328" t="str">
        <f t="shared" ref="AG77:AG78" si="148">IFERROR(IF(OR(AND(AC77="Muy Baja",AE77="Leve"),AND(AC77="Muy Baja",AE77="Menor"),AND(AC77="Baja",AE77="Leve")),"Bajo",IF(OR(AND(AC77="Muy baja",AE77="Moderado"),AND(AC77="Baja",AE77="Menor"),AND(AC77="Baja",AE77="Moderado"),AND(AC77="Media",AE77="Leve"),AND(AC77="Media",AE77="Menor"),AND(AC77="Media",AE77="Moderado"),AND(AC77="Alta",AE77="Leve"),AND(AC77="Alta",AE77="Menor")),"Moderado",IF(OR(AND(AC77="Muy Baja",AE77="Mayor"),AND(AC77="Baja",AE77="Mayor"),AND(AC77="Media",AE77="Mayor"),AND(AC77="Alta",AE77="Moderado"),AND(AC77="Alta",AE77="Mayor"),AND(AC77="Muy Alta",AE77="Leve"),AND(AC77="Muy Alta",AE77="Menor"),AND(AC77="Muy Alta",AE77="Moderado"),AND(AC77="Muy Alta",AE77="Mayor")),"Alto",IF(OR(AND(AC77="Muy Baja",AE77="Catastrófico"),AND(AC77="Baja",AE77="Catastrófico"),AND(AC77="Media",AE77="Catastrófico"),AND(AC77="Alta",AE77="Catastrófico"),AND(AC77="Muy Alta",AE77="Catastrófico")),"Extremo","")))),"")</f>
        <v/>
      </c>
      <c r="AH77" s="323"/>
      <c r="AI77" s="329"/>
      <c r="AJ77" s="329"/>
      <c r="AK77" s="329"/>
      <c r="AL77" s="329"/>
      <c r="AM77" s="356"/>
      <c r="AN77" s="356"/>
      <c r="AO77" s="357"/>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c r="CG77" s="273"/>
      <c r="CH77" s="273"/>
      <c r="CI77" s="273"/>
      <c r="CJ77" s="273"/>
      <c r="CK77" s="273"/>
      <c r="CL77" s="273"/>
      <c r="CM77" s="273"/>
      <c r="CN77" s="273"/>
      <c r="CO77" s="273"/>
      <c r="CP77" s="273"/>
      <c r="CQ77" s="273"/>
      <c r="CR77" s="273"/>
    </row>
    <row r="78" spans="1:96" s="258" customFormat="1" ht="7.5" customHeight="1" x14ac:dyDescent="0.2">
      <c r="A78" s="581"/>
      <c r="B78" s="579"/>
      <c r="C78" s="452"/>
      <c r="D78" s="454"/>
      <c r="E78" s="454"/>
      <c r="F78" s="446"/>
      <c r="G78" s="456"/>
      <c r="H78" s="446"/>
      <c r="I78" s="446"/>
      <c r="J78" s="457"/>
      <c r="K78" s="447"/>
      <c r="L78" s="445"/>
      <c r="M78" s="447"/>
      <c r="N78" s="445"/>
      <c r="O78" s="445"/>
      <c r="P78" s="459"/>
      <c r="Q78" s="248">
        <v>6</v>
      </c>
      <c r="R78" s="321"/>
      <c r="S78" s="245"/>
      <c r="T78" s="245"/>
      <c r="U78" s="322" t="str">
        <f t="shared" si="146"/>
        <v/>
      </c>
      <c r="V78" s="323"/>
      <c r="W78" s="323"/>
      <c r="X78" s="324" t="str">
        <f t="shared" si="147"/>
        <v/>
      </c>
      <c r="Y78" s="323"/>
      <c r="Z78" s="323"/>
      <c r="AA78" s="323"/>
      <c r="AB78" s="325" t="str">
        <f t="shared" si="144"/>
        <v/>
      </c>
      <c r="AC78" s="326" t="str">
        <f t="shared" si="140"/>
        <v/>
      </c>
      <c r="AD78" s="324" t="str">
        <f t="shared" si="141"/>
        <v/>
      </c>
      <c r="AE78" s="326" t="str">
        <f t="shared" si="142"/>
        <v/>
      </c>
      <c r="AF78" s="324" t="str">
        <f t="shared" si="145"/>
        <v/>
      </c>
      <c r="AG78" s="328" t="str">
        <f t="shared" si="148"/>
        <v/>
      </c>
      <c r="AH78" s="323"/>
      <c r="AI78" s="329"/>
      <c r="AJ78" s="329"/>
      <c r="AK78" s="329"/>
      <c r="AL78" s="329"/>
      <c r="AM78" s="356"/>
      <c r="AN78" s="356"/>
      <c r="AO78" s="357"/>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c r="CG78" s="273"/>
      <c r="CH78" s="273"/>
      <c r="CI78" s="273"/>
      <c r="CJ78" s="273"/>
      <c r="CK78" s="273"/>
      <c r="CL78" s="273"/>
      <c r="CM78" s="273"/>
      <c r="CN78" s="273"/>
      <c r="CO78" s="273"/>
      <c r="CP78" s="273"/>
      <c r="CQ78" s="273"/>
      <c r="CR78" s="273"/>
    </row>
    <row r="79" spans="1:96" s="261" customFormat="1" ht="130.5" customHeight="1" x14ac:dyDescent="0.2">
      <c r="A79" s="581" t="s">
        <v>757</v>
      </c>
      <c r="B79" s="579" t="s">
        <v>830</v>
      </c>
      <c r="C79" s="452" t="s">
        <v>280</v>
      </c>
      <c r="D79" s="454" t="s">
        <v>619</v>
      </c>
      <c r="E79" s="454" t="s">
        <v>803</v>
      </c>
      <c r="F79" s="446" t="s">
        <v>675</v>
      </c>
      <c r="G79" s="456" t="s">
        <v>953</v>
      </c>
      <c r="H79" s="446" t="s">
        <v>233</v>
      </c>
      <c r="I79" s="446" t="s">
        <v>777</v>
      </c>
      <c r="J79" s="457">
        <v>500</v>
      </c>
      <c r="K79" s="447" t="str">
        <f t="shared" si="114"/>
        <v>Media</v>
      </c>
      <c r="L79" s="445">
        <f t="shared" ref="L79" si="149">IF(K79="","",IF(K79="Muy Baja",0.2,IF(K79="Baja",0.4,IF(K79="Media",0.6,IF(K79="Alta",0.8,IF(K79="Muy Alta",1,))))))</f>
        <v>0.6</v>
      </c>
      <c r="M79" s="447">
        <v>5</v>
      </c>
      <c r="N79" s="445" t="str">
        <f t="shared" ref="N79" si="150">IF(M79=1,"INSIGNIFICANTE",IF(M79=2,"Menor",IF(M79=3,"Moderado",IF(M79=4,"MAYOR",IF(M79=5,"Catastrófico",IF(M79=""," "))))))</f>
        <v>Catastrófico</v>
      </c>
      <c r="O79" s="445">
        <f t="shared" ref="O79" si="151">IF(N79="","",IF(N79="Leve",0.2,IF(N79="Menor",0.4,IF(N79="Moderado",0.6,IF(N79="Mayor",0.8,IF(N79="Catastrófico",1,))))))</f>
        <v>1</v>
      </c>
      <c r="P79" s="459" t="str">
        <f t="shared" si="139"/>
        <v>Extremo</v>
      </c>
      <c r="Q79" s="248">
        <v>1</v>
      </c>
      <c r="R79" s="321" t="s">
        <v>804</v>
      </c>
      <c r="S79" s="245" t="s">
        <v>293</v>
      </c>
      <c r="T79" s="245" t="s">
        <v>758</v>
      </c>
      <c r="U79" s="322" t="str">
        <f>IF(OR(V79="Preventivo",V79="Detectivo"),"Probabilidad",IF(V79="Correctivo","Impacto",""))</f>
        <v>Probabilidad</v>
      </c>
      <c r="V79" s="323" t="s">
        <v>13</v>
      </c>
      <c r="W79" s="323" t="s">
        <v>8</v>
      </c>
      <c r="X79" s="324" t="str">
        <f t="shared" si="147"/>
        <v>40%</v>
      </c>
      <c r="Y79" s="323" t="s">
        <v>18</v>
      </c>
      <c r="Z79" s="323" t="s">
        <v>21</v>
      </c>
      <c r="AA79" s="323" t="s">
        <v>103</v>
      </c>
      <c r="AB79" s="325">
        <f>IFERROR(IF(U79="Probabilidad",(L79-(+L79*X79)),IF(U79="Impacto",L79,"")),"")</f>
        <v>0.36</v>
      </c>
      <c r="AC79" s="326" t="str">
        <f>IFERROR(IF(AB79="","",IF(AB79&lt;=0.2,"Muy Baja",IF(AB79&lt;=0.4,"Baja",IF(AB79&lt;=0.6,"Media",IF(AB79&lt;=0.8,"Alta","Muy Alta"))))),"")</f>
        <v>Baja</v>
      </c>
      <c r="AD79" s="324">
        <f>+AB79</f>
        <v>0.36</v>
      </c>
      <c r="AE79" s="326" t="str">
        <f>IFERROR(IF(AF79="","",IF(AF79&lt;=0.2,"Leve",IF(AF79&lt;=0.4,"Menor",IF(AF79&lt;=0.6,"Moderado",IF(AF79&lt;=0.8,"Mayor","Catastrófico"))))),"")</f>
        <v>Catastrófico</v>
      </c>
      <c r="AF79" s="324">
        <f>IFERROR(IF(U79="Impacto",(O79-(+O79*X79)),IF(U79="Probabilidad",O79,"")),"")</f>
        <v>1</v>
      </c>
      <c r="AG79" s="328" t="str">
        <f>IFERROR(IF(OR(AND(AC79="Muy Baja",AE79="Leve"),AND(AC79="Muy Baja",AE79="Menor"),AND(AC79="Baja",AE79="Leve")),"Bajo",IF(OR(AND(AC79="Muy baja",AE79="Moderado"),AND(AC79="Baja",AE79="Menor"),AND(AC79="Baja",AE79="Moderado"),AND(AC79="Media",AE79="Leve"),AND(AC79="Media",AE79="Menor"),AND(AC79="Media",AE79="Moderado"),AND(AC79="Alta",AE79="Leve"),AND(AC79="Alta",AE79="Menor")),"Moderado",IF(OR(AND(AC79="Muy Baja",AE79="Mayor"),AND(AC79="Baja",AE79="Mayor"),AND(AC79="Media",AE79="Mayor"),AND(AC79="Alta",AE79="Moderado"),AND(AC79="Alta",AE79="Mayor"),AND(AC79="Muy Alta",AE79="Leve"),AND(AC79="Muy Alta",AE79="Menor"),AND(AC79="Muy Alta",AE79="Moderado"),AND(AC79="Muy Alta",AE79="Mayor")),"Alto",IF(OR(AND(AC79="Muy Baja",AE79="Catastrófico"),AND(AC79="Baja",AE79="Catastrófico"),AND(AC79="Media",AE79="Catastrófico"),AND(AC79="Alta",AE79="Catastrófico"),AND(AC79="Muy Alta",AE79="Catastrófico")),"Extremo","")))),"")</f>
        <v>Extremo</v>
      </c>
      <c r="AH79" s="323" t="s">
        <v>26</v>
      </c>
      <c r="AI79" s="329">
        <v>9</v>
      </c>
      <c r="AJ79" s="329">
        <v>1</v>
      </c>
      <c r="AK79" s="329">
        <v>4</v>
      </c>
      <c r="AL79" s="329">
        <v>4</v>
      </c>
      <c r="AM79" s="262"/>
      <c r="AN79" s="262"/>
      <c r="AO79" s="356"/>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3"/>
      <c r="CM79" s="273"/>
      <c r="CN79" s="273"/>
      <c r="CO79" s="273"/>
      <c r="CP79" s="273"/>
      <c r="CQ79" s="273"/>
      <c r="CR79" s="273"/>
    </row>
    <row r="80" spans="1:96" s="258" customFormat="1" ht="161.25" customHeight="1" x14ac:dyDescent="0.2">
      <c r="A80" s="581"/>
      <c r="B80" s="579"/>
      <c r="C80" s="452"/>
      <c r="D80" s="454"/>
      <c r="E80" s="454"/>
      <c r="F80" s="446"/>
      <c r="G80" s="456"/>
      <c r="H80" s="446"/>
      <c r="I80" s="446"/>
      <c r="J80" s="457"/>
      <c r="K80" s="447"/>
      <c r="L80" s="445"/>
      <c r="M80" s="447"/>
      <c r="N80" s="445"/>
      <c r="O80" s="445"/>
      <c r="P80" s="459"/>
      <c r="Q80" s="248">
        <v>2</v>
      </c>
      <c r="R80" s="321" t="s">
        <v>805</v>
      </c>
      <c r="S80" s="245" t="s">
        <v>293</v>
      </c>
      <c r="T80" s="245" t="s">
        <v>759</v>
      </c>
      <c r="U80" s="322" t="str">
        <f>IF(OR(V80="Preventivo",V80="Detectivo"),"Probabilidad",IF(V80="Correctivo","Impacto",""))</f>
        <v>Probabilidad</v>
      </c>
      <c r="V80" s="323" t="s">
        <v>13</v>
      </c>
      <c r="W80" s="323" t="s">
        <v>8</v>
      </c>
      <c r="X80" s="324" t="str">
        <f t="shared" si="147"/>
        <v>40%</v>
      </c>
      <c r="Y80" s="323" t="s">
        <v>18</v>
      </c>
      <c r="Z80" s="323" t="s">
        <v>21</v>
      </c>
      <c r="AA80" s="323" t="s">
        <v>103</v>
      </c>
      <c r="AB80" s="325">
        <f>IFERROR(IF(AND(U79="Probabilidad",U80="Probabilidad"),(AD79-(+AD79*X80)),IF(U80="Probabilidad",(L79-(+L79*X80)),IF(U80="Impacto",AD79,""))),"")</f>
        <v>0.216</v>
      </c>
      <c r="AC80" s="326" t="str">
        <f t="shared" ref="AC80:AC102" si="152">IFERROR(IF(AB80="","",IF(AB80&lt;=0.2,"Muy Baja",IF(AB80&lt;=0.4,"Baja",IF(AB80&lt;=0.6,"Media",IF(AB80&lt;=0.8,"Alta","Muy Alta"))))),"")</f>
        <v>Baja</v>
      </c>
      <c r="AD80" s="324">
        <f t="shared" ref="AD80:AD84" si="153">+AB80</f>
        <v>0.216</v>
      </c>
      <c r="AE80" s="326" t="str">
        <f t="shared" ref="AE80:AE102" si="154">IFERROR(IF(AF80="","",IF(AF80&lt;=0.2,"Leve",IF(AF80&lt;=0.4,"Menor",IF(AF80&lt;=0.6,"Moderado",IF(AF80&lt;=0.8,"Mayor","Catastrófico"))))),"")</f>
        <v>Catastrófico</v>
      </c>
      <c r="AF80" s="324">
        <f>IFERROR(IF(AND(U79="Impacto",U80="Impacto"),(AF79-(+AF79*X80)),IF(U80="Impacto",($O$79-(+$O$79*X80)),IF(U80="Probabilidad",AF79,""))),"")</f>
        <v>1</v>
      </c>
      <c r="AG80" s="328" t="str">
        <f t="shared" ref="AG80:AG81" si="155">IFERROR(IF(OR(AND(AC80="Muy Baja",AE80="Leve"),AND(AC80="Muy Baja",AE80="Menor"),AND(AC80="Baja",AE80="Leve")),"Bajo",IF(OR(AND(AC80="Muy baja",AE80="Moderado"),AND(AC80="Baja",AE80="Menor"),AND(AC80="Baja",AE80="Moderado"),AND(AC80="Media",AE80="Leve"),AND(AC80="Media",AE80="Menor"),AND(AC80="Media",AE80="Moderado"),AND(AC80="Alta",AE80="Leve"),AND(AC80="Alta",AE80="Menor")),"Moderado",IF(OR(AND(AC80="Muy Baja",AE80="Mayor"),AND(AC80="Baja",AE80="Mayor"),AND(AC80="Media",AE80="Mayor"),AND(AC80="Alta",AE80="Moderado"),AND(AC80="Alta",AE80="Mayor"),AND(AC80="Muy Alta",AE80="Leve"),AND(AC80="Muy Alta",AE80="Menor"),AND(AC80="Muy Alta",AE80="Moderado"),AND(AC80="Muy Alta",AE80="Mayor")),"Alto",IF(OR(AND(AC80="Muy Baja",AE80="Catastrófico"),AND(AC80="Baja",AE80="Catastrófico"),AND(AC80="Media",AE80="Catastrófico"),AND(AC80="Alta",AE80="Catastrófico"),AND(AC80="Muy Alta",AE80="Catastrófico")),"Extremo","")))),"")</f>
        <v>Extremo</v>
      </c>
      <c r="AH80" s="323" t="s">
        <v>26</v>
      </c>
      <c r="AI80" s="329">
        <v>2</v>
      </c>
      <c r="AJ80" s="329">
        <v>0</v>
      </c>
      <c r="AK80" s="329">
        <v>1</v>
      </c>
      <c r="AL80" s="329">
        <v>1</v>
      </c>
      <c r="AM80" s="355"/>
      <c r="AN80" s="355"/>
      <c r="AO80" s="356"/>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3"/>
      <c r="CM80" s="273"/>
      <c r="CN80" s="273"/>
      <c r="CO80" s="273"/>
      <c r="CP80" s="273"/>
      <c r="CQ80" s="273"/>
      <c r="CR80" s="273"/>
    </row>
    <row r="81" spans="1:96" s="258" customFormat="1" ht="4.5" customHeight="1" x14ac:dyDescent="0.2">
      <c r="A81" s="581"/>
      <c r="B81" s="579"/>
      <c r="C81" s="452"/>
      <c r="D81" s="454"/>
      <c r="E81" s="454"/>
      <c r="F81" s="446"/>
      <c r="G81" s="456"/>
      <c r="H81" s="446"/>
      <c r="I81" s="446"/>
      <c r="J81" s="457"/>
      <c r="K81" s="447"/>
      <c r="L81" s="445"/>
      <c r="M81" s="447"/>
      <c r="N81" s="445"/>
      <c r="O81" s="445"/>
      <c r="P81" s="459"/>
      <c r="Q81" s="248">
        <v>3</v>
      </c>
      <c r="R81" s="330"/>
      <c r="S81" s="245"/>
      <c r="T81" s="245"/>
      <c r="U81" s="322" t="str">
        <f>IF(OR(V81="Preventivo",V81="Detectivo"),"Probabilidad",IF(V81="Correctivo","Impacto",""))</f>
        <v/>
      </c>
      <c r="V81" s="323"/>
      <c r="W81" s="323"/>
      <c r="X81" s="324" t="str">
        <f>IF(AND(V81="Preventivo",W81="Automático"),"50%",IF(AND(V81="Preventivo",W81="Manual"),"40%",IF(AND(V81="Detectivo",W81="Automático"),"40%",IF(AND(V81="Detectivo",W81="Manual"),"30%",IF(AND(V81="Correctivo",W81="Automático"),"35%",IF(AND(V81="Correctivo",W81="Manual"),"25%",""))))))</f>
        <v/>
      </c>
      <c r="Y81" s="323"/>
      <c r="Z81" s="323"/>
      <c r="AA81" s="323"/>
      <c r="AB81" s="325" t="str">
        <f t="shared" ref="AB81:AB102" si="156">IFERROR(IF(AND(U80="Probabilidad",U81="Probabilidad"),(AD80-(+AD80*X81)),IF(AND(U80="Impacto",U81="Probabilidad"),(AD79-(+AD79*X81)),IF(U81="Impacto",AD80,""))),"")</f>
        <v/>
      </c>
      <c r="AC81" s="326" t="str">
        <f t="shared" si="152"/>
        <v/>
      </c>
      <c r="AD81" s="324" t="str">
        <f t="shared" si="153"/>
        <v/>
      </c>
      <c r="AE81" s="326" t="str">
        <f t="shared" si="154"/>
        <v/>
      </c>
      <c r="AF81" s="324" t="str">
        <f t="shared" ref="AF81:AF84" si="157">IFERROR(IF(AND(U80="Impacto",U81="Impacto"),(AF80-(+AF80*X81)),IF(U81="Impacto",($O$79-(+$O$79*X81)),IF(U81="Probabilidad",AF80,""))),"")</f>
        <v/>
      </c>
      <c r="AG81" s="328" t="str">
        <f t="shared" si="155"/>
        <v/>
      </c>
      <c r="AH81" s="323"/>
      <c r="AI81" s="329"/>
      <c r="AJ81" s="329"/>
      <c r="AK81" s="329"/>
      <c r="AL81" s="329"/>
      <c r="AM81" s="355"/>
      <c r="AN81" s="355"/>
      <c r="AO81" s="356"/>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3"/>
      <c r="CM81" s="273"/>
      <c r="CN81" s="273"/>
      <c r="CO81" s="273"/>
      <c r="CP81" s="273"/>
      <c r="CQ81" s="273"/>
      <c r="CR81" s="273"/>
    </row>
    <row r="82" spans="1:96" s="258" customFormat="1" ht="4.5" customHeight="1" x14ac:dyDescent="0.2">
      <c r="A82" s="581"/>
      <c r="B82" s="579"/>
      <c r="C82" s="452"/>
      <c r="D82" s="454"/>
      <c r="E82" s="454"/>
      <c r="F82" s="446"/>
      <c r="G82" s="456"/>
      <c r="H82" s="446"/>
      <c r="I82" s="446"/>
      <c r="J82" s="457"/>
      <c r="K82" s="447"/>
      <c r="L82" s="445"/>
      <c r="M82" s="447"/>
      <c r="N82" s="445"/>
      <c r="O82" s="445"/>
      <c r="P82" s="459"/>
      <c r="Q82" s="248">
        <v>4</v>
      </c>
      <c r="R82" s="321"/>
      <c r="S82" s="245"/>
      <c r="T82" s="245"/>
      <c r="U82" s="322" t="str">
        <f t="shared" ref="U82:U84" si="158">IF(OR(V82="Preventivo",V82="Detectivo"),"Probabilidad",IF(V82="Correctivo","Impacto",""))</f>
        <v/>
      </c>
      <c r="V82" s="323"/>
      <c r="W82" s="323"/>
      <c r="X82" s="324" t="str">
        <f t="shared" si="147"/>
        <v/>
      </c>
      <c r="Y82" s="323"/>
      <c r="Z82" s="323"/>
      <c r="AA82" s="323"/>
      <c r="AB82" s="325" t="str">
        <f t="shared" si="156"/>
        <v/>
      </c>
      <c r="AC82" s="326" t="str">
        <f t="shared" si="152"/>
        <v/>
      </c>
      <c r="AD82" s="324" t="str">
        <f t="shared" si="153"/>
        <v/>
      </c>
      <c r="AE82" s="326" t="str">
        <f t="shared" si="154"/>
        <v/>
      </c>
      <c r="AF82" s="324" t="str">
        <f t="shared" si="157"/>
        <v/>
      </c>
      <c r="AG82" s="328" t="str">
        <f>IFERROR(IF(OR(AND(AC82="Muy Baja",AE82="Leve"),AND(AC82="Muy Baja",AE82="Menor"),AND(AC82="Baja",AE82="Leve")),"Bajo",IF(OR(AND(AC82="Muy baja",AE82="Moderado"),AND(AC82="Baja",AE82="Menor"),AND(AC82="Baja",AE82="Moderado"),AND(AC82="Media",AE82="Leve"),AND(AC82="Media",AE82="Menor"),AND(AC82="Media",AE82="Moderado"),AND(AC82="Alta",AE82="Leve"),AND(AC82="Alta",AE82="Menor")),"Moderado",IF(OR(AND(AC82="Muy Baja",AE82="Mayor"),AND(AC82="Baja",AE82="Mayor"),AND(AC82="Media",AE82="Mayor"),AND(AC82="Alta",AE82="Moderado"),AND(AC82="Alta",AE82="Mayor"),AND(AC82="Muy Alta",AE82="Leve"),AND(AC82="Muy Alta",AE82="Menor"),AND(AC82="Muy Alta",AE82="Moderado"),AND(AC82="Muy Alta",AE82="Mayor")),"Alto",IF(OR(AND(AC82="Muy Baja",AE82="Catastrófico"),AND(AC82="Baja",AE82="Catastrófico"),AND(AC82="Media",AE82="Catastrófico"),AND(AC82="Alta",AE82="Catastrófico"),AND(AC82="Muy Alta",AE82="Catastrófico")),"Extremo","")))),"")</f>
        <v/>
      </c>
      <c r="AH82" s="323"/>
      <c r="AI82" s="329"/>
      <c r="AJ82" s="329"/>
      <c r="AK82" s="329"/>
      <c r="AL82" s="329"/>
      <c r="AM82" s="360"/>
      <c r="AN82" s="360"/>
      <c r="AO82" s="352"/>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c r="CG82" s="273"/>
      <c r="CH82" s="273"/>
      <c r="CI82" s="273"/>
      <c r="CJ82" s="273"/>
      <c r="CK82" s="273"/>
      <c r="CL82" s="273"/>
      <c r="CM82" s="273"/>
      <c r="CN82" s="273"/>
      <c r="CO82" s="273"/>
      <c r="CP82" s="273"/>
      <c r="CQ82" s="273"/>
      <c r="CR82" s="273"/>
    </row>
    <row r="83" spans="1:96" s="258" customFormat="1" ht="4.5" customHeight="1" x14ac:dyDescent="0.2">
      <c r="A83" s="581"/>
      <c r="B83" s="579"/>
      <c r="C83" s="452"/>
      <c r="D83" s="454"/>
      <c r="E83" s="454"/>
      <c r="F83" s="446"/>
      <c r="G83" s="456"/>
      <c r="H83" s="446"/>
      <c r="I83" s="446"/>
      <c r="J83" s="457"/>
      <c r="K83" s="447"/>
      <c r="L83" s="445"/>
      <c r="M83" s="447"/>
      <c r="N83" s="445"/>
      <c r="O83" s="445"/>
      <c r="P83" s="459"/>
      <c r="Q83" s="248">
        <v>5</v>
      </c>
      <c r="R83" s="321"/>
      <c r="S83" s="245"/>
      <c r="T83" s="245"/>
      <c r="U83" s="322" t="str">
        <f t="shared" si="158"/>
        <v/>
      </c>
      <c r="V83" s="323"/>
      <c r="W83" s="323"/>
      <c r="X83" s="324" t="str">
        <f t="shared" si="147"/>
        <v/>
      </c>
      <c r="Y83" s="323"/>
      <c r="Z83" s="323"/>
      <c r="AA83" s="323"/>
      <c r="AB83" s="325" t="str">
        <f t="shared" si="156"/>
        <v/>
      </c>
      <c r="AC83" s="326" t="str">
        <f t="shared" si="152"/>
        <v/>
      </c>
      <c r="AD83" s="324" t="str">
        <f t="shared" si="153"/>
        <v/>
      </c>
      <c r="AE83" s="326" t="str">
        <f t="shared" si="154"/>
        <v/>
      </c>
      <c r="AF83" s="324" t="str">
        <f t="shared" si="157"/>
        <v/>
      </c>
      <c r="AG83" s="328" t="str">
        <f t="shared" ref="AG83:AG84" si="159">IFERROR(IF(OR(AND(AC83="Muy Baja",AE83="Leve"),AND(AC83="Muy Baja",AE83="Menor"),AND(AC83="Baja",AE83="Leve")),"Bajo",IF(OR(AND(AC83="Muy baja",AE83="Moderado"),AND(AC83="Baja",AE83="Menor"),AND(AC83="Baja",AE83="Moderado"),AND(AC83="Media",AE83="Leve"),AND(AC83="Media",AE83="Menor"),AND(AC83="Media",AE83="Moderado"),AND(AC83="Alta",AE83="Leve"),AND(AC83="Alta",AE83="Menor")),"Moderado",IF(OR(AND(AC83="Muy Baja",AE83="Mayor"),AND(AC83="Baja",AE83="Mayor"),AND(AC83="Media",AE83="Mayor"),AND(AC83="Alta",AE83="Moderado"),AND(AC83="Alta",AE83="Mayor"),AND(AC83="Muy Alta",AE83="Leve"),AND(AC83="Muy Alta",AE83="Menor"),AND(AC83="Muy Alta",AE83="Moderado"),AND(AC83="Muy Alta",AE83="Mayor")),"Alto",IF(OR(AND(AC83="Muy Baja",AE83="Catastrófico"),AND(AC83="Baja",AE83="Catastrófico"),AND(AC83="Media",AE83="Catastrófico"),AND(AC83="Alta",AE83="Catastrófico"),AND(AC83="Muy Alta",AE83="Catastrófico")),"Extremo","")))),"")</f>
        <v/>
      </c>
      <c r="AH83" s="323"/>
      <c r="AI83" s="329"/>
      <c r="AJ83" s="329"/>
      <c r="AK83" s="329"/>
      <c r="AL83" s="329"/>
      <c r="AM83" s="356"/>
      <c r="AN83" s="356"/>
      <c r="AO83" s="357"/>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c r="CG83" s="273"/>
      <c r="CH83" s="273"/>
      <c r="CI83" s="273"/>
      <c r="CJ83" s="273"/>
      <c r="CK83" s="273"/>
      <c r="CL83" s="273"/>
      <c r="CM83" s="273"/>
      <c r="CN83" s="273"/>
      <c r="CO83" s="273"/>
      <c r="CP83" s="273"/>
      <c r="CQ83" s="273"/>
      <c r="CR83" s="273"/>
    </row>
    <row r="84" spans="1:96" s="258" customFormat="1" ht="4.5" customHeight="1" x14ac:dyDescent="0.2">
      <c r="A84" s="581"/>
      <c r="B84" s="579"/>
      <c r="C84" s="452"/>
      <c r="D84" s="454"/>
      <c r="E84" s="454"/>
      <c r="F84" s="446"/>
      <c r="G84" s="456"/>
      <c r="H84" s="446"/>
      <c r="I84" s="446"/>
      <c r="J84" s="457"/>
      <c r="K84" s="447"/>
      <c r="L84" s="445"/>
      <c r="M84" s="447"/>
      <c r="N84" s="445"/>
      <c r="O84" s="445"/>
      <c r="P84" s="459"/>
      <c r="Q84" s="248">
        <v>6</v>
      </c>
      <c r="R84" s="321"/>
      <c r="S84" s="245"/>
      <c r="T84" s="245"/>
      <c r="U84" s="322" t="str">
        <f t="shared" si="158"/>
        <v/>
      </c>
      <c r="V84" s="323"/>
      <c r="W84" s="323"/>
      <c r="X84" s="324" t="str">
        <f t="shared" si="147"/>
        <v/>
      </c>
      <c r="Y84" s="323"/>
      <c r="Z84" s="323"/>
      <c r="AA84" s="323"/>
      <c r="AB84" s="325" t="str">
        <f t="shared" si="156"/>
        <v/>
      </c>
      <c r="AC84" s="326" t="str">
        <f t="shared" si="152"/>
        <v/>
      </c>
      <c r="AD84" s="324" t="str">
        <f t="shared" si="153"/>
        <v/>
      </c>
      <c r="AE84" s="326" t="str">
        <f t="shared" si="154"/>
        <v/>
      </c>
      <c r="AF84" s="324" t="str">
        <f t="shared" si="157"/>
        <v/>
      </c>
      <c r="AG84" s="328" t="str">
        <f t="shared" si="159"/>
        <v/>
      </c>
      <c r="AH84" s="323"/>
      <c r="AI84" s="329"/>
      <c r="AJ84" s="329"/>
      <c r="AK84" s="329"/>
      <c r="AL84" s="329"/>
      <c r="AM84" s="356"/>
      <c r="AN84" s="356"/>
      <c r="AO84" s="357"/>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c r="CN84" s="273"/>
      <c r="CO84" s="273"/>
      <c r="CP84" s="273"/>
      <c r="CQ84" s="273"/>
      <c r="CR84" s="273"/>
    </row>
    <row r="85" spans="1:96" s="261" customFormat="1" ht="126.6" customHeight="1" x14ac:dyDescent="0.2">
      <c r="A85" s="581" t="s">
        <v>1017</v>
      </c>
      <c r="B85" s="579" t="s">
        <v>830</v>
      </c>
      <c r="C85" s="452" t="s">
        <v>612</v>
      </c>
      <c r="D85" s="454" t="s">
        <v>623</v>
      </c>
      <c r="E85" s="454" t="s">
        <v>963</v>
      </c>
      <c r="F85" s="446" t="s">
        <v>675</v>
      </c>
      <c r="G85" s="456" t="s">
        <v>969</v>
      </c>
      <c r="H85" s="446" t="s">
        <v>233</v>
      </c>
      <c r="I85" s="446" t="s">
        <v>964</v>
      </c>
      <c r="J85" s="457">
        <v>18</v>
      </c>
      <c r="K85" s="447" t="str">
        <f t="shared" si="114"/>
        <v>Baja</v>
      </c>
      <c r="L85" s="445">
        <f t="shared" ref="L85" si="160">IF(K85="","",IF(K85="Muy Baja",0.2,IF(K85="Baja",0.4,IF(K85="Media",0.6,IF(K85="Alta",0.8,IF(K85="Muy Alta",1,))))))</f>
        <v>0.4</v>
      </c>
      <c r="M85" s="447">
        <v>5</v>
      </c>
      <c r="N85" s="445" t="str">
        <f>IF(M85=1,"INSIGNIFICANTE",IF(M85=2,"Menor",IF(M85=3,"Moderado",IF(M85=4,"Mayor",IF(M85=5,"Catastrófico",IF(M85=""," "))))))</f>
        <v>Catastrófico</v>
      </c>
      <c r="O85" s="445">
        <f t="shared" ref="O85" si="161">IF(N85="","",IF(N85="Leve",0.2,IF(N85="Menor",0.4,IF(N85="Moderado",0.6,IF(N85="Mayor",0.8,IF(N85="Catastrófico",1,))))))</f>
        <v>1</v>
      </c>
      <c r="P85" s="459" t="str">
        <f t="shared" si="139"/>
        <v>Extremo</v>
      </c>
      <c r="Q85" s="248">
        <v>1</v>
      </c>
      <c r="R85" s="321" t="s">
        <v>1078</v>
      </c>
      <c r="S85" s="245" t="s">
        <v>293</v>
      </c>
      <c r="T85" s="274" t="s">
        <v>1079</v>
      </c>
      <c r="U85" s="322" t="str">
        <f>IF(OR(V85="Preventivo",V85="Detectivo"),"Probabilidad",IF(V85="Correctivo","Impacto",""))</f>
        <v>Probabilidad</v>
      </c>
      <c r="V85" s="323" t="s">
        <v>13</v>
      </c>
      <c r="W85" s="323" t="s">
        <v>8</v>
      </c>
      <c r="X85" s="324" t="str">
        <f t="shared" si="147"/>
        <v>40%</v>
      </c>
      <c r="Y85" s="323" t="s">
        <v>19</v>
      </c>
      <c r="Z85" s="323" t="s">
        <v>21</v>
      </c>
      <c r="AA85" s="323" t="s">
        <v>103</v>
      </c>
      <c r="AB85" s="325">
        <f>IFERROR(IF(U85="Probabilidad",(L85-(+L85*X85)),IF(U85="Impacto",L85,"")),"")</f>
        <v>0.24</v>
      </c>
      <c r="AC85" s="326" t="str">
        <f>IFERROR(IF(AB85="","",IF(AB85&lt;=0.2,"Muy Baja",IF(AB85&lt;=0.4,"Baja",IF(AB85&lt;=0.6,"Media",IF(AB85&lt;=0.8,"Alta","Muy Alta"))))),"")</f>
        <v>Baja</v>
      </c>
      <c r="AD85" s="324">
        <f>+AB85</f>
        <v>0.24</v>
      </c>
      <c r="AE85" s="326" t="str">
        <f>IFERROR(IF(AF85="","",IF(AF85&lt;=0.2,"Leve",IF(AF85&lt;=0.4,"Menor",IF(AF85&lt;=0.6,"Moderado",IF(AF85&lt;=0.8,"Mayor","Catastrófico"))))),"")</f>
        <v>Catastrófico</v>
      </c>
      <c r="AF85" s="324">
        <f>IFERROR(IF(U85="Impacto",(O85-(+O85*X85)),IF(U85="Probabilidad",O85,"")),"")</f>
        <v>1</v>
      </c>
      <c r="AG85" s="328" t="str">
        <f>IFERROR(IF(OR(AND(AC85="Muy Baja",AE85="Leve"),AND(AC85="Muy Baja",AE85="Menor"),AND(AC85="Baja",AE85="Leve")),"Bajo",IF(OR(AND(AC85="Muy baja",AE85="Moderado"),AND(AC85="Baja",AE85="Menor"),AND(AC85="Baja",AE85="Moderado"),AND(AC85="Media",AE85="Leve"),AND(AC85="Media",AE85="Menor"),AND(AC85="Media",AE85="Moderado"),AND(AC85="Alta",AE85="Leve"),AND(AC85="Alta",AE85="Menor")),"Moderado",IF(OR(AND(AC85="Muy Baja",AE85="Mayor"),AND(AC85="Baja",AE85="Mayor"),AND(AC85="Media",AE85="Mayor"),AND(AC85="Alta",AE85="Moderado"),AND(AC85="Alta",AE85="Mayor"),AND(AC85="Muy Alta",AE85="Leve"),AND(AC85="Muy Alta",AE85="Menor"),AND(AC85="Muy Alta",AE85="Moderado"),AND(AC85="Muy Alta",AE85="Mayor")),"Alto",IF(OR(AND(AC85="Muy Baja",AE85="Catastrófico"),AND(AC85="Baja",AE85="Catastrófico"),AND(AC85="Media",AE85="Catastrófico"),AND(AC85="Alta",AE85="Catastrófico"),AND(AC85="Muy Alta",AE85="Catastrófico")),"Extremo","")))),"")</f>
        <v>Extremo</v>
      </c>
      <c r="AH85" s="323" t="s">
        <v>26</v>
      </c>
      <c r="AI85" s="329">
        <v>0</v>
      </c>
      <c r="AJ85" s="329">
        <v>0</v>
      </c>
      <c r="AK85" s="329">
        <v>0</v>
      </c>
      <c r="AL85" s="329">
        <v>0</v>
      </c>
      <c r="AM85" s="356"/>
      <c r="AN85" s="356"/>
      <c r="AO85" s="357"/>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c r="CG85" s="273"/>
      <c r="CH85" s="273"/>
      <c r="CI85" s="273"/>
      <c r="CJ85" s="273"/>
      <c r="CK85" s="273"/>
      <c r="CL85" s="273"/>
      <c r="CM85" s="273"/>
      <c r="CN85" s="273"/>
      <c r="CO85" s="273"/>
      <c r="CP85" s="273"/>
      <c r="CQ85" s="273"/>
      <c r="CR85" s="273"/>
    </row>
    <row r="86" spans="1:96" s="258" customFormat="1" ht="14.25" x14ac:dyDescent="0.2">
      <c r="A86" s="581"/>
      <c r="B86" s="579"/>
      <c r="C86" s="452"/>
      <c r="D86" s="454"/>
      <c r="E86" s="454"/>
      <c r="F86" s="446"/>
      <c r="G86" s="456"/>
      <c r="H86" s="446"/>
      <c r="I86" s="446"/>
      <c r="J86" s="457"/>
      <c r="K86" s="447"/>
      <c r="L86" s="445"/>
      <c r="M86" s="447"/>
      <c r="N86" s="445"/>
      <c r="O86" s="445"/>
      <c r="P86" s="459"/>
      <c r="Q86" s="248">
        <v>2</v>
      </c>
      <c r="R86" s="321"/>
      <c r="S86" s="245"/>
      <c r="T86" s="245"/>
      <c r="U86" s="322"/>
      <c r="V86" s="323"/>
      <c r="W86" s="323"/>
      <c r="X86" s="324"/>
      <c r="Y86" s="323"/>
      <c r="Z86" s="323"/>
      <c r="AA86" s="323"/>
      <c r="AB86" s="325"/>
      <c r="AC86" s="326"/>
      <c r="AD86" s="324"/>
      <c r="AE86" s="326"/>
      <c r="AF86" s="324"/>
      <c r="AG86" s="328"/>
      <c r="AH86" s="323"/>
      <c r="AI86" s="329"/>
      <c r="AJ86" s="329"/>
      <c r="AK86" s="329"/>
      <c r="AL86" s="329"/>
      <c r="AM86" s="356"/>
      <c r="AN86" s="356"/>
      <c r="AO86" s="357"/>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c r="CG86" s="273"/>
      <c r="CH86" s="273"/>
      <c r="CI86" s="273"/>
      <c r="CJ86" s="273"/>
      <c r="CK86" s="273"/>
      <c r="CL86" s="273"/>
      <c r="CM86" s="273"/>
      <c r="CN86" s="273"/>
      <c r="CO86" s="273"/>
      <c r="CP86" s="273"/>
      <c r="CQ86" s="273"/>
      <c r="CR86" s="273"/>
    </row>
    <row r="87" spans="1:96" s="258" customFormat="1" ht="12.6" customHeight="1" x14ac:dyDescent="0.2">
      <c r="A87" s="581"/>
      <c r="B87" s="579"/>
      <c r="C87" s="452"/>
      <c r="D87" s="454"/>
      <c r="E87" s="454"/>
      <c r="F87" s="446"/>
      <c r="G87" s="456"/>
      <c r="H87" s="446"/>
      <c r="I87" s="446"/>
      <c r="J87" s="457"/>
      <c r="K87" s="447"/>
      <c r="L87" s="445"/>
      <c r="M87" s="447"/>
      <c r="N87" s="445"/>
      <c r="O87" s="445"/>
      <c r="P87" s="459"/>
      <c r="Q87" s="248">
        <v>3</v>
      </c>
      <c r="R87" s="330"/>
      <c r="S87" s="245"/>
      <c r="T87" s="245"/>
      <c r="U87" s="322" t="str">
        <f>IF(OR(V87="Preventivo",V87="Detectivo"),"Probabilidad",IF(V87="Correctivo","Impacto",""))</f>
        <v/>
      </c>
      <c r="V87" s="323"/>
      <c r="W87" s="323"/>
      <c r="X87" s="324" t="str">
        <f t="shared" si="147"/>
        <v/>
      </c>
      <c r="Y87" s="323"/>
      <c r="Z87" s="323"/>
      <c r="AA87" s="323"/>
      <c r="AB87" s="325" t="str">
        <f t="shared" ref="AB87" si="162">IFERROR(IF(AND(U86="Probabilidad",U87="Probabilidad"),(AD86-(+AD86*X87)),IF(AND(U86="Impacto",U87="Probabilidad"),(AD85-(+AD85*X87)),IF(U87="Impacto",AD86,""))),"")</f>
        <v/>
      </c>
      <c r="AC87" s="326" t="str">
        <f t="shared" si="152"/>
        <v/>
      </c>
      <c r="AD87" s="324" t="str">
        <f t="shared" ref="AD87:AD90" si="163">+AB87</f>
        <v/>
      </c>
      <c r="AE87" s="326" t="str">
        <f t="shared" si="154"/>
        <v/>
      </c>
      <c r="AF87" s="324" t="str">
        <f t="shared" ref="AF87:AF90" si="164">IFERROR(IF(AND(U86="Impacto",U87="Impacto"),(AF86-(+AF86*X87)),IF(U87="Impacto",($O$85-(+$O$85*X87)),IF(U87="Probabilidad",AF86,""))),"")</f>
        <v/>
      </c>
      <c r="AG87" s="328" t="str">
        <f t="shared" ref="AG87" si="165">IFERROR(IF(OR(AND(AC87="Muy Baja",AE87="Leve"),AND(AC87="Muy Baja",AE87="Menor"),AND(AC87="Baja",AE87="Leve")),"Bajo",IF(OR(AND(AC87="Muy baja",AE87="Moderado"),AND(AC87="Baja",AE87="Menor"),AND(AC87="Baja",AE87="Moderado"),AND(AC87="Media",AE87="Leve"),AND(AC87="Media",AE87="Menor"),AND(AC87="Media",AE87="Moderado"),AND(AC87="Alta",AE87="Leve"),AND(AC87="Alta",AE87="Menor")),"Moderado",IF(OR(AND(AC87="Muy Baja",AE87="Mayor"),AND(AC87="Baja",AE87="Mayor"),AND(AC87="Media",AE87="Mayor"),AND(AC87="Alta",AE87="Moderado"),AND(AC87="Alta",AE87="Mayor"),AND(AC87="Muy Alta",AE87="Leve"),AND(AC87="Muy Alta",AE87="Menor"),AND(AC87="Muy Alta",AE87="Moderado"),AND(AC87="Muy Alta",AE87="Mayor")),"Alto",IF(OR(AND(AC87="Muy Baja",AE87="Catastrófico"),AND(AC87="Baja",AE87="Catastrófico"),AND(AC87="Media",AE87="Catastrófico"),AND(AC87="Alta",AE87="Catastrófico"),AND(AC87="Muy Alta",AE87="Catastrófico")),"Extremo","")))),"")</f>
        <v/>
      </c>
      <c r="AH87" s="323"/>
      <c r="AI87" s="329"/>
      <c r="AJ87" s="329"/>
      <c r="AK87" s="329"/>
      <c r="AL87" s="329"/>
      <c r="AM87" s="356"/>
      <c r="AN87" s="356"/>
      <c r="AO87" s="357"/>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c r="CO87" s="273"/>
      <c r="CP87" s="273"/>
      <c r="CQ87" s="273"/>
      <c r="CR87" s="273"/>
    </row>
    <row r="88" spans="1:96" s="258" customFormat="1" ht="14.25" x14ac:dyDescent="0.2">
      <c r="A88" s="581"/>
      <c r="B88" s="579"/>
      <c r="C88" s="452"/>
      <c r="D88" s="454"/>
      <c r="E88" s="454"/>
      <c r="F88" s="446"/>
      <c r="G88" s="456"/>
      <c r="H88" s="446"/>
      <c r="I88" s="446"/>
      <c r="J88" s="457"/>
      <c r="K88" s="447"/>
      <c r="L88" s="445"/>
      <c r="M88" s="447"/>
      <c r="N88" s="445"/>
      <c r="O88" s="445"/>
      <c r="P88" s="459"/>
      <c r="Q88" s="248">
        <v>4</v>
      </c>
      <c r="R88" s="321"/>
      <c r="S88" s="245"/>
      <c r="T88" s="245"/>
      <c r="U88" s="322" t="str">
        <f t="shared" ref="U88:U90" si="166">IF(OR(V88="Preventivo",V88="Detectivo"),"Probabilidad",IF(V88="Correctivo","Impacto",""))</f>
        <v/>
      </c>
      <c r="V88" s="323"/>
      <c r="W88" s="323"/>
      <c r="X88" s="324" t="str">
        <f t="shared" si="147"/>
        <v/>
      </c>
      <c r="Y88" s="323"/>
      <c r="Z88" s="323"/>
      <c r="AA88" s="323"/>
      <c r="AB88" s="325" t="str">
        <f t="shared" si="156"/>
        <v/>
      </c>
      <c r="AC88" s="326" t="str">
        <f t="shared" si="152"/>
        <v/>
      </c>
      <c r="AD88" s="324" t="str">
        <f t="shared" si="163"/>
        <v/>
      </c>
      <c r="AE88" s="326" t="str">
        <f t="shared" si="154"/>
        <v/>
      </c>
      <c r="AF88" s="324" t="str">
        <f t="shared" si="164"/>
        <v/>
      </c>
      <c r="AG88" s="328" t="str">
        <f>IFERROR(IF(OR(AND(AC88="Muy Baja",AE88="Leve"),AND(AC88="Muy Baja",AE88="Menor"),AND(AC88="Baja",AE88="Leve")),"Bajo",IF(OR(AND(AC88="Muy baja",AE88="Moderado"),AND(AC88="Baja",AE88="Menor"),AND(AC88="Baja",AE88="Moderado"),AND(AC88="Media",AE88="Leve"),AND(AC88="Media",AE88="Menor"),AND(AC88="Media",AE88="Moderado"),AND(AC88="Alta",AE88="Leve"),AND(AC88="Alta",AE88="Menor")),"Moderado",IF(OR(AND(AC88="Muy Baja",AE88="Mayor"),AND(AC88="Baja",AE88="Mayor"),AND(AC88="Media",AE88="Mayor"),AND(AC88="Alta",AE88="Moderado"),AND(AC88="Alta",AE88="Mayor"),AND(AC88="Muy Alta",AE88="Leve"),AND(AC88="Muy Alta",AE88="Menor"),AND(AC88="Muy Alta",AE88="Moderado"),AND(AC88="Muy Alta",AE88="Mayor")),"Alto",IF(OR(AND(AC88="Muy Baja",AE88="Catastrófico"),AND(AC88="Baja",AE88="Catastrófico"),AND(AC88="Media",AE88="Catastrófico"),AND(AC88="Alta",AE88="Catastrófico"),AND(AC88="Muy Alta",AE88="Catastrófico")),"Extremo","")))),"")</f>
        <v/>
      </c>
      <c r="AH88" s="323"/>
      <c r="AI88" s="329"/>
      <c r="AJ88" s="329"/>
      <c r="AK88" s="329"/>
      <c r="AL88" s="329"/>
      <c r="AM88" s="356"/>
      <c r="AN88" s="356"/>
      <c r="AO88" s="357"/>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c r="CG88" s="273"/>
      <c r="CH88" s="273"/>
      <c r="CI88" s="273"/>
      <c r="CJ88" s="273"/>
      <c r="CK88" s="273"/>
      <c r="CL88" s="273"/>
      <c r="CM88" s="273"/>
      <c r="CN88" s="273"/>
      <c r="CO88" s="273"/>
      <c r="CP88" s="273"/>
      <c r="CQ88" s="273"/>
      <c r="CR88" s="273"/>
    </row>
    <row r="89" spans="1:96" s="258" customFormat="1" ht="13.15" customHeight="1" x14ac:dyDescent="0.2">
      <c r="A89" s="581"/>
      <c r="B89" s="579"/>
      <c r="C89" s="452"/>
      <c r="D89" s="454"/>
      <c r="E89" s="454"/>
      <c r="F89" s="446"/>
      <c r="G89" s="456"/>
      <c r="H89" s="446"/>
      <c r="I89" s="446"/>
      <c r="J89" s="457"/>
      <c r="K89" s="447"/>
      <c r="L89" s="445"/>
      <c r="M89" s="447"/>
      <c r="N89" s="445"/>
      <c r="O89" s="445"/>
      <c r="P89" s="459"/>
      <c r="Q89" s="248">
        <v>5</v>
      </c>
      <c r="R89" s="321"/>
      <c r="S89" s="245"/>
      <c r="T89" s="245"/>
      <c r="U89" s="322" t="str">
        <f t="shared" si="166"/>
        <v/>
      </c>
      <c r="V89" s="323"/>
      <c r="W89" s="323"/>
      <c r="X89" s="324" t="str">
        <f t="shared" si="147"/>
        <v/>
      </c>
      <c r="Y89" s="323"/>
      <c r="Z89" s="323"/>
      <c r="AA89" s="323"/>
      <c r="AB89" s="325" t="str">
        <f t="shared" si="156"/>
        <v/>
      </c>
      <c r="AC89" s="326" t="str">
        <f>IFERROR(IF(AB89="","",IF(AB89&lt;=0.2,"Muy Baja",IF(AB89&lt;=0.4,"Baja",IF(AB89&lt;=0.6,"Media",IF(AB89&lt;=0.8,"Alta","Muy Alta"))))),"")</f>
        <v/>
      </c>
      <c r="AD89" s="324" t="str">
        <f t="shared" si="163"/>
        <v/>
      </c>
      <c r="AE89" s="326" t="str">
        <f t="shared" si="154"/>
        <v/>
      </c>
      <c r="AF89" s="324" t="str">
        <f t="shared" si="164"/>
        <v/>
      </c>
      <c r="AG89" s="328" t="str">
        <f t="shared" ref="AG89:AG90" si="167">IFERROR(IF(OR(AND(AC89="Muy Baja",AE89="Leve"),AND(AC89="Muy Baja",AE89="Menor"),AND(AC89="Baja",AE89="Leve")),"Bajo",IF(OR(AND(AC89="Muy baja",AE89="Moderado"),AND(AC89="Baja",AE89="Menor"),AND(AC89="Baja",AE89="Moderado"),AND(AC89="Media",AE89="Leve"),AND(AC89="Media",AE89="Menor"),AND(AC89="Media",AE89="Moderado"),AND(AC89="Alta",AE89="Leve"),AND(AC89="Alta",AE89="Menor")),"Moderado",IF(OR(AND(AC89="Muy Baja",AE89="Mayor"),AND(AC89="Baja",AE89="Mayor"),AND(AC89="Media",AE89="Mayor"),AND(AC89="Alta",AE89="Moderado"),AND(AC89="Alta",AE89="Mayor"),AND(AC89="Muy Alta",AE89="Leve"),AND(AC89="Muy Alta",AE89="Menor"),AND(AC89="Muy Alta",AE89="Moderado"),AND(AC89="Muy Alta",AE89="Mayor")),"Alto",IF(OR(AND(AC89="Muy Baja",AE89="Catastrófico"),AND(AC89="Baja",AE89="Catastrófico"),AND(AC89="Media",AE89="Catastrófico"),AND(AC89="Alta",AE89="Catastrófico"),AND(AC89="Muy Alta",AE89="Catastrófico")),"Extremo","")))),"")</f>
        <v/>
      </c>
      <c r="AH89" s="323"/>
      <c r="AI89" s="329"/>
      <c r="AJ89" s="329"/>
      <c r="AK89" s="329"/>
      <c r="AL89" s="329"/>
      <c r="AM89" s="356"/>
      <c r="AN89" s="356"/>
      <c r="AO89" s="357"/>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3"/>
      <c r="BO89" s="273"/>
      <c r="BP89" s="273"/>
      <c r="BQ89" s="273"/>
      <c r="BR89" s="273"/>
      <c r="BS89" s="273"/>
      <c r="BT89" s="273"/>
      <c r="BU89" s="273"/>
      <c r="BV89" s="273"/>
      <c r="BW89" s="273"/>
      <c r="BX89" s="273"/>
      <c r="BY89" s="273"/>
      <c r="BZ89" s="273"/>
      <c r="CA89" s="273"/>
      <c r="CB89" s="273"/>
      <c r="CC89" s="273"/>
      <c r="CD89" s="273"/>
      <c r="CE89" s="273"/>
      <c r="CF89" s="273"/>
      <c r="CG89" s="273"/>
      <c r="CH89" s="273"/>
      <c r="CI89" s="273"/>
      <c r="CJ89" s="273"/>
      <c r="CK89" s="273"/>
      <c r="CL89" s="273"/>
      <c r="CM89" s="273"/>
      <c r="CN89" s="273"/>
      <c r="CO89" s="273"/>
      <c r="CP89" s="273"/>
      <c r="CQ89" s="273"/>
      <c r="CR89" s="273"/>
    </row>
    <row r="90" spans="1:96" s="258" customFormat="1" ht="13.5" customHeight="1" x14ac:dyDescent="0.2">
      <c r="A90" s="581"/>
      <c r="B90" s="579"/>
      <c r="C90" s="452"/>
      <c r="D90" s="454"/>
      <c r="E90" s="454"/>
      <c r="F90" s="446"/>
      <c r="G90" s="456"/>
      <c r="H90" s="446"/>
      <c r="I90" s="446"/>
      <c r="J90" s="457"/>
      <c r="K90" s="447"/>
      <c r="L90" s="445"/>
      <c r="M90" s="447"/>
      <c r="N90" s="445"/>
      <c r="O90" s="445"/>
      <c r="P90" s="459"/>
      <c r="Q90" s="248">
        <v>6</v>
      </c>
      <c r="R90" s="321"/>
      <c r="S90" s="245"/>
      <c r="T90" s="245"/>
      <c r="U90" s="322" t="str">
        <f t="shared" si="166"/>
        <v/>
      </c>
      <c r="V90" s="323"/>
      <c r="W90" s="323"/>
      <c r="X90" s="324" t="str">
        <f t="shared" si="147"/>
        <v/>
      </c>
      <c r="Y90" s="323"/>
      <c r="Z90" s="323"/>
      <c r="AA90" s="323"/>
      <c r="AB90" s="325" t="str">
        <f t="shared" si="156"/>
        <v/>
      </c>
      <c r="AC90" s="326" t="str">
        <f t="shared" si="152"/>
        <v/>
      </c>
      <c r="AD90" s="324" t="str">
        <f t="shared" si="163"/>
        <v/>
      </c>
      <c r="AE90" s="326" t="str">
        <f t="shared" si="154"/>
        <v/>
      </c>
      <c r="AF90" s="324" t="str">
        <f t="shared" si="164"/>
        <v/>
      </c>
      <c r="AG90" s="328" t="str">
        <f t="shared" si="167"/>
        <v/>
      </c>
      <c r="AH90" s="323"/>
      <c r="AI90" s="329"/>
      <c r="AJ90" s="329"/>
      <c r="AK90" s="329"/>
      <c r="AL90" s="329"/>
      <c r="AM90" s="356"/>
      <c r="AN90" s="356"/>
      <c r="AO90" s="357"/>
      <c r="AP90" s="273"/>
      <c r="AQ90" s="273"/>
      <c r="AR90" s="273"/>
      <c r="AS90" s="273"/>
      <c r="AT90" s="273"/>
      <c r="AU90" s="273"/>
      <c r="AV90" s="273"/>
      <c r="AW90" s="273"/>
      <c r="AX90" s="273"/>
      <c r="AY90" s="273"/>
      <c r="AZ90" s="273"/>
      <c r="BA90" s="273"/>
      <c r="BB90" s="273"/>
      <c r="BC90" s="273"/>
      <c r="BD90" s="273"/>
      <c r="BE90" s="273"/>
      <c r="BF90" s="273"/>
      <c r="BG90" s="273"/>
      <c r="BH90" s="273"/>
      <c r="BI90" s="273"/>
      <c r="BJ90" s="273"/>
      <c r="BK90" s="273"/>
      <c r="BL90" s="273"/>
      <c r="BM90" s="273"/>
      <c r="BN90" s="273"/>
      <c r="BO90" s="273"/>
      <c r="BP90" s="273"/>
      <c r="BQ90" s="273"/>
      <c r="BR90" s="273"/>
      <c r="BS90" s="273"/>
      <c r="BT90" s="273"/>
      <c r="BU90" s="273"/>
      <c r="BV90" s="273"/>
      <c r="BW90" s="273"/>
      <c r="BX90" s="273"/>
      <c r="BY90" s="273"/>
      <c r="BZ90" s="273"/>
      <c r="CA90" s="273"/>
      <c r="CB90" s="273"/>
      <c r="CC90" s="273"/>
      <c r="CD90" s="273"/>
      <c r="CE90" s="273"/>
      <c r="CF90" s="273"/>
      <c r="CG90" s="273"/>
      <c r="CH90" s="273"/>
      <c r="CI90" s="273"/>
      <c r="CJ90" s="273"/>
      <c r="CK90" s="273"/>
      <c r="CL90" s="273"/>
      <c r="CM90" s="273"/>
      <c r="CN90" s="273"/>
      <c r="CO90" s="273"/>
      <c r="CP90" s="273"/>
      <c r="CQ90" s="273"/>
      <c r="CR90" s="273"/>
    </row>
    <row r="91" spans="1:96" s="261" customFormat="1" ht="156.6" customHeight="1" x14ac:dyDescent="0.2">
      <c r="A91" s="581" t="s">
        <v>763</v>
      </c>
      <c r="B91" s="579" t="s">
        <v>830</v>
      </c>
      <c r="C91" s="452" t="s">
        <v>286</v>
      </c>
      <c r="D91" s="454" t="s">
        <v>618</v>
      </c>
      <c r="E91" s="454" t="s">
        <v>904</v>
      </c>
      <c r="F91" s="446" t="s">
        <v>675</v>
      </c>
      <c r="G91" s="446" t="s">
        <v>1085</v>
      </c>
      <c r="H91" s="446" t="s">
        <v>233</v>
      </c>
      <c r="I91" s="446" t="s">
        <v>777</v>
      </c>
      <c r="J91" s="457">
        <v>474</v>
      </c>
      <c r="K91" s="447" t="str">
        <f t="shared" si="114"/>
        <v>Media</v>
      </c>
      <c r="L91" s="445">
        <f t="shared" ref="L91" si="168">IF(K91="","",IF(K91="Muy Baja",0.2,IF(K91="Baja",0.4,IF(K91="Media",0.6,IF(K91="Alta",0.8,IF(K91="Muy Alta",1,))))))</f>
        <v>0.6</v>
      </c>
      <c r="M91" s="447">
        <v>4</v>
      </c>
      <c r="N91" s="445" t="str">
        <f>IF(M91=1,"INSIGNIFICANTE",IF(M91=2,"Menor",IF(M91=3,"Moderado",IF(M91=4,"Mayor",IF(M91=5,"Catastrófico",IF(M91=""," "))))))</f>
        <v>Mayor</v>
      </c>
      <c r="O91" s="445">
        <f t="shared" ref="O91" si="169">IF(N91="","",IF(N91="Leve",0.2,IF(N91="Menor",0.4,IF(N91="Moderado",0.6,IF(N91="Mayor",0.8,IF(N91="Catastrófico",1,))))))</f>
        <v>0.8</v>
      </c>
      <c r="P91" s="459" t="str">
        <f t="shared" si="139"/>
        <v>Alto</v>
      </c>
      <c r="Q91" s="248">
        <v>1</v>
      </c>
      <c r="R91" s="321" t="s">
        <v>1087</v>
      </c>
      <c r="S91" s="245" t="s">
        <v>293</v>
      </c>
      <c r="T91" s="245" t="s">
        <v>1086</v>
      </c>
      <c r="U91" s="322" t="str">
        <f>IF(OR(V91="Preventivo",V91="Detectivo"),"Probabilidad",IF(V91="Correctivo","Impacto",""))</f>
        <v>Probabilidad</v>
      </c>
      <c r="V91" s="323" t="s">
        <v>13</v>
      </c>
      <c r="W91" s="323" t="s">
        <v>8</v>
      </c>
      <c r="X91" s="324" t="str">
        <f t="shared" si="147"/>
        <v>40%</v>
      </c>
      <c r="Y91" s="323" t="s">
        <v>18</v>
      </c>
      <c r="Z91" s="323" t="s">
        <v>21</v>
      </c>
      <c r="AA91" s="323" t="s">
        <v>103</v>
      </c>
      <c r="AB91" s="325">
        <f>IFERROR(IF(U91="Probabilidad",(L91-(+L91*X91)),IF(U91="Impacto",L91,"")),"")</f>
        <v>0.36</v>
      </c>
      <c r="AC91" s="326" t="str">
        <f>IFERROR(IF(AB91="","",IF(AB91&lt;=0.2,"Muy Baja",IF(AB91&lt;=0.4,"Baja",IF(AB91&lt;=0.6,"Media",IF(AB91&lt;=0.8,"Alta","Muy Alta"))))),"")</f>
        <v>Baja</v>
      </c>
      <c r="AD91" s="324">
        <f>+AB91</f>
        <v>0.36</v>
      </c>
      <c r="AE91" s="326" t="str">
        <f>IFERROR(IF(AF91="","",IF(AF91&lt;=0.2,"Leve",IF(AF91&lt;=0.4,"Menor",IF(AF91&lt;=0.6,"Moderado",IF(AF91&lt;=0.8,"Mayor","Catastrófico"))))),"")</f>
        <v>Mayor</v>
      </c>
      <c r="AF91" s="324">
        <f>IFERROR(IF(U91="Impacto",(O91-(+O91*X91)),IF(U91="Probabilidad",O91,"")),"")</f>
        <v>0.8</v>
      </c>
      <c r="AG91" s="328" t="str">
        <f>IFERROR(IF(OR(AND(AC91="Muy Baja",AE91="Leve"),AND(AC91="Muy Baja",AE91="Menor"),AND(AC91="Baja",AE91="Leve")),"Bajo",IF(OR(AND(AC91="Muy baja",AE91="Moderado"),AND(AC91="Baja",AE91="Menor"),AND(AC91="Baja",AE91="Moderado"),AND(AC91="Media",AE91="Leve"),AND(AC91="Media",AE91="Menor"),AND(AC91="Media",AE91="Moderado"),AND(AC91="Alta",AE91="Leve"),AND(AC91="Alta",AE91="Menor")),"Moderado",IF(OR(AND(AC91="Muy Baja",AE91="Mayor"),AND(AC91="Baja",AE91="Mayor"),AND(AC91="Media",AE91="Mayor"),AND(AC91="Alta",AE91="Moderado"),AND(AC91="Alta",AE91="Mayor"),AND(AC91="Muy Alta",AE91="Leve"),AND(AC91="Muy Alta",AE91="Menor"),AND(AC91="Muy Alta",AE91="Moderado"),AND(AC91="Muy Alta",AE91="Mayor")),"Alto",IF(OR(AND(AC91="Muy Baja",AE91="Catastrófico"),AND(AC91="Baja",AE91="Catastrófico"),AND(AC91="Media",AE91="Catastrófico"),AND(AC91="Alta",AE91="Catastrófico"),AND(AC91="Muy Alta",AE91="Catastrófico")),"Extremo","")))),"")</f>
        <v>Alto</v>
      </c>
      <c r="AH91" s="323" t="s">
        <v>26</v>
      </c>
      <c r="AI91" s="329">
        <v>2</v>
      </c>
      <c r="AJ91" s="329">
        <v>0</v>
      </c>
      <c r="AK91" s="329">
        <v>1</v>
      </c>
      <c r="AL91" s="329">
        <v>1</v>
      </c>
      <c r="AM91" s="356"/>
      <c r="AN91" s="356"/>
      <c r="AO91" s="357"/>
      <c r="AP91" s="273"/>
      <c r="AQ91" s="273"/>
      <c r="AR91" s="273"/>
      <c r="AS91" s="273"/>
      <c r="AT91" s="273"/>
      <c r="AU91" s="273"/>
      <c r="AV91" s="273"/>
      <c r="AW91" s="273"/>
      <c r="AX91" s="273"/>
      <c r="AY91" s="273"/>
      <c r="AZ91" s="273"/>
      <c r="BA91" s="273"/>
      <c r="BB91" s="273"/>
      <c r="BC91" s="273"/>
      <c r="BD91" s="273"/>
      <c r="BE91" s="273"/>
      <c r="BF91" s="273"/>
      <c r="BG91" s="273"/>
      <c r="BH91" s="273"/>
      <c r="BI91" s="273"/>
      <c r="BJ91" s="273"/>
      <c r="BK91" s="273"/>
      <c r="BL91" s="273"/>
      <c r="BM91" s="273"/>
      <c r="BN91" s="273"/>
      <c r="BO91" s="273"/>
      <c r="BP91" s="273"/>
      <c r="BQ91" s="273"/>
      <c r="BR91" s="273"/>
      <c r="BS91" s="273"/>
      <c r="BT91" s="273"/>
      <c r="BU91" s="273"/>
      <c r="BV91" s="273"/>
      <c r="BW91" s="273"/>
      <c r="BX91" s="273"/>
      <c r="BY91" s="273"/>
      <c r="BZ91" s="273"/>
      <c r="CA91" s="273"/>
      <c r="CB91" s="273"/>
      <c r="CC91" s="273"/>
      <c r="CD91" s="273"/>
      <c r="CE91" s="273"/>
      <c r="CF91" s="273"/>
      <c r="CG91" s="273"/>
      <c r="CH91" s="273"/>
      <c r="CI91" s="273"/>
      <c r="CJ91" s="273"/>
      <c r="CK91" s="273"/>
      <c r="CL91" s="273"/>
      <c r="CM91" s="273"/>
      <c r="CN91" s="273"/>
      <c r="CO91" s="273"/>
      <c r="CP91" s="273"/>
      <c r="CQ91" s="273"/>
      <c r="CR91" s="273"/>
    </row>
    <row r="92" spans="1:96" s="258" customFormat="1" ht="14.25" customHeight="1" x14ac:dyDescent="0.2">
      <c r="A92" s="581"/>
      <c r="B92" s="579"/>
      <c r="C92" s="452"/>
      <c r="D92" s="454"/>
      <c r="E92" s="454"/>
      <c r="F92" s="446"/>
      <c r="G92" s="446"/>
      <c r="H92" s="446"/>
      <c r="I92" s="446"/>
      <c r="J92" s="457"/>
      <c r="K92" s="447"/>
      <c r="L92" s="445"/>
      <c r="M92" s="447"/>
      <c r="N92" s="445"/>
      <c r="O92" s="445"/>
      <c r="P92" s="459"/>
      <c r="Q92" s="248">
        <v>2</v>
      </c>
      <c r="R92" s="321"/>
      <c r="S92" s="245"/>
      <c r="T92" s="245"/>
      <c r="U92" s="322" t="str">
        <f>IF(OR(V92="Preventivo",V92="Detectivo"),"Probabilidad",IF(V92="Correctivo","Impacto",""))</f>
        <v/>
      </c>
      <c r="V92" s="323"/>
      <c r="W92" s="323"/>
      <c r="X92" s="324" t="str">
        <f t="shared" si="147"/>
        <v/>
      </c>
      <c r="Y92" s="323"/>
      <c r="Z92" s="323"/>
      <c r="AA92" s="323"/>
      <c r="AB92" s="325" t="str">
        <f>IFERROR(IF(AND(U91="Probabilidad",U92="Probabilidad"),(AD91-(+AD91*X92)),IF(U92="Probabilidad",(L91-(+L91*X92)),IF(U92="Impacto",AD91,""))),"")</f>
        <v/>
      </c>
      <c r="AC92" s="326" t="str">
        <f t="shared" si="152"/>
        <v/>
      </c>
      <c r="AD92" s="324" t="str">
        <f t="shared" ref="AD92:AD96" si="170">+AB92</f>
        <v/>
      </c>
      <c r="AE92" s="326" t="str">
        <f t="shared" si="154"/>
        <v/>
      </c>
      <c r="AF92" s="324" t="str">
        <f>IFERROR(IF(AND(U91="Impacto",U92="Impacto"),(AF91-(+AF91*X92)),IF(U92="Impacto",($O$91-(+$O$91*X92)),IF(U92="Probabilidad",AF91,""))),"")</f>
        <v/>
      </c>
      <c r="AG92" s="328" t="str">
        <f t="shared" ref="AG92:AG93" si="171">IFERROR(IF(OR(AND(AC92="Muy Baja",AE92="Leve"),AND(AC92="Muy Baja",AE92="Menor"),AND(AC92="Baja",AE92="Leve")),"Bajo",IF(OR(AND(AC92="Muy baja",AE92="Moderado"),AND(AC92="Baja",AE92="Menor"),AND(AC92="Baja",AE92="Moderado"),AND(AC92="Media",AE92="Leve"),AND(AC92="Media",AE92="Menor"),AND(AC92="Media",AE92="Moderado"),AND(AC92="Alta",AE92="Leve"),AND(AC92="Alta",AE92="Menor")),"Moderado",IF(OR(AND(AC92="Muy Baja",AE92="Mayor"),AND(AC92="Baja",AE92="Mayor"),AND(AC92="Media",AE92="Mayor"),AND(AC92="Alta",AE92="Moderado"),AND(AC92="Alta",AE92="Mayor"),AND(AC92="Muy Alta",AE92="Leve"),AND(AC92="Muy Alta",AE92="Menor"),AND(AC92="Muy Alta",AE92="Moderado"),AND(AC92="Muy Alta",AE92="Mayor")),"Alto",IF(OR(AND(AC92="Muy Baja",AE92="Catastrófico"),AND(AC92="Baja",AE92="Catastrófico"),AND(AC92="Media",AE92="Catastrófico"),AND(AC92="Alta",AE92="Catastrófico"),AND(AC92="Muy Alta",AE92="Catastrófico")),"Extremo","")))),"")</f>
        <v/>
      </c>
      <c r="AH92" s="323"/>
      <c r="AI92" s="329"/>
      <c r="AJ92" s="329"/>
      <c r="AK92" s="329"/>
      <c r="AL92" s="329"/>
      <c r="AM92" s="356"/>
      <c r="AN92" s="356"/>
      <c r="AO92" s="357"/>
      <c r="AP92" s="273"/>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c r="BQ92" s="273"/>
      <c r="BR92" s="273"/>
      <c r="BS92" s="273"/>
      <c r="BT92" s="273"/>
      <c r="BU92" s="273"/>
      <c r="BV92" s="273"/>
      <c r="BW92" s="273"/>
      <c r="BX92" s="273"/>
      <c r="BY92" s="273"/>
      <c r="BZ92" s="273"/>
      <c r="CA92" s="273"/>
      <c r="CB92" s="273"/>
      <c r="CC92" s="273"/>
      <c r="CD92" s="273"/>
      <c r="CE92" s="273"/>
      <c r="CF92" s="273"/>
      <c r="CG92" s="273"/>
      <c r="CH92" s="273"/>
      <c r="CI92" s="273"/>
      <c r="CJ92" s="273"/>
      <c r="CK92" s="273"/>
      <c r="CL92" s="273"/>
      <c r="CM92" s="273"/>
      <c r="CN92" s="273"/>
      <c r="CO92" s="273"/>
      <c r="CP92" s="273"/>
      <c r="CQ92" s="273"/>
      <c r="CR92" s="273"/>
    </row>
    <row r="93" spans="1:96" s="258" customFormat="1" ht="14.25" customHeight="1" x14ac:dyDescent="0.2">
      <c r="A93" s="581"/>
      <c r="B93" s="579"/>
      <c r="C93" s="452"/>
      <c r="D93" s="454"/>
      <c r="E93" s="454"/>
      <c r="F93" s="446"/>
      <c r="G93" s="446"/>
      <c r="H93" s="446"/>
      <c r="I93" s="446"/>
      <c r="J93" s="457"/>
      <c r="K93" s="447"/>
      <c r="L93" s="445"/>
      <c r="M93" s="447"/>
      <c r="N93" s="445"/>
      <c r="O93" s="445"/>
      <c r="P93" s="459"/>
      <c r="Q93" s="248">
        <v>3</v>
      </c>
      <c r="R93" s="330"/>
      <c r="S93" s="245"/>
      <c r="T93" s="245"/>
      <c r="U93" s="322" t="str">
        <f>IF(OR(V93="Preventivo",V93="Detectivo"),"Probabilidad",IF(V93="Correctivo","Impacto",""))</f>
        <v/>
      </c>
      <c r="V93" s="323"/>
      <c r="W93" s="323"/>
      <c r="X93" s="324" t="str">
        <f t="shared" si="147"/>
        <v/>
      </c>
      <c r="Y93" s="323"/>
      <c r="Z93" s="323"/>
      <c r="AA93" s="323"/>
      <c r="AB93" s="325" t="str">
        <f t="shared" ref="AB93" si="172">IFERROR(IF(AND(U92="Probabilidad",U93="Probabilidad"),(AD92-(+AD92*X93)),IF(AND(U92="Impacto",U93="Probabilidad"),(AD91-(+AD91*X93)),IF(U93="Impacto",AD92,""))),"")</f>
        <v/>
      </c>
      <c r="AC93" s="326" t="str">
        <f t="shared" si="152"/>
        <v/>
      </c>
      <c r="AD93" s="324" t="str">
        <f t="shared" si="170"/>
        <v/>
      </c>
      <c r="AE93" s="326" t="str">
        <f t="shared" si="154"/>
        <v/>
      </c>
      <c r="AF93" s="324" t="str">
        <f t="shared" ref="AF93:AF95" si="173">IFERROR(IF(AND(U92="Impacto",U93="Impacto"),(AF92-(+AF92*X93)),IF(U93="Impacto",($O$91-(+$O$91*X93)),IF(U93="Probabilidad",AF92,""))),"")</f>
        <v/>
      </c>
      <c r="AG93" s="328" t="str">
        <f t="shared" si="171"/>
        <v/>
      </c>
      <c r="AH93" s="323"/>
      <c r="AI93" s="329"/>
      <c r="AJ93" s="329"/>
      <c r="AK93" s="329"/>
      <c r="AL93" s="329"/>
      <c r="AM93" s="356"/>
      <c r="AN93" s="356"/>
      <c r="AO93" s="357"/>
      <c r="AP93" s="273"/>
      <c r="AQ93" s="273"/>
      <c r="AR93" s="273"/>
      <c r="AS93" s="273"/>
      <c r="AT93" s="273"/>
      <c r="AU93" s="273"/>
      <c r="AV93" s="273"/>
      <c r="AW93" s="273"/>
      <c r="AX93" s="273"/>
      <c r="AY93" s="273"/>
      <c r="AZ93" s="273"/>
      <c r="BA93" s="273"/>
      <c r="BB93" s="273"/>
      <c r="BC93" s="273"/>
      <c r="BD93" s="273"/>
      <c r="BE93" s="273"/>
      <c r="BF93" s="273"/>
      <c r="BG93" s="273"/>
      <c r="BH93" s="273"/>
      <c r="BI93" s="273"/>
      <c r="BJ93" s="273"/>
      <c r="BK93" s="273"/>
      <c r="BL93" s="273"/>
      <c r="BM93" s="273"/>
      <c r="BN93" s="273"/>
      <c r="BO93" s="273"/>
      <c r="BP93" s="273"/>
      <c r="BQ93" s="273"/>
      <c r="BR93" s="273"/>
      <c r="BS93" s="273"/>
      <c r="BT93" s="273"/>
      <c r="BU93" s="273"/>
      <c r="BV93" s="273"/>
      <c r="BW93" s="273"/>
      <c r="BX93" s="273"/>
      <c r="BY93" s="273"/>
      <c r="BZ93" s="273"/>
      <c r="CA93" s="273"/>
      <c r="CB93" s="273"/>
      <c r="CC93" s="273"/>
      <c r="CD93" s="273"/>
      <c r="CE93" s="273"/>
      <c r="CF93" s="273"/>
      <c r="CG93" s="273"/>
      <c r="CH93" s="273"/>
      <c r="CI93" s="273"/>
      <c r="CJ93" s="273"/>
      <c r="CK93" s="273"/>
      <c r="CL93" s="273"/>
      <c r="CM93" s="273"/>
      <c r="CN93" s="273"/>
      <c r="CO93" s="273"/>
      <c r="CP93" s="273"/>
      <c r="CQ93" s="273"/>
      <c r="CR93" s="273"/>
    </row>
    <row r="94" spans="1:96" s="258" customFormat="1" ht="14.25" customHeight="1" x14ac:dyDescent="0.2">
      <c r="A94" s="581"/>
      <c r="B94" s="579"/>
      <c r="C94" s="452"/>
      <c r="D94" s="454"/>
      <c r="E94" s="454"/>
      <c r="F94" s="446"/>
      <c r="G94" s="446"/>
      <c r="H94" s="446"/>
      <c r="I94" s="446"/>
      <c r="J94" s="457"/>
      <c r="K94" s="447"/>
      <c r="L94" s="445"/>
      <c r="M94" s="447"/>
      <c r="N94" s="445"/>
      <c r="O94" s="445"/>
      <c r="P94" s="459"/>
      <c r="Q94" s="248">
        <v>4</v>
      </c>
      <c r="R94" s="321"/>
      <c r="S94" s="245"/>
      <c r="T94" s="245"/>
      <c r="U94" s="322" t="str">
        <f t="shared" ref="U94:U96" si="174">IF(OR(V94="Preventivo",V94="Detectivo"),"Probabilidad",IF(V94="Correctivo","Impacto",""))</f>
        <v/>
      </c>
      <c r="V94" s="323"/>
      <c r="W94" s="323"/>
      <c r="X94" s="324" t="str">
        <f t="shared" si="147"/>
        <v/>
      </c>
      <c r="Y94" s="323"/>
      <c r="Z94" s="323"/>
      <c r="AA94" s="323"/>
      <c r="AB94" s="325" t="str">
        <f t="shared" si="156"/>
        <v/>
      </c>
      <c r="AC94" s="326" t="str">
        <f t="shared" si="152"/>
        <v/>
      </c>
      <c r="AD94" s="324" t="str">
        <f t="shared" si="170"/>
        <v/>
      </c>
      <c r="AE94" s="326" t="str">
        <f t="shared" si="154"/>
        <v/>
      </c>
      <c r="AF94" s="324" t="str">
        <f t="shared" si="173"/>
        <v/>
      </c>
      <c r="AG94" s="328" t="str">
        <f>IFERROR(IF(OR(AND(AC94="Muy Baja",AE94="Leve"),AND(AC94="Muy Baja",AE94="Menor"),AND(AC94="Baja",AE94="Leve")),"Bajo",IF(OR(AND(AC94="Muy baja",AE94="Moderado"),AND(AC94="Baja",AE94="Menor"),AND(AC94="Baja",AE94="Moderado"),AND(AC94="Media",AE94="Leve"),AND(AC94="Media",AE94="Menor"),AND(AC94="Media",AE94="Moderado"),AND(AC94="Alta",AE94="Leve"),AND(AC94="Alta",AE94="Menor")),"Moderado",IF(OR(AND(AC94="Muy Baja",AE94="Mayor"),AND(AC94="Baja",AE94="Mayor"),AND(AC94="Media",AE94="Mayor"),AND(AC94="Alta",AE94="Moderado"),AND(AC94="Alta",AE94="Mayor"),AND(AC94="Muy Alta",AE94="Leve"),AND(AC94="Muy Alta",AE94="Menor"),AND(AC94="Muy Alta",AE94="Moderado"),AND(AC94="Muy Alta",AE94="Mayor")),"Alto",IF(OR(AND(AC94="Muy Baja",AE94="Catastrófico"),AND(AC94="Baja",AE94="Catastrófico"),AND(AC94="Media",AE94="Catastrófico"),AND(AC94="Alta",AE94="Catastrófico"),AND(AC94="Muy Alta",AE94="Catastrófico")),"Extremo","")))),"")</f>
        <v/>
      </c>
      <c r="AH94" s="323"/>
      <c r="AI94" s="329"/>
      <c r="AJ94" s="329"/>
      <c r="AK94" s="329"/>
      <c r="AL94" s="329"/>
      <c r="AM94" s="356"/>
      <c r="AN94" s="356"/>
      <c r="AO94" s="357"/>
      <c r="AP94" s="273"/>
      <c r="AQ94" s="273"/>
      <c r="AR94" s="273"/>
      <c r="AS94" s="273"/>
      <c r="AT94" s="273"/>
      <c r="AU94" s="273"/>
      <c r="AV94" s="273"/>
      <c r="AW94" s="273"/>
      <c r="AX94" s="273"/>
      <c r="AY94" s="273"/>
      <c r="AZ94" s="273"/>
      <c r="BA94" s="273"/>
      <c r="BB94" s="273"/>
      <c r="BC94" s="273"/>
      <c r="BD94" s="273"/>
      <c r="BE94" s="273"/>
      <c r="BF94" s="273"/>
      <c r="BG94" s="273"/>
      <c r="BH94" s="273"/>
      <c r="BI94" s="273"/>
      <c r="BJ94" s="273"/>
      <c r="BK94" s="273"/>
      <c r="BL94" s="273"/>
      <c r="BM94" s="273"/>
      <c r="BN94" s="273"/>
      <c r="BO94" s="273"/>
      <c r="BP94" s="273"/>
      <c r="BQ94" s="273"/>
      <c r="BR94" s="273"/>
      <c r="BS94" s="273"/>
      <c r="BT94" s="273"/>
      <c r="BU94" s="273"/>
      <c r="BV94" s="273"/>
      <c r="BW94" s="273"/>
      <c r="BX94" s="273"/>
      <c r="BY94" s="273"/>
      <c r="BZ94" s="273"/>
      <c r="CA94" s="273"/>
      <c r="CB94" s="273"/>
      <c r="CC94" s="273"/>
      <c r="CD94" s="273"/>
      <c r="CE94" s="273"/>
      <c r="CF94" s="273"/>
      <c r="CG94" s="273"/>
      <c r="CH94" s="273"/>
      <c r="CI94" s="273"/>
      <c r="CJ94" s="273"/>
      <c r="CK94" s="273"/>
      <c r="CL94" s="273"/>
      <c r="CM94" s="273"/>
      <c r="CN94" s="273"/>
      <c r="CO94" s="273"/>
      <c r="CP94" s="273"/>
      <c r="CQ94" s="273"/>
      <c r="CR94" s="273"/>
    </row>
    <row r="95" spans="1:96" s="258" customFormat="1" ht="14.25" customHeight="1" x14ac:dyDescent="0.2">
      <c r="A95" s="581"/>
      <c r="B95" s="579"/>
      <c r="C95" s="452"/>
      <c r="D95" s="454"/>
      <c r="E95" s="454"/>
      <c r="F95" s="446"/>
      <c r="G95" s="446"/>
      <c r="H95" s="446"/>
      <c r="I95" s="446"/>
      <c r="J95" s="457"/>
      <c r="K95" s="447"/>
      <c r="L95" s="445"/>
      <c r="M95" s="447"/>
      <c r="N95" s="445"/>
      <c r="O95" s="445"/>
      <c r="P95" s="459"/>
      <c r="Q95" s="248">
        <v>5</v>
      </c>
      <c r="R95" s="321"/>
      <c r="S95" s="245"/>
      <c r="T95" s="245"/>
      <c r="U95" s="322" t="str">
        <f t="shared" si="174"/>
        <v/>
      </c>
      <c r="V95" s="323"/>
      <c r="W95" s="323"/>
      <c r="X95" s="324" t="str">
        <f t="shared" si="147"/>
        <v/>
      </c>
      <c r="Y95" s="323"/>
      <c r="Z95" s="323"/>
      <c r="AA95" s="323"/>
      <c r="AB95" s="325" t="str">
        <f t="shared" si="156"/>
        <v/>
      </c>
      <c r="AC95" s="326" t="str">
        <f t="shared" si="152"/>
        <v/>
      </c>
      <c r="AD95" s="324" t="str">
        <f t="shared" si="170"/>
        <v/>
      </c>
      <c r="AE95" s="326" t="str">
        <f t="shared" si="154"/>
        <v/>
      </c>
      <c r="AF95" s="324" t="str">
        <f t="shared" si="173"/>
        <v/>
      </c>
      <c r="AG95" s="328" t="str">
        <f t="shared" ref="AG95" si="175">IFERROR(IF(OR(AND(AC95="Muy Baja",AE95="Leve"),AND(AC95="Muy Baja",AE95="Menor"),AND(AC95="Baja",AE95="Leve")),"Bajo",IF(OR(AND(AC95="Muy baja",AE95="Moderado"),AND(AC95="Baja",AE95="Menor"),AND(AC95="Baja",AE95="Moderado"),AND(AC95="Media",AE95="Leve"),AND(AC95="Media",AE95="Menor"),AND(AC95="Media",AE95="Moderado"),AND(AC95="Alta",AE95="Leve"),AND(AC95="Alta",AE95="Menor")),"Moderado",IF(OR(AND(AC95="Muy Baja",AE95="Mayor"),AND(AC95="Baja",AE95="Mayor"),AND(AC95="Media",AE95="Mayor"),AND(AC95="Alta",AE95="Moderado"),AND(AC95="Alta",AE95="Mayor"),AND(AC95="Muy Alta",AE95="Leve"),AND(AC95="Muy Alta",AE95="Menor"),AND(AC95="Muy Alta",AE95="Moderado"),AND(AC95="Muy Alta",AE95="Mayor")),"Alto",IF(OR(AND(AC95="Muy Baja",AE95="Catastrófico"),AND(AC95="Baja",AE95="Catastrófico"),AND(AC95="Media",AE95="Catastrófico"),AND(AC95="Alta",AE95="Catastrófico"),AND(AC95="Muy Alta",AE95="Catastrófico")),"Extremo","")))),"")</f>
        <v/>
      </c>
      <c r="AH95" s="323"/>
      <c r="AI95" s="329"/>
      <c r="AJ95" s="329"/>
      <c r="AK95" s="329"/>
      <c r="AL95" s="329"/>
      <c r="AM95" s="356"/>
      <c r="AN95" s="356"/>
      <c r="AO95" s="357"/>
      <c r="AP95" s="273"/>
      <c r="AQ95" s="273"/>
      <c r="AR95" s="273"/>
      <c r="AS95" s="273"/>
      <c r="AT95" s="273"/>
      <c r="AU95" s="273"/>
      <c r="AV95" s="273"/>
      <c r="AW95" s="273"/>
      <c r="AX95" s="273"/>
      <c r="AY95" s="273"/>
      <c r="AZ95" s="273"/>
      <c r="BA95" s="273"/>
      <c r="BB95" s="273"/>
      <c r="BC95" s="273"/>
      <c r="BD95" s="273"/>
      <c r="BE95" s="273"/>
      <c r="BF95" s="273"/>
      <c r="BG95" s="273"/>
      <c r="BH95" s="273"/>
      <c r="BI95" s="273"/>
      <c r="BJ95" s="273"/>
      <c r="BK95" s="273"/>
      <c r="BL95" s="273"/>
      <c r="BM95" s="273"/>
      <c r="BN95" s="273"/>
      <c r="BO95" s="273"/>
      <c r="BP95" s="273"/>
      <c r="BQ95" s="273"/>
      <c r="BR95" s="273"/>
      <c r="BS95" s="273"/>
      <c r="BT95" s="273"/>
      <c r="BU95" s="273"/>
      <c r="BV95" s="273"/>
      <c r="BW95" s="273"/>
      <c r="BX95" s="273"/>
      <c r="BY95" s="273"/>
      <c r="BZ95" s="273"/>
      <c r="CA95" s="273"/>
      <c r="CB95" s="273"/>
      <c r="CC95" s="273"/>
      <c r="CD95" s="273"/>
      <c r="CE95" s="273"/>
      <c r="CF95" s="273"/>
      <c r="CG95" s="273"/>
      <c r="CH95" s="273"/>
      <c r="CI95" s="273"/>
      <c r="CJ95" s="273"/>
      <c r="CK95" s="273"/>
      <c r="CL95" s="273"/>
      <c r="CM95" s="273"/>
      <c r="CN95" s="273"/>
      <c r="CO95" s="273"/>
      <c r="CP95" s="273"/>
      <c r="CQ95" s="273"/>
      <c r="CR95" s="273"/>
    </row>
    <row r="96" spans="1:96" s="258" customFormat="1" ht="14.25" customHeight="1" x14ac:dyDescent="0.2">
      <c r="A96" s="581"/>
      <c r="B96" s="579"/>
      <c r="C96" s="452"/>
      <c r="D96" s="454"/>
      <c r="E96" s="454"/>
      <c r="F96" s="446"/>
      <c r="G96" s="446"/>
      <c r="H96" s="446"/>
      <c r="I96" s="446"/>
      <c r="J96" s="457"/>
      <c r="K96" s="447"/>
      <c r="L96" s="445"/>
      <c r="M96" s="447"/>
      <c r="N96" s="445"/>
      <c r="O96" s="445"/>
      <c r="P96" s="459"/>
      <c r="Q96" s="248">
        <v>6</v>
      </c>
      <c r="R96" s="321"/>
      <c r="S96" s="245"/>
      <c r="T96" s="245"/>
      <c r="U96" s="322" t="str">
        <f t="shared" si="174"/>
        <v/>
      </c>
      <c r="V96" s="323"/>
      <c r="W96" s="323"/>
      <c r="X96" s="324" t="str">
        <f t="shared" si="147"/>
        <v/>
      </c>
      <c r="Y96" s="323"/>
      <c r="Z96" s="323"/>
      <c r="AA96" s="323"/>
      <c r="AB96" s="325" t="str">
        <f t="shared" si="156"/>
        <v/>
      </c>
      <c r="AC96" s="326" t="str">
        <f t="shared" si="152"/>
        <v/>
      </c>
      <c r="AD96" s="324" t="str">
        <f t="shared" si="170"/>
        <v/>
      </c>
      <c r="AE96" s="326" t="str">
        <f>IFERROR(IF(AF96="","",IF(AF96&lt;=0.2,"Leve",IF(AF96&lt;=0.4,"Menor",IF(AF96&lt;=0.6,"Moderado",IF(AF96&lt;=0.8,"Mayor","Catastrófico"))))),"")</f>
        <v/>
      </c>
      <c r="AF96" s="324" t="str">
        <f>IFERROR(IF(AND(U95="Impacto",U96="Impacto"),(AF95-(+AF95*X96)),IF(U96="Impacto",($O$91-(+$O$91*X96)),IF(U96="Probabilidad",AF95,""))),"")</f>
        <v/>
      </c>
      <c r="AG96" s="328" t="str">
        <f>IFERROR(IF(OR(AND(AC96="Muy Baja",AE96="Leve"),AND(AC96="Muy Baja",AE96="Menor"),AND(AC96="Baja",AE96="Leve")),"Bajo",IF(OR(AND(AC96="Muy baja",AE96="Moderado"),AND(AC96="Baja",AE96="Menor"),AND(AC96="Baja",AE96="Moderado"),AND(AC96="Media",AE96="Leve"),AND(AC96="Media",AE96="Menor"),AND(AC96="Media",AE96="Moderado"),AND(AC96="Alta",AE96="Leve"),AND(AC96="Alta",AE96="Menor")),"Moderado",IF(OR(AND(AC96="Muy Baja",AE96="Mayor"),AND(AC96="Baja",AE96="Mayor"),AND(AC96="Media",AE96="Mayor"),AND(AC96="Alta",AE96="Moderado"),AND(AC96="Alta",AE96="Mayor"),AND(AC96="Muy Alta",AE96="Leve"),AND(AC96="Muy Alta",AE96="Menor"),AND(AC96="Muy Alta",AE96="Moderado"),AND(AC96="Muy Alta",AE96="Mayor")),"Alto",IF(OR(AND(AC96="Muy Baja",AE96="Catastrófico"),AND(AC96="Baja",AE96="Catastrófico"),AND(AC96="Media",AE96="Catastrófico"),AND(AC96="Alta",AE96="Catastrófico"),AND(AC96="Muy Alta",AE96="Catastrófico")),"Extremo","")))),"")</f>
        <v/>
      </c>
      <c r="AH96" s="323"/>
      <c r="AI96" s="329"/>
      <c r="AJ96" s="329"/>
      <c r="AK96" s="329"/>
      <c r="AL96" s="329"/>
      <c r="AM96" s="356"/>
      <c r="AN96" s="356"/>
      <c r="AO96" s="357"/>
      <c r="AP96" s="273"/>
      <c r="AQ96" s="273"/>
      <c r="AR96" s="273"/>
      <c r="AS96" s="273"/>
      <c r="AT96" s="273"/>
      <c r="AU96" s="273"/>
      <c r="AV96" s="273"/>
      <c r="AW96" s="273"/>
      <c r="AX96" s="273"/>
      <c r="AY96" s="273"/>
      <c r="AZ96" s="273"/>
      <c r="BA96" s="273"/>
      <c r="BB96" s="273"/>
      <c r="BC96" s="273"/>
      <c r="BD96" s="273"/>
      <c r="BE96" s="273"/>
      <c r="BF96" s="273"/>
      <c r="BG96" s="273"/>
      <c r="BH96" s="273"/>
      <c r="BI96" s="273"/>
      <c r="BJ96" s="273"/>
      <c r="BK96" s="273"/>
      <c r="BL96" s="273"/>
      <c r="BM96" s="273"/>
      <c r="BN96" s="273"/>
      <c r="BO96" s="273"/>
      <c r="BP96" s="273"/>
      <c r="BQ96" s="273"/>
      <c r="BR96" s="273"/>
      <c r="BS96" s="273"/>
      <c r="BT96" s="273"/>
      <c r="BU96" s="273"/>
      <c r="BV96" s="273"/>
      <c r="BW96" s="273"/>
      <c r="BX96" s="273"/>
      <c r="BY96" s="273"/>
      <c r="BZ96" s="273"/>
      <c r="CA96" s="273"/>
      <c r="CB96" s="273"/>
      <c r="CC96" s="273"/>
      <c r="CD96" s="273"/>
      <c r="CE96" s="273"/>
      <c r="CF96" s="273"/>
      <c r="CG96" s="273"/>
      <c r="CH96" s="273"/>
      <c r="CI96" s="273"/>
      <c r="CJ96" s="273"/>
      <c r="CK96" s="273"/>
      <c r="CL96" s="273"/>
      <c r="CM96" s="273"/>
      <c r="CN96" s="273"/>
      <c r="CO96" s="273"/>
      <c r="CP96" s="273"/>
      <c r="CQ96" s="273"/>
      <c r="CR96" s="273"/>
    </row>
    <row r="97" spans="1:96" s="261" customFormat="1" ht="134.25" customHeight="1" x14ac:dyDescent="0.2">
      <c r="A97" s="581" t="s">
        <v>767</v>
      </c>
      <c r="B97" s="579" t="s">
        <v>830</v>
      </c>
      <c r="C97" s="452" t="s">
        <v>613</v>
      </c>
      <c r="D97" s="454" t="s">
        <v>619</v>
      </c>
      <c r="E97" s="454" t="s">
        <v>768</v>
      </c>
      <c r="F97" s="446" t="s">
        <v>675</v>
      </c>
      <c r="G97" s="456" t="s">
        <v>827</v>
      </c>
      <c r="H97" s="446" t="s">
        <v>233</v>
      </c>
      <c r="I97" s="446" t="s">
        <v>828</v>
      </c>
      <c r="J97" s="457">
        <v>85</v>
      </c>
      <c r="K97" s="447" t="str">
        <f t="shared" si="114"/>
        <v>Media</v>
      </c>
      <c r="L97" s="445">
        <f t="shared" ref="L97" si="176">IF(K97="","",IF(K97="Muy Baja",0.2,IF(K97="Baja",0.4,IF(K97="Media",0.6,IF(K97="Alta",0.8,IF(K97="Muy Alta",1,))))))</f>
        <v>0.6</v>
      </c>
      <c r="M97" s="447">
        <v>4</v>
      </c>
      <c r="N97" s="445" t="str">
        <f>IF(M97=1,"INSIGNIFICANTE",IF(M97=2,"Menor",IF(M97=3,"Moderado",IF(M97=4,"Mayor",IF(M97=5,"Catastrófico",IF(M97=""," "))))))</f>
        <v>Mayor</v>
      </c>
      <c r="O97" s="445">
        <f t="shared" ref="O97" si="177">IF(N97="","",IF(N97="Leve",0.2,IF(N97="Menor",0.4,IF(N97="Moderado",0.6,IF(N97="Mayor",0.8,IF(N97="Catastrófico",1,))))))</f>
        <v>0.8</v>
      </c>
      <c r="P97" s="459" t="str">
        <f t="shared" si="139"/>
        <v>Alto</v>
      </c>
      <c r="Q97" s="248">
        <v>1</v>
      </c>
      <c r="R97" s="321" t="s">
        <v>1080</v>
      </c>
      <c r="S97" s="245" t="s">
        <v>293</v>
      </c>
      <c r="T97" s="245" t="s">
        <v>769</v>
      </c>
      <c r="U97" s="322" t="str">
        <f>IF(OR(V97="Preventivo",V97="Detectivo"),"Probabilidad",IF(V97="Correctivo","Impacto",""))</f>
        <v>Probabilidad</v>
      </c>
      <c r="V97" s="323" t="s">
        <v>13</v>
      </c>
      <c r="W97" s="323" t="s">
        <v>8</v>
      </c>
      <c r="X97" s="324" t="str">
        <f t="shared" si="147"/>
        <v>40%</v>
      </c>
      <c r="Y97" s="323" t="s">
        <v>18</v>
      </c>
      <c r="Z97" s="323" t="s">
        <v>21</v>
      </c>
      <c r="AA97" s="323" t="s">
        <v>103</v>
      </c>
      <c r="AB97" s="325">
        <f>IFERROR(IF(U97="Probabilidad",(L97-(+L97*X97)),IF(U97="Impacto",L97,"")),"")</f>
        <v>0.36</v>
      </c>
      <c r="AC97" s="326" t="str">
        <f>IFERROR(IF(AB97="","",IF(AB97&lt;=0.2,"Muy Baja",IF(AB97&lt;=0.4,"Baja",IF(AB97&lt;=0.6,"Media",IF(AB97&lt;=0.8,"Alta","Muy Alta"))))),"")</f>
        <v>Baja</v>
      </c>
      <c r="AD97" s="324">
        <f>+AB97</f>
        <v>0.36</v>
      </c>
      <c r="AE97" s="326" t="str">
        <f>IFERROR(IF(AF97="","",IF(AF97&lt;=0.2,"Leve",IF(AF97&lt;=0.4,"Menor",IF(AF97&lt;=0.6,"Moderado",IF(AF97&lt;=0.8,"Mayor","Catastrófico"))))),"")</f>
        <v>Mayor</v>
      </c>
      <c r="AF97" s="324">
        <f>IFERROR(IF(U97="Impacto",(O97-(+O97*X97)),IF(U97="Probabilidad",O97,"")),"")</f>
        <v>0.8</v>
      </c>
      <c r="AG97" s="328" t="str">
        <f>IFERROR(IF(OR(AND(AC97="Muy Baja",AE97="Leve"),AND(AC97="Muy Baja",AE97="Menor"),AND(AC97="Baja",AE97="Leve")),"Bajo",IF(OR(AND(AC97="Muy baja",AE97="Moderado"),AND(AC97="Baja",AE97="Menor"),AND(AC97="Baja",AE97="Moderado"),AND(AC97="Media",AE97="Leve"),AND(AC97="Media",AE97="Menor"),AND(AC97="Media",AE97="Moderado"),AND(AC97="Alta",AE97="Leve"),AND(AC97="Alta",AE97="Menor")),"Moderado",IF(OR(AND(AC97="Muy Baja",AE97="Mayor"),AND(AC97="Baja",AE97="Mayor"),AND(AC97="Media",AE97="Mayor"),AND(AC97="Alta",AE97="Moderado"),AND(AC97="Alta",AE97="Mayor"),AND(AC97="Muy Alta",AE97="Leve"),AND(AC97="Muy Alta",AE97="Menor"),AND(AC97="Muy Alta",AE97="Moderado"),AND(AC97="Muy Alta",AE97="Mayor")),"Alto",IF(OR(AND(AC97="Muy Baja",AE97="Catastrófico"),AND(AC97="Baja",AE97="Catastrófico"),AND(AC97="Media",AE97="Catastrófico"),AND(AC97="Alta",AE97="Catastrófico"),AND(AC97="Muy Alta",AE97="Catastrófico")),"Extremo","")))),"")</f>
        <v>Alto</v>
      </c>
      <c r="AH97" s="323" t="s">
        <v>26</v>
      </c>
      <c r="AI97" s="329">
        <v>0</v>
      </c>
      <c r="AJ97" s="329">
        <v>0</v>
      </c>
      <c r="AK97" s="329">
        <v>0</v>
      </c>
      <c r="AL97" s="329">
        <v>0</v>
      </c>
      <c r="AM97" s="356"/>
      <c r="AN97" s="356"/>
      <c r="AO97" s="357"/>
      <c r="AP97" s="273"/>
      <c r="AQ97" s="273"/>
      <c r="AR97" s="273"/>
      <c r="AS97" s="273"/>
      <c r="AT97" s="273"/>
      <c r="AU97" s="273"/>
      <c r="AV97" s="273"/>
      <c r="AW97" s="273"/>
      <c r="AX97" s="273"/>
      <c r="AY97" s="273"/>
      <c r="AZ97" s="273"/>
      <c r="BA97" s="273"/>
      <c r="BB97" s="273"/>
      <c r="BC97" s="273"/>
      <c r="BD97" s="273"/>
      <c r="BE97" s="273"/>
      <c r="BF97" s="273"/>
      <c r="BG97" s="273"/>
      <c r="BH97" s="273"/>
      <c r="BI97" s="273"/>
      <c r="BJ97" s="273"/>
      <c r="BK97" s="273"/>
      <c r="BL97" s="273"/>
      <c r="BM97" s="273"/>
      <c r="BN97" s="273"/>
      <c r="BO97" s="273"/>
      <c r="BP97" s="273"/>
      <c r="BQ97" s="273"/>
      <c r="BR97" s="273"/>
      <c r="BS97" s="273"/>
      <c r="BT97" s="273"/>
      <c r="BU97" s="273"/>
      <c r="BV97" s="273"/>
      <c r="BW97" s="273"/>
      <c r="BX97" s="273"/>
      <c r="BY97" s="273"/>
      <c r="BZ97" s="273"/>
      <c r="CA97" s="273"/>
      <c r="CB97" s="273"/>
      <c r="CC97" s="273"/>
      <c r="CD97" s="273"/>
      <c r="CE97" s="273"/>
      <c r="CF97" s="273"/>
      <c r="CG97" s="273"/>
      <c r="CH97" s="273"/>
      <c r="CI97" s="273"/>
      <c r="CJ97" s="273"/>
      <c r="CK97" s="273"/>
      <c r="CL97" s="273"/>
      <c r="CM97" s="273"/>
      <c r="CN97" s="273"/>
      <c r="CO97" s="273"/>
      <c r="CP97" s="273"/>
      <c r="CQ97" s="273"/>
      <c r="CR97" s="273"/>
    </row>
    <row r="98" spans="1:96" s="258" customFormat="1" ht="23.25" customHeight="1" x14ac:dyDescent="0.2">
      <c r="A98" s="581"/>
      <c r="B98" s="579"/>
      <c r="C98" s="452"/>
      <c r="D98" s="454"/>
      <c r="E98" s="454"/>
      <c r="F98" s="446"/>
      <c r="G98" s="456"/>
      <c r="H98" s="446"/>
      <c r="I98" s="446"/>
      <c r="J98" s="457"/>
      <c r="K98" s="447"/>
      <c r="L98" s="445"/>
      <c r="M98" s="447"/>
      <c r="N98" s="445"/>
      <c r="O98" s="445"/>
      <c r="P98" s="459"/>
      <c r="Q98" s="244">
        <v>2</v>
      </c>
      <c r="R98" s="247"/>
      <c r="S98" s="283"/>
      <c r="T98" s="245"/>
      <c r="U98" s="204" t="str">
        <f>IF(OR(V98="Preventivo",V98="Detectivo"),"Probabilidad",IF(V98="Correctivo","Impacto",""))</f>
        <v/>
      </c>
      <c r="V98" s="224"/>
      <c r="W98" s="224"/>
      <c r="X98" s="205" t="str">
        <f t="shared" si="147"/>
        <v/>
      </c>
      <c r="Y98" s="224"/>
      <c r="Z98" s="224"/>
      <c r="AA98" s="224"/>
      <c r="AB98" s="206" t="str">
        <f>IFERROR(IF(AND(U97="Probabilidad",U98="Probabilidad"),(AD97-(+AD97*X98)),IF(U98="Probabilidad",(L97-(+L97*X98)),IF(U98="Impacto",AD97,""))),"")</f>
        <v/>
      </c>
      <c r="AC98" s="207" t="str">
        <f t="shared" si="152"/>
        <v/>
      </c>
      <c r="AD98" s="205" t="str">
        <f t="shared" ref="AD98:AD102" si="178">+AB98</f>
        <v/>
      </c>
      <c r="AE98" s="207" t="str">
        <f t="shared" si="154"/>
        <v/>
      </c>
      <c r="AF98" s="205" t="str">
        <f>IFERROR(IF(AND(U97="Impacto",U98="Impacto"),(AF97-(+AF97*X98)),IF(U98="Impacto",($O$97-(+$O$97*X98)),IF(U98="Probabilidad",AF97,""))),"")</f>
        <v/>
      </c>
      <c r="AG98" s="208" t="str">
        <f t="shared" ref="AG98:AG99" si="179">IFERROR(IF(OR(AND(AC98="Muy Baja",AE98="Leve"),AND(AC98="Muy Baja",AE98="Menor"),AND(AC98="Baja",AE98="Leve")),"Bajo",IF(OR(AND(AC98="Muy baja",AE98="Moderado"),AND(AC98="Baja",AE98="Menor"),AND(AC98="Baja",AE98="Moderado"),AND(AC98="Media",AE98="Leve"),AND(AC98="Media",AE98="Menor"),AND(AC98="Media",AE98="Moderado"),AND(AC98="Alta",AE98="Leve"),AND(AC98="Alta",AE98="Menor")),"Moderado",IF(OR(AND(AC98="Muy Baja",AE98="Mayor"),AND(AC98="Baja",AE98="Mayor"),AND(AC98="Media",AE98="Mayor"),AND(AC98="Alta",AE98="Moderado"),AND(AC98="Alta",AE98="Mayor"),AND(AC98="Muy Alta",AE98="Leve"),AND(AC98="Muy Alta",AE98="Menor"),AND(AC98="Muy Alta",AE98="Moderado"),AND(AC98="Muy Alta",AE98="Mayor")),"Alto",IF(OR(AND(AC98="Muy Baja",AE98="Catastrófico"),AND(AC98="Baja",AE98="Catastrófico"),AND(AC98="Media",AE98="Catastrófico"),AND(AC98="Alta",AE98="Catastrófico"),AND(AC98="Muy Alta",AE98="Catastrófico")),"Extremo","")))),"")</f>
        <v/>
      </c>
      <c r="AH98" s="224"/>
      <c r="AI98" s="246"/>
      <c r="AJ98" s="246"/>
      <c r="AK98" s="246"/>
      <c r="AL98" s="246"/>
      <c r="AM98" s="356"/>
      <c r="AN98" s="356"/>
      <c r="AO98" s="357"/>
      <c r="AP98" s="273"/>
      <c r="AQ98" s="273"/>
      <c r="AR98" s="273"/>
      <c r="AS98" s="273"/>
      <c r="AT98" s="273"/>
      <c r="AU98" s="273"/>
      <c r="AV98" s="273"/>
      <c r="AW98" s="273"/>
      <c r="AX98" s="273"/>
      <c r="AY98" s="273"/>
      <c r="AZ98" s="273"/>
      <c r="BA98" s="273"/>
      <c r="BB98" s="273"/>
      <c r="BC98" s="273"/>
      <c r="BD98" s="273"/>
      <c r="BE98" s="273"/>
      <c r="BF98" s="273"/>
      <c r="BG98" s="273"/>
      <c r="BH98" s="273"/>
      <c r="BI98" s="273"/>
      <c r="BJ98" s="273"/>
      <c r="BK98" s="273"/>
      <c r="BL98" s="273"/>
      <c r="BM98" s="273"/>
      <c r="BN98" s="273"/>
      <c r="BO98" s="273"/>
      <c r="BP98" s="273"/>
      <c r="BQ98" s="273"/>
      <c r="BR98" s="273"/>
      <c r="BS98" s="273"/>
      <c r="BT98" s="273"/>
      <c r="BU98" s="273"/>
      <c r="BV98" s="273"/>
      <c r="BW98" s="273"/>
      <c r="BX98" s="273"/>
      <c r="BY98" s="273"/>
      <c r="BZ98" s="273"/>
      <c r="CA98" s="273"/>
      <c r="CB98" s="273"/>
      <c r="CC98" s="273"/>
      <c r="CD98" s="273"/>
      <c r="CE98" s="273"/>
      <c r="CF98" s="273"/>
      <c r="CG98" s="273"/>
      <c r="CH98" s="273"/>
      <c r="CI98" s="273"/>
      <c r="CJ98" s="273"/>
      <c r="CK98" s="273"/>
      <c r="CL98" s="273"/>
      <c r="CM98" s="273"/>
      <c r="CN98" s="273"/>
      <c r="CO98" s="273"/>
      <c r="CP98" s="273"/>
      <c r="CQ98" s="273"/>
      <c r="CR98" s="273"/>
    </row>
    <row r="99" spans="1:96" s="258" customFormat="1" ht="23.25" customHeight="1" x14ac:dyDescent="0.2">
      <c r="A99" s="581"/>
      <c r="B99" s="579"/>
      <c r="C99" s="452"/>
      <c r="D99" s="454"/>
      <c r="E99" s="454"/>
      <c r="F99" s="446"/>
      <c r="G99" s="456"/>
      <c r="H99" s="446"/>
      <c r="I99" s="446"/>
      <c r="J99" s="457"/>
      <c r="K99" s="447"/>
      <c r="L99" s="445"/>
      <c r="M99" s="447"/>
      <c r="N99" s="445"/>
      <c r="O99" s="445"/>
      <c r="P99" s="459"/>
      <c r="Q99" s="244">
        <v>3</v>
      </c>
      <c r="R99" s="250"/>
      <c r="S99" s="283"/>
      <c r="T99" s="245"/>
      <c r="U99" s="204" t="str">
        <f>IF(OR(V99="Preventivo",V99="Detectivo"),"Probabilidad",IF(V99="Correctivo","Impacto",""))</f>
        <v/>
      </c>
      <c r="V99" s="224"/>
      <c r="W99" s="224"/>
      <c r="X99" s="205" t="str">
        <f t="shared" si="147"/>
        <v/>
      </c>
      <c r="Y99" s="224"/>
      <c r="Z99" s="224"/>
      <c r="AA99" s="224"/>
      <c r="AB99" s="206" t="str">
        <f t="shared" ref="AB99" si="180">IFERROR(IF(AND(U98="Probabilidad",U99="Probabilidad"),(AD98-(+AD98*X99)),IF(AND(U98="Impacto",U99="Probabilidad"),(AD97-(+AD97*X99)),IF(U99="Impacto",AD98,""))),"")</f>
        <v/>
      </c>
      <c r="AC99" s="207" t="str">
        <f t="shared" si="152"/>
        <v/>
      </c>
      <c r="AD99" s="205" t="str">
        <f t="shared" si="178"/>
        <v/>
      </c>
      <c r="AE99" s="207" t="str">
        <f t="shared" si="154"/>
        <v/>
      </c>
      <c r="AF99" s="205" t="str">
        <f t="shared" ref="AF99:AF102" si="181">IFERROR(IF(AND(U98="Impacto",U99="Impacto"),(AF98-(+AF98*X99)),IF(U99="Impacto",($O$97-(+$O$97*X99)),IF(U99="Probabilidad",AF98,""))),"")</f>
        <v/>
      </c>
      <c r="AG99" s="208" t="str">
        <f t="shared" si="179"/>
        <v/>
      </c>
      <c r="AH99" s="224"/>
      <c r="AI99" s="246"/>
      <c r="AJ99" s="246"/>
      <c r="AK99" s="246"/>
      <c r="AL99" s="246"/>
      <c r="AM99" s="356"/>
      <c r="AN99" s="356"/>
      <c r="AO99" s="357"/>
      <c r="AP99" s="273"/>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73"/>
      <c r="BR99" s="273"/>
      <c r="BS99" s="273"/>
      <c r="BT99" s="273"/>
      <c r="BU99" s="273"/>
      <c r="BV99" s="273"/>
      <c r="BW99" s="273"/>
      <c r="BX99" s="273"/>
      <c r="BY99" s="273"/>
      <c r="BZ99" s="273"/>
      <c r="CA99" s="273"/>
      <c r="CB99" s="273"/>
      <c r="CC99" s="273"/>
      <c r="CD99" s="273"/>
      <c r="CE99" s="273"/>
      <c r="CF99" s="273"/>
      <c r="CG99" s="273"/>
      <c r="CH99" s="273"/>
      <c r="CI99" s="273"/>
      <c r="CJ99" s="273"/>
      <c r="CK99" s="273"/>
      <c r="CL99" s="273"/>
      <c r="CM99" s="273"/>
      <c r="CN99" s="273"/>
      <c r="CO99" s="273"/>
      <c r="CP99" s="273"/>
      <c r="CQ99" s="273"/>
      <c r="CR99" s="273"/>
    </row>
    <row r="100" spans="1:96" s="258" customFormat="1" ht="23.25" customHeight="1" x14ac:dyDescent="0.2">
      <c r="A100" s="581"/>
      <c r="B100" s="579"/>
      <c r="C100" s="452"/>
      <c r="D100" s="454"/>
      <c r="E100" s="454"/>
      <c r="F100" s="446"/>
      <c r="G100" s="456"/>
      <c r="H100" s="446"/>
      <c r="I100" s="446"/>
      <c r="J100" s="457"/>
      <c r="K100" s="447"/>
      <c r="L100" s="445"/>
      <c r="M100" s="447"/>
      <c r="N100" s="445"/>
      <c r="O100" s="445"/>
      <c r="P100" s="459"/>
      <c r="Q100" s="244">
        <v>4</v>
      </c>
      <c r="R100" s="247"/>
      <c r="S100" s="283"/>
      <c r="T100" s="245"/>
      <c r="U100" s="204" t="str">
        <f t="shared" ref="U100:U102" si="182">IF(OR(V100="Preventivo",V100="Detectivo"),"Probabilidad",IF(V100="Correctivo","Impacto",""))</f>
        <v/>
      </c>
      <c r="V100" s="224"/>
      <c r="W100" s="224"/>
      <c r="X100" s="205" t="str">
        <f t="shared" si="147"/>
        <v/>
      </c>
      <c r="Y100" s="224"/>
      <c r="Z100" s="224"/>
      <c r="AA100" s="224"/>
      <c r="AB100" s="206" t="str">
        <f t="shared" si="156"/>
        <v/>
      </c>
      <c r="AC100" s="207" t="str">
        <f t="shared" si="152"/>
        <v/>
      </c>
      <c r="AD100" s="205" t="str">
        <f t="shared" si="178"/>
        <v/>
      </c>
      <c r="AE100" s="207" t="str">
        <f t="shared" si="154"/>
        <v/>
      </c>
      <c r="AF100" s="205" t="str">
        <f t="shared" si="181"/>
        <v/>
      </c>
      <c r="AG100" s="208" t="str">
        <f>IFERROR(IF(OR(AND(AC100="Muy Baja",AE100="Leve"),AND(AC100="Muy Baja",AE100="Menor"),AND(AC100="Baja",AE100="Leve")),"Bajo",IF(OR(AND(AC100="Muy baja",AE100="Moderado"),AND(AC100="Baja",AE100="Menor"),AND(AC100="Baja",AE100="Moderado"),AND(AC100="Media",AE100="Leve"),AND(AC100="Media",AE100="Menor"),AND(AC100="Media",AE100="Moderado"),AND(AC100="Alta",AE100="Leve"),AND(AC100="Alta",AE100="Menor")),"Moderado",IF(OR(AND(AC100="Muy Baja",AE100="Mayor"),AND(AC100="Baja",AE100="Mayor"),AND(AC100="Media",AE100="Mayor"),AND(AC100="Alta",AE100="Moderado"),AND(AC100="Alta",AE100="Mayor"),AND(AC100="Muy Alta",AE100="Leve"),AND(AC100="Muy Alta",AE100="Menor"),AND(AC100="Muy Alta",AE100="Moderado"),AND(AC100="Muy Alta",AE100="Mayor")),"Alto",IF(OR(AND(AC100="Muy Baja",AE100="Catastrófico"),AND(AC100="Baja",AE100="Catastrófico"),AND(AC100="Media",AE100="Catastrófico"),AND(AC100="Alta",AE100="Catastrófico"),AND(AC100="Muy Alta",AE100="Catastrófico")),"Extremo","")))),"")</f>
        <v/>
      </c>
      <c r="AH100" s="224"/>
      <c r="AI100" s="246"/>
      <c r="AJ100" s="246"/>
      <c r="AK100" s="246"/>
      <c r="AL100" s="246"/>
      <c r="AM100" s="356"/>
      <c r="AN100" s="356"/>
      <c r="AO100" s="357"/>
      <c r="AP100" s="273"/>
      <c r="AQ100" s="273"/>
      <c r="AR100" s="273"/>
      <c r="AS100" s="273"/>
      <c r="AT100" s="273"/>
      <c r="AU100" s="273"/>
      <c r="AV100" s="273"/>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3"/>
      <c r="BU100" s="273"/>
      <c r="BV100" s="273"/>
      <c r="BW100" s="273"/>
      <c r="BX100" s="273"/>
      <c r="BY100" s="273"/>
      <c r="BZ100" s="273"/>
      <c r="CA100" s="273"/>
      <c r="CB100" s="273"/>
      <c r="CC100" s="273"/>
      <c r="CD100" s="273"/>
      <c r="CE100" s="273"/>
      <c r="CF100" s="273"/>
      <c r="CG100" s="273"/>
      <c r="CH100" s="273"/>
      <c r="CI100" s="273"/>
      <c r="CJ100" s="273"/>
      <c r="CK100" s="273"/>
      <c r="CL100" s="273"/>
      <c r="CM100" s="273"/>
      <c r="CN100" s="273"/>
      <c r="CO100" s="273"/>
      <c r="CP100" s="273"/>
      <c r="CQ100" s="273"/>
      <c r="CR100" s="273"/>
    </row>
    <row r="101" spans="1:96" s="258" customFormat="1" ht="23.25" customHeight="1" x14ac:dyDescent="0.2">
      <c r="A101" s="581"/>
      <c r="B101" s="579"/>
      <c r="C101" s="452"/>
      <c r="D101" s="454"/>
      <c r="E101" s="454"/>
      <c r="F101" s="446"/>
      <c r="G101" s="456"/>
      <c r="H101" s="446"/>
      <c r="I101" s="446"/>
      <c r="J101" s="457"/>
      <c r="K101" s="447"/>
      <c r="L101" s="445"/>
      <c r="M101" s="447"/>
      <c r="N101" s="445"/>
      <c r="O101" s="445"/>
      <c r="P101" s="459"/>
      <c r="Q101" s="244">
        <v>5</v>
      </c>
      <c r="R101" s="247"/>
      <c r="S101" s="283"/>
      <c r="T101" s="245"/>
      <c r="U101" s="204" t="str">
        <f t="shared" si="182"/>
        <v/>
      </c>
      <c r="V101" s="224"/>
      <c r="W101" s="224"/>
      <c r="X101" s="205" t="str">
        <f t="shared" si="147"/>
        <v/>
      </c>
      <c r="Y101" s="224"/>
      <c r="Z101" s="224"/>
      <c r="AA101" s="224"/>
      <c r="AB101" s="206" t="str">
        <f t="shared" si="156"/>
        <v/>
      </c>
      <c r="AC101" s="207" t="str">
        <f t="shared" si="152"/>
        <v/>
      </c>
      <c r="AD101" s="205" t="str">
        <f t="shared" si="178"/>
        <v/>
      </c>
      <c r="AE101" s="207" t="str">
        <f t="shared" si="154"/>
        <v/>
      </c>
      <c r="AF101" s="205" t="str">
        <f t="shared" si="181"/>
        <v/>
      </c>
      <c r="AG101" s="208" t="str">
        <f t="shared" ref="AG101:AG102" si="183">IFERROR(IF(OR(AND(AC101="Muy Baja",AE101="Leve"),AND(AC101="Muy Baja",AE101="Menor"),AND(AC101="Baja",AE101="Leve")),"Bajo",IF(OR(AND(AC101="Muy baja",AE101="Moderado"),AND(AC101="Baja",AE101="Menor"),AND(AC101="Baja",AE101="Moderado"),AND(AC101="Media",AE101="Leve"),AND(AC101="Media",AE101="Menor"),AND(AC101="Media",AE101="Moderado"),AND(AC101="Alta",AE101="Leve"),AND(AC101="Alta",AE101="Menor")),"Moderado",IF(OR(AND(AC101="Muy Baja",AE101="Mayor"),AND(AC101="Baja",AE101="Mayor"),AND(AC101="Media",AE101="Mayor"),AND(AC101="Alta",AE101="Moderado"),AND(AC101="Alta",AE101="Mayor"),AND(AC101="Muy Alta",AE101="Leve"),AND(AC101="Muy Alta",AE101="Menor"),AND(AC101="Muy Alta",AE101="Moderado"),AND(AC101="Muy Alta",AE101="Mayor")),"Alto",IF(OR(AND(AC101="Muy Baja",AE101="Catastrófico"),AND(AC101="Baja",AE101="Catastrófico"),AND(AC101="Media",AE101="Catastrófico"),AND(AC101="Alta",AE101="Catastrófico"),AND(AC101="Muy Alta",AE101="Catastrófico")),"Extremo","")))),"")</f>
        <v/>
      </c>
      <c r="AH101" s="224"/>
      <c r="AI101" s="246"/>
      <c r="AJ101" s="246"/>
      <c r="AK101" s="246"/>
      <c r="AL101" s="246"/>
      <c r="AM101" s="356"/>
      <c r="AN101" s="356"/>
      <c r="AO101" s="357"/>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273"/>
      <c r="CA101" s="273"/>
      <c r="CB101" s="273"/>
      <c r="CC101" s="273"/>
      <c r="CD101" s="273"/>
      <c r="CE101" s="273"/>
      <c r="CF101" s="273"/>
      <c r="CG101" s="273"/>
      <c r="CH101" s="273"/>
      <c r="CI101" s="273"/>
      <c r="CJ101" s="273"/>
      <c r="CK101" s="273"/>
      <c r="CL101" s="273"/>
      <c r="CM101" s="273"/>
      <c r="CN101" s="273"/>
      <c r="CO101" s="273"/>
      <c r="CP101" s="273"/>
      <c r="CQ101" s="273"/>
      <c r="CR101" s="273"/>
    </row>
    <row r="102" spans="1:96" s="258" customFormat="1" ht="23.25" customHeight="1" x14ac:dyDescent="0.2">
      <c r="A102" s="581"/>
      <c r="B102" s="579"/>
      <c r="C102" s="452"/>
      <c r="D102" s="454"/>
      <c r="E102" s="454"/>
      <c r="F102" s="446"/>
      <c r="G102" s="456"/>
      <c r="H102" s="446"/>
      <c r="I102" s="446"/>
      <c r="J102" s="457"/>
      <c r="K102" s="447"/>
      <c r="L102" s="445"/>
      <c r="M102" s="447"/>
      <c r="N102" s="445"/>
      <c r="O102" s="445"/>
      <c r="P102" s="459"/>
      <c r="Q102" s="244">
        <v>6</v>
      </c>
      <c r="R102" s="247"/>
      <c r="S102" s="283"/>
      <c r="T102" s="245"/>
      <c r="U102" s="204" t="str">
        <f t="shared" si="182"/>
        <v/>
      </c>
      <c r="V102" s="224"/>
      <c r="W102" s="224"/>
      <c r="X102" s="205" t="str">
        <f t="shared" si="147"/>
        <v/>
      </c>
      <c r="Y102" s="224"/>
      <c r="Z102" s="224"/>
      <c r="AA102" s="224"/>
      <c r="AB102" s="206" t="str">
        <f t="shared" si="156"/>
        <v/>
      </c>
      <c r="AC102" s="207" t="str">
        <f t="shared" si="152"/>
        <v/>
      </c>
      <c r="AD102" s="205" t="str">
        <f t="shared" si="178"/>
        <v/>
      </c>
      <c r="AE102" s="207" t="str">
        <f t="shared" si="154"/>
        <v/>
      </c>
      <c r="AF102" s="205" t="str">
        <f t="shared" si="181"/>
        <v/>
      </c>
      <c r="AG102" s="208" t="str">
        <f t="shared" si="183"/>
        <v/>
      </c>
      <c r="AH102" s="224"/>
      <c r="AI102" s="246"/>
      <c r="AJ102" s="246"/>
      <c r="AK102" s="246"/>
      <c r="AL102" s="246"/>
      <c r="AM102" s="254"/>
      <c r="AN102" s="254"/>
      <c r="AO102" s="255"/>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273"/>
      <c r="CA102" s="273"/>
      <c r="CB102" s="273"/>
      <c r="CC102" s="273"/>
      <c r="CD102" s="273"/>
      <c r="CE102" s="273"/>
      <c r="CF102" s="273"/>
      <c r="CG102" s="273"/>
      <c r="CH102" s="273"/>
      <c r="CI102" s="273"/>
      <c r="CJ102" s="273"/>
      <c r="CK102" s="273"/>
      <c r="CL102" s="273"/>
      <c r="CM102" s="273"/>
      <c r="CN102" s="273"/>
      <c r="CO102" s="273"/>
      <c r="CP102" s="273"/>
      <c r="CQ102" s="273"/>
      <c r="CR102" s="273"/>
    </row>
    <row r="103" spans="1:96" s="258" customFormat="1" ht="86.25" customHeight="1" x14ac:dyDescent="0.2">
      <c r="A103" s="268"/>
      <c r="B103" s="335"/>
      <c r="C103" s="354"/>
      <c r="D103" s="267"/>
      <c r="E103" s="268"/>
      <c r="F103" s="268"/>
      <c r="G103" s="267"/>
      <c r="H103" s="269"/>
      <c r="I103" s="269"/>
      <c r="R103" s="270"/>
      <c r="S103" s="269"/>
      <c r="T103" s="269"/>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c r="CL103" s="273"/>
      <c r="CM103" s="273"/>
      <c r="CN103" s="273"/>
      <c r="CO103" s="273"/>
      <c r="CP103" s="273"/>
      <c r="CQ103" s="273"/>
      <c r="CR103" s="273"/>
    </row>
    <row r="104" spans="1:96" s="258" customFormat="1" ht="12.75" hidden="1" customHeight="1" x14ac:dyDescent="0.2">
      <c r="A104" s="268"/>
      <c r="B104" s="335"/>
      <c r="R104" s="270"/>
      <c r="S104" s="269"/>
      <c r="T104" s="269"/>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3"/>
      <c r="BS104" s="273"/>
      <c r="BT104" s="273"/>
      <c r="BU104" s="273"/>
      <c r="BV104" s="273"/>
      <c r="BW104" s="273"/>
      <c r="BX104" s="273"/>
      <c r="BY104" s="273"/>
      <c r="BZ104" s="273"/>
      <c r="CA104" s="273"/>
      <c r="CB104" s="273"/>
      <c r="CC104" s="273"/>
      <c r="CD104" s="273"/>
      <c r="CE104" s="273"/>
      <c r="CF104" s="273"/>
      <c r="CG104" s="273"/>
      <c r="CH104" s="273"/>
      <c r="CI104" s="273"/>
      <c r="CJ104" s="273"/>
      <c r="CK104" s="273"/>
      <c r="CL104" s="273"/>
      <c r="CM104" s="273"/>
      <c r="CN104" s="273"/>
      <c r="CO104" s="273"/>
      <c r="CP104" s="273"/>
      <c r="CQ104" s="273"/>
      <c r="CR104" s="273"/>
    </row>
    <row r="105" spans="1:96" s="258" customFormat="1" ht="12.75" hidden="1" customHeight="1" x14ac:dyDescent="0.2">
      <c r="A105" s="268"/>
      <c r="B105" s="268"/>
      <c r="C105" s="267"/>
      <c r="D105" s="267"/>
      <c r="E105" s="268"/>
      <c r="F105" s="268"/>
      <c r="H105" s="269"/>
      <c r="I105" s="269"/>
      <c r="R105" s="270"/>
      <c r="S105" s="269"/>
      <c r="T105" s="269"/>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3"/>
      <c r="BS105" s="273"/>
      <c r="BT105" s="273"/>
      <c r="BU105" s="273"/>
      <c r="BV105" s="273"/>
      <c r="BW105" s="273"/>
      <c r="BX105" s="273"/>
      <c r="BY105" s="273"/>
      <c r="BZ105" s="273"/>
      <c r="CA105" s="273"/>
      <c r="CB105" s="273"/>
      <c r="CC105" s="273"/>
      <c r="CD105" s="273"/>
      <c r="CE105" s="273"/>
      <c r="CF105" s="273"/>
      <c r="CG105" s="273"/>
      <c r="CH105" s="273"/>
      <c r="CI105" s="273"/>
      <c r="CJ105" s="273"/>
      <c r="CK105" s="273"/>
      <c r="CL105" s="273"/>
      <c r="CM105" s="273"/>
      <c r="CN105" s="273"/>
      <c r="CO105" s="273"/>
      <c r="CP105" s="273"/>
      <c r="CQ105" s="273"/>
      <c r="CR105" s="273"/>
    </row>
    <row r="106" spans="1:96" s="258" customFormat="1" ht="12.75" hidden="1" customHeight="1" x14ac:dyDescent="0.2">
      <c r="A106" s="268"/>
      <c r="B106" s="268"/>
      <c r="C106" s="267"/>
      <c r="D106" s="267"/>
      <c r="E106" s="268"/>
      <c r="F106" s="268"/>
      <c r="H106" s="269"/>
      <c r="I106" s="269"/>
      <c r="R106" s="270"/>
      <c r="S106" s="269"/>
      <c r="T106" s="269"/>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c r="CL106" s="273"/>
      <c r="CM106" s="273"/>
      <c r="CN106" s="273"/>
      <c r="CO106" s="273"/>
      <c r="CP106" s="273"/>
      <c r="CQ106" s="273"/>
      <c r="CR106" s="273"/>
    </row>
    <row r="107" spans="1:96" s="258" customFormat="1" ht="12.75" customHeight="1" x14ac:dyDescent="0.2">
      <c r="A107" s="268"/>
      <c r="B107" s="268"/>
      <c r="C107" s="267"/>
      <c r="D107" s="267"/>
      <c r="E107" s="268"/>
      <c r="F107" s="268"/>
      <c r="H107" s="269"/>
      <c r="I107" s="269"/>
      <c r="R107" s="270"/>
      <c r="S107" s="269"/>
      <c r="T107" s="269"/>
      <c r="AP107" s="273"/>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row>
    <row r="108" spans="1:96" s="258" customFormat="1" ht="12.75" customHeight="1" x14ac:dyDescent="0.2">
      <c r="A108" s="268"/>
      <c r="B108" s="268"/>
      <c r="C108" s="267"/>
      <c r="D108" s="267"/>
      <c r="E108" s="268"/>
      <c r="F108" s="268"/>
      <c r="H108" s="269"/>
      <c r="I108" s="269"/>
      <c r="R108" s="270"/>
      <c r="S108" s="269"/>
      <c r="T108" s="269"/>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c r="CO108" s="273"/>
      <c r="CP108" s="273"/>
      <c r="CQ108" s="273"/>
      <c r="CR108" s="273"/>
    </row>
    <row r="109" spans="1:96" s="258" customFormat="1" ht="12.75" x14ac:dyDescent="0.2">
      <c r="A109" s="268"/>
      <c r="B109" s="268"/>
      <c r="C109" s="267"/>
      <c r="D109" s="267"/>
      <c r="E109" s="268"/>
      <c r="F109" s="268"/>
      <c r="H109" s="269"/>
      <c r="I109" s="269"/>
      <c r="R109" s="270"/>
      <c r="S109" s="269"/>
      <c r="T109" s="269"/>
      <c r="AP109" s="273"/>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c r="BP109" s="273"/>
      <c r="BQ109" s="273"/>
      <c r="BR109" s="273"/>
      <c r="BS109" s="273"/>
      <c r="BT109" s="273"/>
      <c r="BU109" s="273"/>
      <c r="BV109" s="273"/>
      <c r="BW109" s="273"/>
      <c r="BX109" s="273"/>
      <c r="BY109" s="273"/>
      <c r="BZ109" s="273"/>
      <c r="CA109" s="273"/>
      <c r="CB109" s="273"/>
      <c r="CC109" s="273"/>
      <c r="CD109" s="273"/>
      <c r="CE109" s="273"/>
      <c r="CF109" s="273"/>
      <c r="CG109" s="273"/>
      <c r="CH109" s="273"/>
      <c r="CI109" s="273"/>
      <c r="CJ109" s="273"/>
      <c r="CK109" s="273"/>
      <c r="CL109" s="273"/>
      <c r="CM109" s="273"/>
      <c r="CN109" s="273"/>
      <c r="CO109" s="273"/>
      <c r="CP109" s="273"/>
      <c r="CQ109" s="273"/>
      <c r="CR109" s="273"/>
    </row>
    <row r="110" spans="1:96" s="258" customFormat="1" ht="12.75" x14ac:dyDescent="0.2">
      <c r="A110" s="268"/>
      <c r="B110" s="268"/>
      <c r="C110" s="267"/>
      <c r="D110" s="267"/>
      <c r="E110" s="268"/>
      <c r="F110" s="268"/>
      <c r="H110" s="269"/>
      <c r="I110" s="269"/>
      <c r="R110" s="270"/>
      <c r="S110" s="269"/>
      <c r="T110" s="269"/>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273"/>
      <c r="CA110" s="273"/>
      <c r="CB110" s="273"/>
      <c r="CC110" s="273"/>
      <c r="CD110" s="273"/>
      <c r="CE110" s="273"/>
      <c r="CF110" s="273"/>
      <c r="CG110" s="273"/>
      <c r="CH110" s="273"/>
      <c r="CI110" s="273"/>
      <c r="CJ110" s="273"/>
      <c r="CK110" s="273"/>
      <c r="CL110" s="273"/>
      <c r="CM110" s="273"/>
      <c r="CN110" s="273"/>
      <c r="CO110" s="273"/>
      <c r="CP110" s="273"/>
      <c r="CQ110" s="273"/>
      <c r="CR110" s="273"/>
    </row>
    <row r="111" spans="1:96" s="258" customFormat="1" ht="12.75" x14ac:dyDescent="0.2">
      <c r="A111" s="268"/>
      <c r="B111" s="268"/>
      <c r="C111" s="267"/>
      <c r="D111" s="267"/>
      <c r="E111" s="268"/>
      <c r="F111" s="268"/>
      <c r="H111" s="269"/>
      <c r="I111" s="269"/>
      <c r="R111" s="270"/>
      <c r="S111" s="269"/>
      <c r="T111" s="269"/>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273"/>
      <c r="CA111" s="273"/>
      <c r="CB111" s="273"/>
      <c r="CC111" s="273"/>
      <c r="CD111" s="273"/>
      <c r="CE111" s="273"/>
      <c r="CF111" s="273"/>
      <c r="CG111" s="273"/>
      <c r="CH111" s="273"/>
      <c r="CI111" s="273"/>
      <c r="CJ111" s="273"/>
      <c r="CK111" s="273"/>
      <c r="CL111" s="273"/>
      <c r="CM111" s="273"/>
      <c r="CN111" s="273"/>
      <c r="CO111" s="273"/>
      <c r="CP111" s="273"/>
      <c r="CQ111" s="273"/>
      <c r="CR111" s="273"/>
    </row>
    <row r="112" spans="1:96" s="258" customFormat="1" ht="12.75" x14ac:dyDescent="0.2">
      <c r="A112" s="268"/>
      <c r="B112" s="268"/>
      <c r="C112" s="267"/>
      <c r="D112" s="267"/>
      <c r="E112" s="268"/>
      <c r="F112" s="268"/>
      <c r="H112" s="269"/>
      <c r="I112" s="269"/>
      <c r="R112" s="270"/>
      <c r="S112" s="269"/>
      <c r="T112" s="269"/>
      <c r="AP112" s="273"/>
      <c r="AQ112" s="273"/>
      <c r="AR112" s="273"/>
      <c r="AS112" s="273"/>
      <c r="AT112" s="273"/>
      <c r="AU112" s="273"/>
      <c r="AV112" s="273"/>
      <c r="AW112" s="273"/>
      <c r="AX112" s="273"/>
      <c r="AY112" s="273"/>
      <c r="AZ112" s="273"/>
      <c r="BA112" s="273"/>
      <c r="BB112" s="273"/>
      <c r="BC112" s="273"/>
      <c r="BD112" s="273"/>
      <c r="BE112" s="273"/>
      <c r="BF112" s="273"/>
      <c r="BG112" s="273"/>
      <c r="BH112" s="273"/>
      <c r="BI112" s="273"/>
      <c r="BJ112" s="273"/>
      <c r="BK112" s="273"/>
      <c r="BL112" s="273"/>
      <c r="BM112" s="273"/>
      <c r="BN112" s="273"/>
      <c r="BO112" s="273"/>
      <c r="BP112" s="273"/>
      <c r="BQ112" s="273"/>
      <c r="BR112" s="273"/>
      <c r="BS112" s="273"/>
      <c r="BT112" s="273"/>
      <c r="BU112" s="273"/>
      <c r="BV112" s="273"/>
      <c r="BW112" s="273"/>
      <c r="BX112" s="273"/>
      <c r="BY112" s="273"/>
      <c r="BZ112" s="273"/>
      <c r="CA112" s="273"/>
      <c r="CB112" s="273"/>
      <c r="CC112" s="273"/>
      <c r="CD112" s="273"/>
      <c r="CE112" s="273"/>
      <c r="CF112" s="273"/>
      <c r="CG112" s="273"/>
      <c r="CH112" s="273"/>
      <c r="CI112" s="273"/>
      <c r="CJ112" s="273"/>
      <c r="CK112" s="273"/>
      <c r="CL112" s="273"/>
      <c r="CM112" s="273"/>
      <c r="CN112" s="273"/>
      <c r="CO112" s="273"/>
      <c r="CP112" s="273"/>
      <c r="CQ112" s="273"/>
      <c r="CR112" s="273"/>
    </row>
    <row r="113" spans="1:96" s="258" customFormat="1" ht="12.75" x14ac:dyDescent="0.2">
      <c r="A113" s="268"/>
      <c r="B113" s="268"/>
      <c r="C113" s="267"/>
      <c r="D113" s="267"/>
      <c r="E113" s="268"/>
      <c r="F113" s="268"/>
      <c r="H113" s="269"/>
      <c r="I113" s="269"/>
      <c r="R113" s="270"/>
      <c r="S113" s="269"/>
      <c r="T113" s="269"/>
      <c r="AP113" s="273"/>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73"/>
      <c r="BR113" s="273"/>
      <c r="BS113" s="273"/>
      <c r="BT113" s="273"/>
      <c r="BU113" s="273"/>
      <c r="BV113" s="273"/>
      <c r="BW113" s="273"/>
      <c r="BX113" s="273"/>
      <c r="BY113" s="273"/>
      <c r="BZ113" s="273"/>
      <c r="CA113" s="273"/>
      <c r="CB113" s="273"/>
      <c r="CC113" s="273"/>
      <c r="CD113" s="273"/>
      <c r="CE113" s="273"/>
      <c r="CF113" s="273"/>
      <c r="CG113" s="273"/>
      <c r="CH113" s="273"/>
      <c r="CI113" s="273"/>
      <c r="CJ113" s="273"/>
      <c r="CK113" s="273"/>
      <c r="CL113" s="273"/>
      <c r="CM113" s="273"/>
      <c r="CN113" s="273"/>
      <c r="CO113" s="273"/>
      <c r="CP113" s="273"/>
      <c r="CQ113" s="273"/>
      <c r="CR113" s="273"/>
    </row>
    <row r="114" spans="1:96" s="258" customFormat="1" ht="12.75" x14ac:dyDescent="0.2">
      <c r="A114" s="268"/>
      <c r="B114" s="268"/>
      <c r="C114" s="267"/>
      <c r="D114" s="267"/>
      <c r="E114" s="268"/>
      <c r="F114" s="268"/>
      <c r="H114" s="269"/>
      <c r="I114" s="269"/>
      <c r="R114" s="270"/>
      <c r="S114" s="269"/>
      <c r="T114" s="269"/>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73"/>
      <c r="BR114" s="273"/>
      <c r="BS114" s="273"/>
      <c r="BT114" s="273"/>
      <c r="BU114" s="273"/>
      <c r="BV114" s="273"/>
      <c r="BW114" s="273"/>
      <c r="BX114" s="273"/>
      <c r="BY114" s="273"/>
      <c r="BZ114" s="273"/>
      <c r="CA114" s="273"/>
      <c r="CB114" s="273"/>
      <c r="CC114" s="273"/>
      <c r="CD114" s="273"/>
      <c r="CE114" s="273"/>
      <c r="CF114" s="273"/>
      <c r="CG114" s="273"/>
      <c r="CH114" s="273"/>
      <c r="CI114" s="273"/>
      <c r="CJ114" s="273"/>
      <c r="CK114" s="273"/>
      <c r="CL114" s="273"/>
      <c r="CM114" s="273"/>
      <c r="CN114" s="273"/>
      <c r="CO114" s="273"/>
      <c r="CP114" s="273"/>
      <c r="CQ114" s="273"/>
      <c r="CR114" s="273"/>
    </row>
    <row r="115" spans="1:96" s="258" customFormat="1" ht="12.75" x14ac:dyDescent="0.2">
      <c r="A115" s="268"/>
      <c r="B115" s="268"/>
      <c r="C115" s="267"/>
      <c r="D115" s="267"/>
      <c r="E115" s="268"/>
      <c r="F115" s="268"/>
      <c r="H115" s="269"/>
      <c r="I115" s="269"/>
      <c r="R115" s="270"/>
      <c r="S115" s="269"/>
      <c r="T115" s="269"/>
      <c r="AP115" s="273"/>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73"/>
      <c r="BR115" s="273"/>
      <c r="BS115" s="273"/>
      <c r="BT115" s="273"/>
      <c r="BU115" s="273"/>
      <c r="BV115" s="273"/>
      <c r="BW115" s="273"/>
      <c r="BX115" s="273"/>
      <c r="BY115" s="273"/>
      <c r="BZ115" s="273"/>
      <c r="CA115" s="273"/>
      <c r="CB115" s="273"/>
      <c r="CC115" s="273"/>
      <c r="CD115" s="273"/>
      <c r="CE115" s="273"/>
      <c r="CF115" s="273"/>
      <c r="CG115" s="273"/>
      <c r="CH115" s="273"/>
      <c r="CI115" s="273"/>
      <c r="CJ115" s="273"/>
      <c r="CK115" s="273"/>
      <c r="CL115" s="273"/>
      <c r="CM115" s="273"/>
      <c r="CN115" s="273"/>
      <c r="CO115" s="273"/>
      <c r="CP115" s="273"/>
      <c r="CQ115" s="273"/>
      <c r="CR115" s="273"/>
    </row>
    <row r="116" spans="1:96" s="258" customFormat="1" ht="12.75" x14ac:dyDescent="0.2">
      <c r="A116" s="268"/>
      <c r="B116" s="268"/>
      <c r="C116" s="267"/>
      <c r="D116" s="267"/>
      <c r="E116" s="268"/>
      <c r="F116" s="268"/>
      <c r="H116" s="269"/>
      <c r="I116" s="269"/>
      <c r="R116" s="270"/>
      <c r="S116" s="269"/>
      <c r="T116" s="269"/>
      <c r="AP116" s="273"/>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73"/>
      <c r="BR116" s="273"/>
      <c r="BS116" s="273"/>
      <c r="BT116" s="273"/>
      <c r="BU116" s="273"/>
      <c r="BV116" s="273"/>
      <c r="BW116" s="273"/>
      <c r="BX116" s="273"/>
      <c r="BY116" s="273"/>
      <c r="BZ116" s="273"/>
      <c r="CA116" s="273"/>
      <c r="CB116" s="273"/>
      <c r="CC116" s="273"/>
      <c r="CD116" s="273"/>
      <c r="CE116" s="273"/>
      <c r="CF116" s="273"/>
      <c r="CG116" s="273"/>
      <c r="CH116" s="273"/>
      <c r="CI116" s="273"/>
      <c r="CJ116" s="273"/>
      <c r="CK116" s="273"/>
      <c r="CL116" s="273"/>
      <c r="CM116" s="273"/>
      <c r="CN116" s="273"/>
      <c r="CO116" s="273"/>
      <c r="CP116" s="273"/>
      <c r="CQ116" s="273"/>
      <c r="CR116" s="273"/>
    </row>
    <row r="117" spans="1:96" s="258" customFormat="1" ht="12.75" x14ac:dyDescent="0.2">
      <c r="A117" s="268"/>
      <c r="B117" s="268"/>
      <c r="C117" s="267"/>
      <c r="D117" s="267"/>
      <c r="E117" s="268"/>
      <c r="F117" s="268"/>
      <c r="H117" s="269"/>
      <c r="I117" s="269"/>
      <c r="R117" s="270"/>
      <c r="S117" s="269"/>
      <c r="T117" s="269"/>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73"/>
      <c r="CC117" s="273"/>
      <c r="CD117" s="273"/>
      <c r="CE117" s="273"/>
      <c r="CF117" s="273"/>
      <c r="CG117" s="273"/>
      <c r="CH117" s="273"/>
      <c r="CI117" s="273"/>
      <c r="CJ117" s="273"/>
      <c r="CK117" s="273"/>
      <c r="CL117" s="273"/>
      <c r="CM117" s="273"/>
      <c r="CN117" s="273"/>
      <c r="CO117" s="273"/>
      <c r="CP117" s="273"/>
      <c r="CQ117" s="273"/>
      <c r="CR117" s="273"/>
    </row>
    <row r="118" spans="1:96" s="258" customFormat="1" ht="12.75" x14ac:dyDescent="0.2">
      <c r="A118" s="268"/>
      <c r="B118" s="268"/>
      <c r="C118" s="267"/>
      <c r="D118" s="267"/>
      <c r="E118" s="268"/>
      <c r="F118" s="268"/>
      <c r="H118" s="269"/>
      <c r="I118" s="269"/>
      <c r="R118" s="270"/>
      <c r="S118" s="269"/>
      <c r="T118" s="269"/>
      <c r="AP118" s="273"/>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73"/>
      <c r="BR118" s="273"/>
      <c r="BS118" s="273"/>
      <c r="BT118" s="273"/>
      <c r="BU118" s="273"/>
      <c r="BV118" s="273"/>
      <c r="BW118" s="273"/>
      <c r="BX118" s="273"/>
      <c r="BY118" s="273"/>
      <c r="BZ118" s="273"/>
      <c r="CA118" s="273"/>
      <c r="CB118" s="273"/>
      <c r="CC118" s="273"/>
      <c r="CD118" s="273"/>
      <c r="CE118" s="273"/>
      <c r="CF118" s="273"/>
      <c r="CG118" s="273"/>
      <c r="CH118" s="273"/>
      <c r="CI118" s="273"/>
      <c r="CJ118" s="273"/>
      <c r="CK118" s="273"/>
      <c r="CL118" s="273"/>
      <c r="CM118" s="273"/>
      <c r="CN118" s="273"/>
      <c r="CO118" s="273"/>
      <c r="CP118" s="273"/>
      <c r="CQ118" s="273"/>
      <c r="CR118" s="273"/>
    </row>
    <row r="119" spans="1:96" s="258" customFormat="1" ht="12.75" x14ac:dyDescent="0.2">
      <c r="A119" s="268"/>
      <c r="B119" s="268"/>
      <c r="C119" s="267"/>
      <c r="D119" s="267"/>
      <c r="E119" s="268"/>
      <c r="F119" s="268"/>
      <c r="H119" s="269"/>
      <c r="I119" s="269"/>
      <c r="R119" s="270"/>
      <c r="S119" s="269"/>
      <c r="T119" s="269"/>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273"/>
      <c r="CA119" s="273"/>
      <c r="CB119" s="273"/>
      <c r="CC119" s="273"/>
      <c r="CD119" s="273"/>
      <c r="CE119" s="273"/>
      <c r="CF119" s="273"/>
      <c r="CG119" s="273"/>
      <c r="CH119" s="273"/>
      <c r="CI119" s="273"/>
      <c r="CJ119" s="273"/>
      <c r="CK119" s="273"/>
      <c r="CL119" s="273"/>
      <c r="CM119" s="273"/>
      <c r="CN119" s="273"/>
      <c r="CO119" s="273"/>
      <c r="CP119" s="273"/>
      <c r="CQ119" s="273"/>
      <c r="CR119" s="273"/>
    </row>
    <row r="120" spans="1:96" s="258" customFormat="1" ht="12.75" x14ac:dyDescent="0.2">
      <c r="A120" s="268"/>
      <c r="B120" s="268"/>
      <c r="C120" s="267"/>
      <c r="D120" s="267"/>
      <c r="E120" s="268"/>
      <c r="F120" s="268"/>
      <c r="H120" s="269"/>
      <c r="I120" s="269"/>
      <c r="R120" s="270"/>
      <c r="S120" s="269"/>
      <c r="T120" s="269"/>
      <c r="AP120" s="273"/>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73"/>
      <c r="BR120" s="273"/>
      <c r="BS120" s="273"/>
      <c r="BT120" s="273"/>
      <c r="BU120" s="273"/>
      <c r="BV120" s="273"/>
      <c r="BW120" s="273"/>
      <c r="BX120" s="273"/>
      <c r="BY120" s="273"/>
      <c r="BZ120" s="273"/>
      <c r="CA120" s="273"/>
      <c r="CB120" s="273"/>
      <c r="CC120" s="273"/>
      <c r="CD120" s="273"/>
      <c r="CE120" s="273"/>
      <c r="CF120" s="273"/>
      <c r="CG120" s="273"/>
      <c r="CH120" s="273"/>
      <c r="CI120" s="273"/>
      <c r="CJ120" s="273"/>
      <c r="CK120" s="273"/>
      <c r="CL120" s="273"/>
      <c r="CM120" s="273"/>
      <c r="CN120" s="273"/>
      <c r="CO120" s="273"/>
      <c r="CP120" s="273"/>
      <c r="CQ120" s="273"/>
      <c r="CR120" s="273"/>
    </row>
    <row r="121" spans="1:96" s="258" customFormat="1" ht="12.75" x14ac:dyDescent="0.2">
      <c r="A121" s="268"/>
      <c r="B121" s="268"/>
      <c r="C121" s="267"/>
      <c r="D121" s="267"/>
      <c r="E121" s="268"/>
      <c r="F121" s="268"/>
      <c r="H121" s="269"/>
      <c r="I121" s="269"/>
      <c r="R121" s="270"/>
      <c r="S121" s="269"/>
      <c r="T121" s="269"/>
      <c r="AP121" s="273"/>
      <c r="AQ121" s="273"/>
      <c r="AR121" s="273"/>
      <c r="AS121" s="273"/>
      <c r="AT121" s="273"/>
      <c r="AU121" s="273"/>
      <c r="AV121" s="273"/>
      <c r="AW121" s="273"/>
      <c r="AX121" s="273"/>
      <c r="AY121" s="273"/>
      <c r="AZ121" s="273"/>
      <c r="BA121" s="273"/>
      <c r="BB121" s="273"/>
      <c r="BC121" s="273"/>
      <c r="BD121" s="273"/>
      <c r="BE121" s="273"/>
      <c r="BF121" s="273"/>
      <c r="BG121" s="273"/>
      <c r="BH121" s="273"/>
      <c r="BI121" s="273"/>
      <c r="BJ121" s="273"/>
      <c r="BK121" s="273"/>
      <c r="BL121" s="273"/>
      <c r="BM121" s="273"/>
      <c r="BN121" s="273"/>
      <c r="BO121" s="273"/>
      <c r="BP121" s="273"/>
      <c r="BQ121" s="273"/>
      <c r="BR121" s="273"/>
      <c r="BS121" s="273"/>
      <c r="BT121" s="273"/>
      <c r="BU121" s="273"/>
      <c r="BV121" s="273"/>
      <c r="BW121" s="273"/>
      <c r="BX121" s="273"/>
      <c r="BY121" s="273"/>
      <c r="BZ121" s="273"/>
      <c r="CA121" s="273"/>
      <c r="CB121" s="273"/>
      <c r="CC121" s="273"/>
      <c r="CD121" s="273"/>
      <c r="CE121" s="273"/>
      <c r="CF121" s="273"/>
      <c r="CG121" s="273"/>
      <c r="CH121" s="273"/>
      <c r="CI121" s="273"/>
      <c r="CJ121" s="273"/>
      <c r="CK121" s="273"/>
      <c r="CL121" s="273"/>
      <c r="CM121" s="273"/>
      <c r="CN121" s="273"/>
      <c r="CO121" s="273"/>
      <c r="CP121" s="273"/>
      <c r="CQ121" s="273"/>
      <c r="CR121" s="273"/>
    </row>
    <row r="122" spans="1:96" s="258" customFormat="1" ht="12.75" x14ac:dyDescent="0.2">
      <c r="A122" s="268"/>
      <c r="B122" s="268"/>
      <c r="C122" s="267"/>
      <c r="D122" s="267"/>
      <c r="E122" s="268"/>
      <c r="F122" s="268"/>
      <c r="H122" s="269"/>
      <c r="I122" s="269"/>
      <c r="R122" s="270"/>
      <c r="S122" s="269"/>
      <c r="T122" s="269"/>
      <c r="AP122" s="273"/>
      <c r="AQ122" s="273"/>
      <c r="AR122" s="273"/>
      <c r="AS122" s="273"/>
      <c r="AT122" s="273"/>
      <c r="AU122" s="273"/>
      <c r="AV122" s="273"/>
      <c r="AW122" s="273"/>
      <c r="AX122" s="273"/>
      <c r="AY122" s="273"/>
      <c r="AZ122" s="273"/>
      <c r="BA122" s="273"/>
      <c r="BB122" s="273"/>
      <c r="BC122" s="273"/>
      <c r="BD122" s="273"/>
      <c r="BE122" s="273"/>
      <c r="BF122" s="273"/>
      <c r="BG122" s="273"/>
      <c r="BH122" s="273"/>
      <c r="BI122" s="273"/>
      <c r="BJ122" s="273"/>
      <c r="BK122" s="273"/>
      <c r="BL122" s="273"/>
      <c r="BM122" s="273"/>
      <c r="BN122" s="273"/>
      <c r="BO122" s="273"/>
      <c r="BP122" s="273"/>
      <c r="BQ122" s="273"/>
      <c r="BR122" s="273"/>
      <c r="BS122" s="273"/>
      <c r="BT122" s="273"/>
      <c r="BU122" s="273"/>
      <c r="BV122" s="273"/>
      <c r="BW122" s="273"/>
      <c r="BX122" s="273"/>
      <c r="BY122" s="273"/>
      <c r="BZ122" s="273"/>
      <c r="CA122" s="273"/>
      <c r="CB122" s="273"/>
      <c r="CC122" s="273"/>
      <c r="CD122" s="273"/>
      <c r="CE122" s="273"/>
      <c r="CF122" s="273"/>
      <c r="CG122" s="273"/>
      <c r="CH122" s="273"/>
      <c r="CI122" s="273"/>
      <c r="CJ122" s="273"/>
      <c r="CK122" s="273"/>
      <c r="CL122" s="273"/>
      <c r="CM122" s="273"/>
      <c r="CN122" s="273"/>
      <c r="CO122" s="273"/>
      <c r="CP122" s="273"/>
      <c r="CQ122" s="273"/>
      <c r="CR122" s="273"/>
    </row>
    <row r="123" spans="1:96" s="258" customFormat="1" ht="12.75" x14ac:dyDescent="0.2">
      <c r="A123" s="268"/>
      <c r="B123" s="268"/>
      <c r="C123" s="267"/>
      <c r="D123" s="267"/>
      <c r="E123" s="268"/>
      <c r="F123" s="268"/>
      <c r="H123" s="269"/>
      <c r="I123" s="269"/>
      <c r="R123" s="270"/>
      <c r="S123" s="269"/>
      <c r="T123" s="269"/>
      <c r="AP123" s="273"/>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3"/>
      <c r="BM123" s="273"/>
      <c r="BN123" s="273"/>
      <c r="BO123" s="273"/>
      <c r="BP123" s="273"/>
      <c r="BQ123" s="273"/>
      <c r="BR123" s="273"/>
      <c r="BS123" s="273"/>
      <c r="BT123" s="273"/>
      <c r="BU123" s="273"/>
      <c r="BV123" s="273"/>
      <c r="BW123" s="273"/>
      <c r="BX123" s="273"/>
      <c r="BY123" s="273"/>
      <c r="BZ123" s="273"/>
      <c r="CA123" s="273"/>
      <c r="CB123" s="273"/>
      <c r="CC123" s="273"/>
      <c r="CD123" s="273"/>
      <c r="CE123" s="273"/>
      <c r="CF123" s="273"/>
      <c r="CG123" s="273"/>
      <c r="CH123" s="273"/>
      <c r="CI123" s="273"/>
      <c r="CJ123" s="273"/>
      <c r="CK123" s="273"/>
      <c r="CL123" s="273"/>
      <c r="CM123" s="273"/>
      <c r="CN123" s="273"/>
      <c r="CO123" s="273"/>
      <c r="CP123" s="273"/>
      <c r="CQ123" s="273"/>
      <c r="CR123" s="273"/>
    </row>
    <row r="124" spans="1:96" s="258" customFormat="1" ht="12.75" x14ac:dyDescent="0.2">
      <c r="A124" s="268"/>
      <c r="B124" s="268"/>
      <c r="C124" s="267"/>
      <c r="D124" s="267"/>
      <c r="E124" s="268"/>
      <c r="F124" s="268"/>
      <c r="H124" s="269"/>
      <c r="I124" s="269"/>
      <c r="R124" s="270"/>
      <c r="S124" s="269"/>
      <c r="T124" s="269"/>
      <c r="AP124" s="273"/>
      <c r="AQ124" s="273"/>
      <c r="AR124" s="273"/>
      <c r="AS124" s="273"/>
      <c r="AT124" s="273"/>
      <c r="AU124" s="273"/>
      <c r="AV124" s="273"/>
      <c r="AW124" s="273"/>
      <c r="AX124" s="273"/>
      <c r="AY124" s="273"/>
      <c r="AZ124" s="273"/>
      <c r="BA124" s="273"/>
      <c r="BB124" s="273"/>
      <c r="BC124" s="273"/>
      <c r="BD124" s="273"/>
      <c r="BE124" s="273"/>
      <c r="BF124" s="273"/>
      <c r="BG124" s="273"/>
      <c r="BH124" s="273"/>
      <c r="BI124" s="273"/>
      <c r="BJ124" s="273"/>
      <c r="BK124" s="273"/>
      <c r="BL124" s="273"/>
      <c r="BM124" s="273"/>
      <c r="BN124" s="273"/>
      <c r="BO124" s="273"/>
      <c r="BP124" s="273"/>
      <c r="BQ124" s="273"/>
      <c r="BR124" s="273"/>
      <c r="BS124" s="273"/>
      <c r="BT124" s="273"/>
      <c r="BU124" s="273"/>
      <c r="BV124" s="273"/>
      <c r="BW124" s="273"/>
      <c r="BX124" s="273"/>
      <c r="BY124" s="273"/>
      <c r="BZ124" s="273"/>
      <c r="CA124" s="273"/>
      <c r="CB124" s="273"/>
      <c r="CC124" s="273"/>
      <c r="CD124" s="273"/>
      <c r="CE124" s="273"/>
      <c r="CF124" s="273"/>
      <c r="CG124" s="273"/>
      <c r="CH124" s="273"/>
      <c r="CI124" s="273"/>
      <c r="CJ124" s="273"/>
      <c r="CK124" s="273"/>
      <c r="CL124" s="273"/>
      <c r="CM124" s="273"/>
      <c r="CN124" s="273"/>
      <c r="CO124" s="273"/>
      <c r="CP124" s="273"/>
      <c r="CQ124" s="273"/>
      <c r="CR124" s="273"/>
    </row>
    <row r="125" spans="1:96" s="258" customFormat="1" ht="12.75" x14ac:dyDescent="0.2">
      <c r="A125" s="268"/>
      <c r="B125" s="268"/>
      <c r="C125" s="267"/>
      <c r="D125" s="267"/>
      <c r="E125" s="268"/>
      <c r="F125" s="268"/>
      <c r="H125" s="269"/>
      <c r="I125" s="269"/>
      <c r="R125" s="270"/>
      <c r="S125" s="269"/>
      <c r="T125" s="269"/>
      <c r="AP125" s="273"/>
      <c r="AQ125" s="273"/>
      <c r="AR125" s="273"/>
      <c r="AS125" s="273"/>
      <c r="AT125" s="273"/>
      <c r="AU125" s="273"/>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3"/>
      <c r="BR125" s="273"/>
      <c r="BS125" s="273"/>
      <c r="BT125" s="273"/>
      <c r="BU125" s="273"/>
      <c r="BV125" s="273"/>
      <c r="BW125" s="273"/>
      <c r="BX125" s="273"/>
      <c r="BY125" s="273"/>
      <c r="BZ125" s="273"/>
      <c r="CA125" s="273"/>
      <c r="CB125" s="273"/>
      <c r="CC125" s="273"/>
      <c r="CD125" s="273"/>
      <c r="CE125" s="273"/>
      <c r="CF125" s="273"/>
      <c r="CG125" s="273"/>
      <c r="CH125" s="273"/>
      <c r="CI125" s="273"/>
      <c r="CJ125" s="273"/>
      <c r="CK125" s="273"/>
      <c r="CL125" s="273"/>
      <c r="CM125" s="273"/>
      <c r="CN125" s="273"/>
      <c r="CO125" s="273"/>
      <c r="CP125" s="273"/>
      <c r="CQ125" s="273"/>
      <c r="CR125" s="273"/>
    </row>
    <row r="126" spans="1:96" s="258" customFormat="1" ht="12.75" x14ac:dyDescent="0.2">
      <c r="A126" s="268"/>
      <c r="B126" s="268"/>
      <c r="C126" s="267"/>
      <c r="D126" s="267"/>
      <c r="E126" s="268"/>
      <c r="F126" s="268"/>
      <c r="H126" s="269"/>
      <c r="I126" s="269"/>
      <c r="R126" s="270"/>
      <c r="S126" s="269"/>
      <c r="T126" s="269"/>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c r="CL126" s="273"/>
      <c r="CM126" s="273"/>
      <c r="CN126" s="273"/>
      <c r="CO126" s="273"/>
      <c r="CP126" s="273"/>
      <c r="CQ126" s="273"/>
      <c r="CR126" s="273"/>
    </row>
    <row r="127" spans="1:96" s="258" customFormat="1" ht="12.75" x14ac:dyDescent="0.2">
      <c r="A127" s="268"/>
      <c r="B127" s="268"/>
      <c r="C127" s="267"/>
      <c r="D127" s="267"/>
      <c r="E127" s="268"/>
      <c r="F127" s="268"/>
      <c r="H127" s="269"/>
      <c r="I127" s="269"/>
      <c r="R127" s="270"/>
      <c r="S127" s="269"/>
      <c r="T127" s="269"/>
      <c r="AP127" s="273"/>
      <c r="AQ127" s="273"/>
      <c r="AR127" s="273"/>
      <c r="AS127" s="273"/>
      <c r="AT127" s="273"/>
      <c r="AU127" s="273"/>
      <c r="AV127" s="273"/>
      <c r="AW127" s="273"/>
      <c r="AX127" s="273"/>
      <c r="AY127" s="273"/>
      <c r="AZ127" s="273"/>
      <c r="BA127" s="273"/>
      <c r="BB127" s="273"/>
      <c r="BC127" s="273"/>
      <c r="BD127" s="273"/>
      <c r="BE127" s="273"/>
      <c r="BF127" s="273"/>
      <c r="BG127" s="273"/>
      <c r="BH127" s="273"/>
      <c r="BI127" s="273"/>
      <c r="BJ127" s="273"/>
      <c r="BK127" s="273"/>
      <c r="BL127" s="273"/>
      <c r="BM127" s="273"/>
      <c r="BN127" s="273"/>
      <c r="BO127" s="273"/>
      <c r="BP127" s="273"/>
      <c r="BQ127" s="273"/>
      <c r="BR127" s="273"/>
      <c r="BS127" s="273"/>
      <c r="BT127" s="273"/>
      <c r="BU127" s="273"/>
      <c r="BV127" s="273"/>
      <c r="BW127" s="273"/>
      <c r="BX127" s="273"/>
      <c r="BY127" s="273"/>
      <c r="BZ127" s="273"/>
      <c r="CA127" s="273"/>
      <c r="CB127" s="273"/>
      <c r="CC127" s="273"/>
      <c r="CD127" s="273"/>
      <c r="CE127" s="273"/>
      <c r="CF127" s="273"/>
      <c r="CG127" s="273"/>
      <c r="CH127" s="273"/>
      <c r="CI127" s="273"/>
      <c r="CJ127" s="273"/>
      <c r="CK127" s="273"/>
      <c r="CL127" s="273"/>
      <c r="CM127" s="273"/>
      <c r="CN127" s="273"/>
      <c r="CO127" s="273"/>
      <c r="CP127" s="273"/>
      <c r="CQ127" s="273"/>
      <c r="CR127" s="273"/>
    </row>
    <row r="128" spans="1:96" s="258" customFormat="1" ht="12.75" x14ac:dyDescent="0.2">
      <c r="A128" s="268"/>
      <c r="B128" s="268"/>
      <c r="C128" s="267"/>
      <c r="D128" s="267"/>
      <c r="E128" s="268"/>
      <c r="F128" s="268"/>
      <c r="H128" s="269"/>
      <c r="I128" s="269"/>
      <c r="R128" s="270"/>
      <c r="S128" s="269"/>
      <c r="T128" s="269"/>
      <c r="AP128" s="273"/>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73"/>
      <c r="BR128" s="273"/>
      <c r="BS128" s="273"/>
      <c r="BT128" s="273"/>
      <c r="BU128" s="273"/>
      <c r="BV128" s="273"/>
      <c r="BW128" s="273"/>
      <c r="BX128" s="273"/>
      <c r="BY128" s="273"/>
      <c r="BZ128" s="273"/>
      <c r="CA128" s="273"/>
      <c r="CB128" s="273"/>
      <c r="CC128" s="273"/>
      <c r="CD128" s="273"/>
      <c r="CE128" s="273"/>
      <c r="CF128" s="273"/>
      <c r="CG128" s="273"/>
      <c r="CH128" s="273"/>
      <c r="CI128" s="273"/>
      <c r="CJ128" s="273"/>
      <c r="CK128" s="273"/>
      <c r="CL128" s="273"/>
      <c r="CM128" s="273"/>
      <c r="CN128" s="273"/>
      <c r="CO128" s="273"/>
      <c r="CP128" s="273"/>
      <c r="CQ128" s="273"/>
      <c r="CR128" s="273"/>
    </row>
    <row r="129" spans="1:96" s="258" customFormat="1" ht="12.75" x14ac:dyDescent="0.2">
      <c r="A129" s="268"/>
      <c r="B129" s="268"/>
      <c r="C129" s="267"/>
      <c r="D129" s="267"/>
      <c r="E129" s="268"/>
      <c r="F129" s="268"/>
      <c r="H129" s="269"/>
      <c r="I129" s="269"/>
      <c r="R129" s="270"/>
      <c r="S129" s="269"/>
      <c r="T129" s="269"/>
      <c r="AP129" s="273"/>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73"/>
      <c r="BR129" s="273"/>
      <c r="BS129" s="273"/>
      <c r="BT129" s="273"/>
      <c r="BU129" s="273"/>
      <c r="BV129" s="273"/>
      <c r="BW129" s="273"/>
      <c r="BX129" s="273"/>
      <c r="BY129" s="273"/>
      <c r="BZ129" s="273"/>
      <c r="CA129" s="273"/>
      <c r="CB129" s="273"/>
      <c r="CC129" s="273"/>
      <c r="CD129" s="273"/>
      <c r="CE129" s="273"/>
      <c r="CF129" s="273"/>
      <c r="CG129" s="273"/>
      <c r="CH129" s="273"/>
      <c r="CI129" s="273"/>
      <c r="CJ129" s="273"/>
      <c r="CK129" s="273"/>
      <c r="CL129" s="273"/>
      <c r="CM129" s="273"/>
      <c r="CN129" s="273"/>
      <c r="CO129" s="273"/>
      <c r="CP129" s="273"/>
      <c r="CQ129" s="273"/>
      <c r="CR129" s="273"/>
    </row>
    <row r="130" spans="1:96" s="258" customFormat="1" ht="12.75" x14ac:dyDescent="0.2">
      <c r="A130" s="268"/>
      <c r="B130" s="268"/>
      <c r="C130" s="267"/>
      <c r="D130" s="267"/>
      <c r="E130" s="268"/>
      <c r="F130" s="268"/>
      <c r="H130" s="269"/>
      <c r="I130" s="269"/>
      <c r="R130" s="270"/>
      <c r="S130" s="269"/>
      <c r="T130" s="269"/>
      <c r="AP130" s="273"/>
      <c r="AQ130" s="273"/>
      <c r="AR130" s="273"/>
      <c r="AS130" s="273"/>
      <c r="AT130" s="273"/>
      <c r="AU130" s="273"/>
      <c r="AV130" s="273"/>
      <c r="AW130" s="273"/>
      <c r="AX130" s="273"/>
      <c r="AY130" s="273"/>
      <c r="AZ130" s="273"/>
      <c r="BA130" s="273"/>
      <c r="BB130" s="273"/>
      <c r="BC130" s="273"/>
      <c r="BD130" s="273"/>
      <c r="BE130" s="273"/>
      <c r="BF130" s="273"/>
      <c r="BG130" s="273"/>
      <c r="BH130" s="273"/>
      <c r="BI130" s="273"/>
      <c r="BJ130" s="273"/>
      <c r="BK130" s="273"/>
      <c r="BL130" s="273"/>
      <c r="BM130" s="273"/>
      <c r="BN130" s="273"/>
      <c r="BO130" s="273"/>
      <c r="BP130" s="273"/>
      <c r="BQ130" s="273"/>
      <c r="BR130" s="273"/>
      <c r="BS130" s="273"/>
      <c r="BT130" s="273"/>
      <c r="BU130" s="273"/>
      <c r="BV130" s="273"/>
      <c r="BW130" s="273"/>
      <c r="BX130" s="273"/>
      <c r="BY130" s="273"/>
      <c r="BZ130" s="273"/>
      <c r="CA130" s="273"/>
      <c r="CB130" s="273"/>
      <c r="CC130" s="273"/>
      <c r="CD130" s="273"/>
      <c r="CE130" s="273"/>
      <c r="CF130" s="273"/>
      <c r="CG130" s="273"/>
      <c r="CH130" s="273"/>
      <c r="CI130" s="273"/>
      <c r="CJ130" s="273"/>
      <c r="CK130" s="273"/>
      <c r="CL130" s="273"/>
      <c r="CM130" s="273"/>
      <c r="CN130" s="273"/>
      <c r="CO130" s="273"/>
      <c r="CP130" s="273"/>
      <c r="CQ130" s="273"/>
      <c r="CR130" s="273"/>
    </row>
    <row r="131" spans="1:96" s="258" customFormat="1" ht="12.75" x14ac:dyDescent="0.2">
      <c r="A131" s="268"/>
      <c r="B131" s="268"/>
      <c r="C131" s="267"/>
      <c r="D131" s="267"/>
      <c r="E131" s="268"/>
      <c r="F131" s="268"/>
      <c r="H131" s="269"/>
      <c r="I131" s="269"/>
      <c r="R131" s="270"/>
      <c r="S131" s="269"/>
      <c r="T131" s="269"/>
      <c r="AP131" s="273"/>
      <c r="AQ131" s="273"/>
      <c r="AR131" s="273"/>
      <c r="AS131" s="273"/>
      <c r="AT131" s="273"/>
      <c r="AU131" s="273"/>
      <c r="AV131" s="273"/>
      <c r="AW131" s="273"/>
      <c r="AX131" s="273"/>
      <c r="AY131" s="273"/>
      <c r="AZ131" s="273"/>
      <c r="BA131" s="273"/>
      <c r="BB131" s="273"/>
      <c r="BC131" s="273"/>
      <c r="BD131" s="273"/>
      <c r="BE131" s="273"/>
      <c r="BF131" s="273"/>
      <c r="BG131" s="273"/>
      <c r="BH131" s="273"/>
      <c r="BI131" s="273"/>
      <c r="BJ131" s="273"/>
      <c r="BK131" s="273"/>
      <c r="BL131" s="273"/>
      <c r="BM131" s="273"/>
      <c r="BN131" s="273"/>
      <c r="BO131" s="273"/>
      <c r="BP131" s="273"/>
      <c r="BQ131" s="273"/>
      <c r="BR131" s="273"/>
      <c r="BS131" s="273"/>
      <c r="BT131" s="273"/>
      <c r="BU131" s="273"/>
      <c r="BV131" s="273"/>
      <c r="BW131" s="273"/>
      <c r="BX131" s="273"/>
      <c r="BY131" s="273"/>
      <c r="BZ131" s="273"/>
      <c r="CA131" s="273"/>
      <c r="CB131" s="273"/>
      <c r="CC131" s="273"/>
      <c r="CD131" s="273"/>
      <c r="CE131" s="273"/>
      <c r="CF131" s="273"/>
      <c r="CG131" s="273"/>
      <c r="CH131" s="273"/>
      <c r="CI131" s="273"/>
      <c r="CJ131" s="273"/>
      <c r="CK131" s="273"/>
      <c r="CL131" s="273"/>
      <c r="CM131" s="273"/>
      <c r="CN131" s="273"/>
      <c r="CO131" s="273"/>
      <c r="CP131" s="273"/>
      <c r="CQ131" s="273"/>
      <c r="CR131" s="273"/>
    </row>
    <row r="132" spans="1:96" s="258" customFormat="1" ht="12.75" x14ac:dyDescent="0.2">
      <c r="A132" s="268"/>
      <c r="B132" s="268"/>
      <c r="C132" s="267"/>
      <c r="D132" s="267"/>
      <c r="E132" s="268"/>
      <c r="F132" s="268"/>
      <c r="H132" s="269"/>
      <c r="I132" s="269"/>
      <c r="R132" s="270"/>
      <c r="S132" s="269"/>
      <c r="T132" s="269"/>
      <c r="AP132" s="273"/>
      <c r="AQ132" s="273"/>
      <c r="AR132" s="273"/>
      <c r="AS132" s="273"/>
      <c r="AT132" s="273"/>
      <c r="AU132" s="273"/>
      <c r="AV132" s="273"/>
      <c r="AW132" s="273"/>
      <c r="AX132" s="273"/>
      <c r="AY132" s="273"/>
      <c r="AZ132" s="273"/>
      <c r="BA132" s="273"/>
      <c r="BB132" s="273"/>
      <c r="BC132" s="273"/>
      <c r="BD132" s="273"/>
      <c r="BE132" s="273"/>
      <c r="BF132" s="273"/>
      <c r="BG132" s="273"/>
      <c r="BH132" s="273"/>
      <c r="BI132" s="273"/>
      <c r="BJ132" s="273"/>
      <c r="BK132" s="273"/>
      <c r="BL132" s="273"/>
      <c r="BM132" s="273"/>
      <c r="BN132" s="273"/>
      <c r="BO132" s="273"/>
      <c r="BP132" s="273"/>
      <c r="BQ132" s="273"/>
      <c r="BR132" s="273"/>
      <c r="BS132" s="273"/>
      <c r="BT132" s="273"/>
      <c r="BU132" s="273"/>
      <c r="BV132" s="273"/>
      <c r="BW132" s="273"/>
      <c r="BX132" s="273"/>
      <c r="BY132" s="273"/>
      <c r="BZ132" s="273"/>
      <c r="CA132" s="273"/>
      <c r="CB132" s="273"/>
      <c r="CC132" s="273"/>
      <c r="CD132" s="273"/>
      <c r="CE132" s="273"/>
      <c r="CF132" s="273"/>
      <c r="CG132" s="273"/>
      <c r="CH132" s="273"/>
      <c r="CI132" s="273"/>
      <c r="CJ132" s="273"/>
      <c r="CK132" s="273"/>
      <c r="CL132" s="273"/>
      <c r="CM132" s="273"/>
      <c r="CN132" s="273"/>
      <c r="CO132" s="273"/>
      <c r="CP132" s="273"/>
      <c r="CQ132" s="273"/>
      <c r="CR132" s="273"/>
    </row>
    <row r="133" spans="1:96" s="258" customFormat="1" ht="12.75" x14ac:dyDescent="0.2">
      <c r="A133" s="268"/>
      <c r="B133" s="268"/>
      <c r="C133" s="267"/>
      <c r="D133" s="267"/>
      <c r="E133" s="268"/>
      <c r="F133" s="268"/>
      <c r="H133" s="269"/>
      <c r="I133" s="269"/>
      <c r="R133" s="270"/>
      <c r="S133" s="269"/>
      <c r="T133" s="269"/>
      <c r="AP133" s="273"/>
      <c r="AQ133" s="273"/>
      <c r="AR133" s="273"/>
      <c r="AS133" s="273"/>
      <c r="AT133" s="273"/>
      <c r="AU133" s="273"/>
      <c r="AV133" s="273"/>
      <c r="AW133" s="273"/>
      <c r="AX133" s="273"/>
      <c r="AY133" s="273"/>
      <c r="AZ133" s="273"/>
      <c r="BA133" s="273"/>
      <c r="BB133" s="273"/>
      <c r="BC133" s="273"/>
      <c r="BD133" s="273"/>
      <c r="BE133" s="273"/>
      <c r="BF133" s="273"/>
      <c r="BG133" s="273"/>
      <c r="BH133" s="273"/>
      <c r="BI133" s="273"/>
      <c r="BJ133" s="273"/>
      <c r="BK133" s="273"/>
      <c r="BL133" s="273"/>
      <c r="BM133" s="273"/>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row>
    <row r="134" spans="1:96" s="258" customFormat="1" ht="12.75" x14ac:dyDescent="0.2">
      <c r="A134" s="268"/>
      <c r="B134" s="268"/>
      <c r="C134" s="267"/>
      <c r="D134" s="267"/>
      <c r="E134" s="268"/>
      <c r="F134" s="268"/>
      <c r="H134" s="269"/>
      <c r="I134" s="269"/>
      <c r="R134" s="270"/>
      <c r="S134" s="269"/>
      <c r="T134" s="269"/>
      <c r="AP134" s="273"/>
      <c r="AQ134" s="273"/>
      <c r="AR134" s="273"/>
      <c r="AS134" s="273"/>
      <c r="AT134" s="273"/>
      <c r="AU134" s="273"/>
      <c r="AV134" s="273"/>
      <c r="AW134" s="273"/>
      <c r="AX134" s="273"/>
      <c r="AY134" s="273"/>
      <c r="AZ134" s="273"/>
      <c r="BA134" s="273"/>
      <c r="BB134" s="273"/>
      <c r="BC134" s="273"/>
      <c r="BD134" s="273"/>
      <c r="BE134" s="273"/>
      <c r="BF134" s="273"/>
      <c r="BG134" s="273"/>
      <c r="BH134" s="273"/>
      <c r="BI134" s="273"/>
      <c r="BJ134" s="273"/>
      <c r="BK134" s="273"/>
      <c r="BL134" s="273"/>
      <c r="BM134" s="273"/>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row>
    <row r="135" spans="1:96" s="258" customFormat="1" ht="12.75" x14ac:dyDescent="0.2">
      <c r="A135" s="268"/>
      <c r="B135" s="268"/>
      <c r="C135" s="267"/>
      <c r="D135" s="267"/>
      <c r="E135" s="268"/>
      <c r="F135" s="268"/>
      <c r="H135" s="269"/>
      <c r="I135" s="269"/>
      <c r="R135" s="270"/>
      <c r="S135" s="269"/>
      <c r="T135" s="269"/>
      <c r="AP135" s="273"/>
      <c r="AQ135" s="273"/>
      <c r="AR135" s="273"/>
      <c r="AS135" s="273"/>
      <c r="AT135" s="273"/>
      <c r="AU135" s="273"/>
      <c r="AV135" s="273"/>
      <c r="AW135" s="273"/>
      <c r="AX135" s="273"/>
      <c r="AY135" s="273"/>
      <c r="AZ135" s="273"/>
      <c r="BA135" s="273"/>
      <c r="BB135" s="273"/>
      <c r="BC135" s="273"/>
      <c r="BD135" s="273"/>
      <c r="BE135" s="273"/>
      <c r="BF135" s="273"/>
      <c r="BG135" s="273"/>
      <c r="BH135" s="273"/>
      <c r="BI135" s="273"/>
      <c r="BJ135" s="273"/>
      <c r="BK135" s="273"/>
      <c r="BL135" s="273"/>
      <c r="BM135" s="273"/>
      <c r="BN135" s="273"/>
      <c r="BO135" s="273"/>
      <c r="BP135" s="273"/>
      <c r="BQ135" s="273"/>
      <c r="BR135" s="273"/>
      <c r="BS135" s="273"/>
      <c r="BT135" s="273"/>
      <c r="BU135" s="273"/>
      <c r="BV135" s="273"/>
      <c r="BW135" s="273"/>
      <c r="BX135" s="273"/>
      <c r="BY135" s="273"/>
      <c r="BZ135" s="273"/>
      <c r="CA135" s="273"/>
      <c r="CB135" s="273"/>
      <c r="CC135" s="273"/>
      <c r="CD135" s="273"/>
      <c r="CE135" s="273"/>
      <c r="CF135" s="273"/>
      <c r="CG135" s="273"/>
      <c r="CH135" s="273"/>
      <c r="CI135" s="273"/>
      <c r="CJ135" s="273"/>
      <c r="CK135" s="273"/>
      <c r="CL135" s="273"/>
      <c r="CM135" s="273"/>
      <c r="CN135" s="273"/>
      <c r="CO135" s="273"/>
      <c r="CP135" s="273"/>
      <c r="CQ135" s="273"/>
      <c r="CR135" s="273"/>
    </row>
    <row r="136" spans="1:96" s="258" customFormat="1" ht="12.75" x14ac:dyDescent="0.2">
      <c r="A136" s="268"/>
      <c r="B136" s="268"/>
      <c r="C136" s="267"/>
      <c r="D136" s="267"/>
      <c r="E136" s="268"/>
      <c r="F136" s="268"/>
      <c r="H136" s="269"/>
      <c r="I136" s="269"/>
      <c r="R136" s="270"/>
      <c r="S136" s="269"/>
      <c r="T136" s="269"/>
      <c r="AP136" s="273"/>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73"/>
      <c r="BR136" s="273"/>
      <c r="BS136" s="273"/>
      <c r="BT136" s="273"/>
      <c r="BU136" s="273"/>
      <c r="BV136" s="273"/>
      <c r="BW136" s="273"/>
      <c r="BX136" s="273"/>
      <c r="BY136" s="273"/>
      <c r="BZ136" s="273"/>
      <c r="CA136" s="273"/>
      <c r="CB136" s="273"/>
      <c r="CC136" s="273"/>
      <c r="CD136" s="273"/>
      <c r="CE136" s="273"/>
      <c r="CF136" s="273"/>
      <c r="CG136" s="273"/>
      <c r="CH136" s="273"/>
      <c r="CI136" s="273"/>
      <c r="CJ136" s="273"/>
      <c r="CK136" s="273"/>
      <c r="CL136" s="273"/>
      <c r="CM136" s="273"/>
      <c r="CN136" s="273"/>
      <c r="CO136" s="273"/>
      <c r="CP136" s="273"/>
      <c r="CQ136" s="273"/>
      <c r="CR136" s="273"/>
    </row>
    <row r="137" spans="1:96" s="258" customFormat="1" ht="12.75" x14ac:dyDescent="0.2">
      <c r="A137" s="268"/>
      <c r="B137" s="268"/>
      <c r="C137" s="267"/>
      <c r="D137" s="267"/>
      <c r="E137" s="268"/>
      <c r="F137" s="268"/>
      <c r="H137" s="269"/>
      <c r="I137" s="269"/>
      <c r="R137" s="270"/>
      <c r="S137" s="269"/>
      <c r="T137" s="269"/>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73"/>
      <c r="BR137" s="273"/>
      <c r="BS137" s="273"/>
      <c r="BT137" s="273"/>
      <c r="BU137" s="273"/>
      <c r="BV137" s="273"/>
      <c r="BW137" s="273"/>
      <c r="BX137" s="273"/>
      <c r="BY137" s="273"/>
      <c r="BZ137" s="273"/>
      <c r="CA137" s="273"/>
      <c r="CB137" s="273"/>
      <c r="CC137" s="273"/>
      <c r="CD137" s="273"/>
      <c r="CE137" s="273"/>
      <c r="CF137" s="273"/>
      <c r="CG137" s="273"/>
      <c r="CH137" s="273"/>
      <c r="CI137" s="273"/>
      <c r="CJ137" s="273"/>
      <c r="CK137" s="273"/>
      <c r="CL137" s="273"/>
      <c r="CM137" s="273"/>
      <c r="CN137" s="273"/>
      <c r="CO137" s="273"/>
      <c r="CP137" s="273"/>
      <c r="CQ137" s="273"/>
      <c r="CR137" s="273"/>
    </row>
    <row r="138" spans="1:96" s="258" customFormat="1" ht="12.75" x14ac:dyDescent="0.2">
      <c r="A138" s="268"/>
      <c r="B138" s="268"/>
      <c r="C138" s="267"/>
      <c r="D138" s="267"/>
      <c r="E138" s="268"/>
      <c r="F138" s="268"/>
      <c r="H138" s="269"/>
      <c r="I138" s="269"/>
      <c r="R138" s="270"/>
      <c r="S138" s="269"/>
      <c r="T138" s="269"/>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3"/>
      <c r="CG138" s="273"/>
      <c r="CH138" s="273"/>
      <c r="CI138" s="273"/>
      <c r="CJ138" s="273"/>
      <c r="CK138" s="273"/>
      <c r="CL138" s="273"/>
      <c r="CM138" s="273"/>
      <c r="CN138" s="273"/>
      <c r="CO138" s="273"/>
      <c r="CP138" s="273"/>
      <c r="CQ138" s="273"/>
      <c r="CR138" s="273"/>
    </row>
    <row r="139" spans="1:96" s="258" customFormat="1" ht="12.75" x14ac:dyDescent="0.2">
      <c r="A139" s="268"/>
      <c r="B139" s="268"/>
      <c r="C139" s="267"/>
      <c r="D139" s="267"/>
      <c r="E139" s="268"/>
      <c r="F139" s="268"/>
      <c r="H139" s="269"/>
      <c r="I139" s="269"/>
      <c r="R139" s="270"/>
      <c r="S139" s="269"/>
      <c r="T139" s="269"/>
      <c r="AP139" s="273"/>
      <c r="AQ139" s="273"/>
      <c r="AR139" s="273"/>
      <c r="AS139" s="273"/>
      <c r="AT139" s="273"/>
      <c r="AU139" s="273"/>
      <c r="AV139" s="273"/>
      <c r="AW139" s="273"/>
      <c r="AX139" s="273"/>
      <c r="AY139" s="273"/>
      <c r="AZ139" s="273"/>
      <c r="BA139" s="273"/>
      <c r="BB139" s="273"/>
      <c r="BC139" s="273"/>
      <c r="BD139" s="273"/>
      <c r="BE139" s="273"/>
      <c r="BF139" s="273"/>
      <c r="BG139" s="273"/>
      <c r="BH139" s="273"/>
      <c r="BI139" s="273"/>
      <c r="BJ139" s="273"/>
      <c r="BK139" s="273"/>
      <c r="BL139" s="273"/>
      <c r="BM139" s="273"/>
      <c r="BN139" s="273"/>
      <c r="BO139" s="273"/>
      <c r="BP139" s="273"/>
      <c r="BQ139" s="273"/>
      <c r="BR139" s="273"/>
      <c r="BS139" s="273"/>
      <c r="BT139" s="273"/>
      <c r="BU139" s="273"/>
      <c r="BV139" s="273"/>
      <c r="BW139" s="273"/>
      <c r="BX139" s="273"/>
      <c r="BY139" s="273"/>
      <c r="BZ139" s="273"/>
      <c r="CA139" s="273"/>
      <c r="CB139" s="273"/>
      <c r="CC139" s="273"/>
      <c r="CD139" s="273"/>
      <c r="CE139" s="273"/>
      <c r="CF139" s="273"/>
      <c r="CG139" s="273"/>
      <c r="CH139" s="273"/>
      <c r="CI139" s="273"/>
      <c r="CJ139" s="273"/>
      <c r="CK139" s="273"/>
      <c r="CL139" s="273"/>
      <c r="CM139" s="273"/>
      <c r="CN139" s="273"/>
      <c r="CO139" s="273"/>
      <c r="CP139" s="273"/>
      <c r="CQ139" s="273"/>
      <c r="CR139" s="273"/>
    </row>
    <row r="140" spans="1:96" s="258" customFormat="1" ht="12.75" x14ac:dyDescent="0.2">
      <c r="A140" s="268"/>
      <c r="B140" s="268"/>
      <c r="C140" s="267"/>
      <c r="D140" s="267"/>
      <c r="E140" s="268"/>
      <c r="F140" s="268"/>
      <c r="H140" s="269"/>
      <c r="I140" s="269"/>
      <c r="R140" s="270"/>
      <c r="S140" s="269"/>
      <c r="T140" s="269"/>
      <c r="AP140" s="273"/>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73"/>
      <c r="BR140" s="273"/>
      <c r="BS140" s="273"/>
      <c r="BT140" s="273"/>
      <c r="BU140" s="273"/>
      <c r="BV140" s="273"/>
      <c r="BW140" s="273"/>
      <c r="BX140" s="273"/>
      <c r="BY140" s="273"/>
      <c r="BZ140" s="273"/>
      <c r="CA140" s="273"/>
      <c r="CB140" s="273"/>
      <c r="CC140" s="273"/>
      <c r="CD140" s="273"/>
      <c r="CE140" s="273"/>
      <c r="CF140" s="273"/>
      <c r="CG140" s="273"/>
      <c r="CH140" s="273"/>
      <c r="CI140" s="273"/>
      <c r="CJ140" s="273"/>
      <c r="CK140" s="273"/>
      <c r="CL140" s="273"/>
      <c r="CM140" s="273"/>
      <c r="CN140" s="273"/>
      <c r="CO140" s="273"/>
      <c r="CP140" s="273"/>
      <c r="CQ140" s="273"/>
      <c r="CR140" s="273"/>
    </row>
    <row r="141" spans="1:96" s="258" customFormat="1" ht="12.75" x14ac:dyDescent="0.2">
      <c r="A141" s="268"/>
      <c r="B141" s="268"/>
      <c r="C141" s="267"/>
      <c r="D141" s="267"/>
      <c r="E141" s="268"/>
      <c r="F141" s="268"/>
      <c r="H141" s="269"/>
      <c r="I141" s="269"/>
      <c r="R141" s="270"/>
      <c r="S141" s="269"/>
      <c r="T141" s="269"/>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73"/>
      <c r="BY141" s="273"/>
      <c r="BZ141" s="273"/>
      <c r="CA141" s="273"/>
      <c r="CB141" s="273"/>
      <c r="CC141" s="273"/>
      <c r="CD141" s="273"/>
      <c r="CE141" s="273"/>
      <c r="CF141" s="273"/>
      <c r="CG141" s="273"/>
      <c r="CH141" s="273"/>
      <c r="CI141" s="273"/>
      <c r="CJ141" s="273"/>
      <c r="CK141" s="273"/>
      <c r="CL141" s="273"/>
      <c r="CM141" s="273"/>
      <c r="CN141" s="273"/>
      <c r="CO141" s="273"/>
      <c r="CP141" s="273"/>
      <c r="CQ141" s="273"/>
      <c r="CR141" s="273"/>
    </row>
    <row r="142" spans="1:96" s="258" customFormat="1" ht="12.75" x14ac:dyDescent="0.2">
      <c r="A142" s="268"/>
      <c r="B142" s="268"/>
      <c r="C142" s="267"/>
      <c r="D142" s="267"/>
      <c r="E142" s="268"/>
      <c r="F142" s="268"/>
      <c r="H142" s="269"/>
      <c r="I142" s="269"/>
      <c r="R142" s="270"/>
      <c r="S142" s="269"/>
      <c r="T142" s="269"/>
      <c r="AP142" s="273"/>
      <c r="AQ142" s="273"/>
      <c r="AR142" s="273"/>
      <c r="AS142" s="273"/>
      <c r="AT142" s="273"/>
      <c r="AU142" s="273"/>
      <c r="AV142" s="273"/>
      <c r="AW142" s="273"/>
      <c r="AX142" s="273"/>
      <c r="AY142" s="273"/>
      <c r="AZ142" s="273"/>
      <c r="BA142" s="273"/>
      <c r="BB142" s="273"/>
      <c r="BC142" s="273"/>
      <c r="BD142" s="273"/>
      <c r="BE142" s="273"/>
      <c r="BF142" s="273"/>
      <c r="BG142" s="273"/>
      <c r="BH142" s="273"/>
      <c r="BI142" s="273"/>
      <c r="BJ142" s="273"/>
      <c r="BK142" s="273"/>
      <c r="BL142" s="273"/>
      <c r="BM142" s="273"/>
      <c r="BN142" s="273"/>
      <c r="BO142" s="273"/>
      <c r="BP142" s="273"/>
      <c r="BQ142" s="273"/>
      <c r="BR142" s="273"/>
      <c r="BS142" s="273"/>
      <c r="BT142" s="273"/>
      <c r="BU142" s="273"/>
      <c r="BV142" s="273"/>
      <c r="BW142" s="273"/>
      <c r="BX142" s="273"/>
      <c r="BY142" s="273"/>
      <c r="BZ142" s="273"/>
      <c r="CA142" s="273"/>
      <c r="CB142" s="273"/>
      <c r="CC142" s="273"/>
      <c r="CD142" s="273"/>
      <c r="CE142" s="273"/>
      <c r="CF142" s="273"/>
      <c r="CG142" s="273"/>
      <c r="CH142" s="273"/>
      <c r="CI142" s="273"/>
      <c r="CJ142" s="273"/>
      <c r="CK142" s="273"/>
      <c r="CL142" s="273"/>
      <c r="CM142" s="273"/>
      <c r="CN142" s="273"/>
      <c r="CO142" s="273"/>
      <c r="CP142" s="273"/>
      <c r="CQ142" s="273"/>
      <c r="CR142" s="273"/>
    </row>
    <row r="143" spans="1:96" s="258" customFormat="1" ht="12.75" x14ac:dyDescent="0.2">
      <c r="A143" s="268"/>
      <c r="B143" s="268"/>
      <c r="C143" s="267"/>
      <c r="D143" s="267"/>
      <c r="E143" s="268"/>
      <c r="F143" s="268"/>
      <c r="H143" s="269"/>
      <c r="I143" s="269"/>
      <c r="R143" s="270"/>
      <c r="S143" s="269"/>
      <c r="T143" s="269"/>
      <c r="AP143" s="273"/>
      <c r="AQ143" s="273"/>
      <c r="AR143" s="273"/>
      <c r="AS143" s="273"/>
      <c r="AT143" s="273"/>
      <c r="AU143" s="273"/>
      <c r="AV143" s="273"/>
      <c r="AW143" s="273"/>
      <c r="AX143" s="273"/>
      <c r="AY143" s="273"/>
      <c r="AZ143" s="273"/>
      <c r="BA143" s="273"/>
      <c r="BB143" s="273"/>
      <c r="BC143" s="273"/>
      <c r="BD143" s="273"/>
      <c r="BE143" s="273"/>
      <c r="BF143" s="273"/>
      <c r="BG143" s="273"/>
      <c r="BH143" s="273"/>
      <c r="BI143" s="273"/>
      <c r="BJ143" s="273"/>
      <c r="BK143" s="273"/>
      <c r="BL143" s="273"/>
      <c r="BM143" s="273"/>
      <c r="BN143" s="273"/>
      <c r="BO143" s="273"/>
      <c r="BP143" s="273"/>
      <c r="BQ143" s="273"/>
      <c r="BR143" s="273"/>
      <c r="BS143" s="273"/>
      <c r="BT143" s="273"/>
      <c r="BU143" s="273"/>
      <c r="BV143" s="273"/>
      <c r="BW143" s="273"/>
      <c r="BX143" s="273"/>
      <c r="BY143" s="273"/>
      <c r="BZ143" s="273"/>
      <c r="CA143" s="273"/>
      <c r="CB143" s="273"/>
      <c r="CC143" s="273"/>
      <c r="CD143" s="273"/>
      <c r="CE143" s="273"/>
      <c r="CF143" s="273"/>
      <c r="CG143" s="273"/>
      <c r="CH143" s="273"/>
      <c r="CI143" s="273"/>
      <c r="CJ143" s="273"/>
      <c r="CK143" s="273"/>
      <c r="CL143" s="273"/>
      <c r="CM143" s="273"/>
      <c r="CN143" s="273"/>
      <c r="CO143" s="273"/>
      <c r="CP143" s="273"/>
      <c r="CQ143" s="273"/>
      <c r="CR143" s="273"/>
    </row>
    <row r="144" spans="1:96" s="258" customFormat="1" ht="12.75" x14ac:dyDescent="0.2">
      <c r="A144" s="268"/>
      <c r="B144" s="268"/>
      <c r="C144" s="267"/>
      <c r="D144" s="267"/>
      <c r="E144" s="268"/>
      <c r="F144" s="268"/>
      <c r="H144" s="269"/>
      <c r="I144" s="269"/>
      <c r="R144" s="270"/>
      <c r="S144" s="269"/>
      <c r="T144" s="269"/>
      <c r="AP144" s="273"/>
      <c r="AQ144" s="273"/>
      <c r="AR144" s="273"/>
      <c r="AS144" s="273"/>
      <c r="AT144" s="273"/>
      <c r="AU144" s="273"/>
      <c r="AV144" s="273"/>
      <c r="AW144" s="273"/>
      <c r="AX144" s="273"/>
      <c r="AY144" s="273"/>
      <c r="AZ144" s="273"/>
      <c r="BA144" s="273"/>
      <c r="BB144" s="273"/>
      <c r="BC144" s="273"/>
      <c r="BD144" s="273"/>
      <c r="BE144" s="273"/>
      <c r="BF144" s="273"/>
      <c r="BG144" s="273"/>
      <c r="BH144" s="273"/>
      <c r="BI144" s="273"/>
      <c r="BJ144" s="273"/>
      <c r="BK144" s="273"/>
      <c r="BL144" s="273"/>
      <c r="BM144" s="273"/>
      <c r="BN144" s="273"/>
      <c r="BO144" s="273"/>
      <c r="BP144" s="273"/>
      <c r="BQ144" s="273"/>
      <c r="BR144" s="273"/>
      <c r="BS144" s="273"/>
      <c r="BT144" s="273"/>
      <c r="BU144" s="273"/>
      <c r="BV144" s="273"/>
      <c r="BW144" s="273"/>
      <c r="BX144" s="273"/>
      <c r="BY144" s="273"/>
      <c r="BZ144" s="273"/>
      <c r="CA144" s="273"/>
      <c r="CB144" s="273"/>
      <c r="CC144" s="273"/>
      <c r="CD144" s="273"/>
      <c r="CE144" s="273"/>
      <c r="CF144" s="273"/>
      <c r="CG144" s="273"/>
      <c r="CH144" s="273"/>
      <c r="CI144" s="273"/>
      <c r="CJ144" s="273"/>
      <c r="CK144" s="273"/>
      <c r="CL144" s="273"/>
      <c r="CM144" s="273"/>
      <c r="CN144" s="273"/>
      <c r="CO144" s="273"/>
      <c r="CP144" s="273"/>
      <c r="CQ144" s="273"/>
      <c r="CR144" s="273"/>
    </row>
    <row r="145" spans="1:96" s="258" customFormat="1" ht="12.75" x14ac:dyDescent="0.2">
      <c r="A145" s="268"/>
      <c r="B145" s="268"/>
      <c r="C145" s="267"/>
      <c r="D145" s="267"/>
      <c r="E145" s="268"/>
      <c r="F145" s="268"/>
      <c r="H145" s="269"/>
      <c r="I145" s="269"/>
      <c r="R145" s="270"/>
      <c r="S145" s="269"/>
      <c r="T145" s="269"/>
      <c r="AP145" s="273"/>
      <c r="AQ145" s="273"/>
      <c r="AR145" s="273"/>
      <c r="AS145" s="273"/>
      <c r="AT145" s="273"/>
      <c r="AU145" s="273"/>
      <c r="AV145" s="273"/>
      <c r="AW145" s="273"/>
      <c r="AX145" s="273"/>
      <c r="AY145" s="273"/>
      <c r="AZ145" s="273"/>
      <c r="BA145" s="273"/>
      <c r="BB145" s="273"/>
      <c r="BC145" s="273"/>
      <c r="BD145" s="273"/>
      <c r="BE145" s="273"/>
      <c r="BF145" s="273"/>
      <c r="BG145" s="273"/>
      <c r="BH145" s="273"/>
      <c r="BI145" s="273"/>
      <c r="BJ145" s="273"/>
      <c r="BK145" s="273"/>
      <c r="BL145" s="273"/>
      <c r="BM145" s="273"/>
      <c r="BN145" s="273"/>
      <c r="BO145" s="273"/>
      <c r="BP145" s="273"/>
      <c r="BQ145" s="273"/>
      <c r="BR145" s="273"/>
      <c r="BS145" s="273"/>
      <c r="BT145" s="273"/>
      <c r="BU145" s="273"/>
      <c r="BV145" s="273"/>
      <c r="BW145" s="273"/>
      <c r="BX145" s="273"/>
      <c r="BY145" s="273"/>
      <c r="BZ145" s="273"/>
      <c r="CA145" s="273"/>
      <c r="CB145" s="273"/>
      <c r="CC145" s="273"/>
      <c r="CD145" s="273"/>
      <c r="CE145" s="273"/>
      <c r="CF145" s="273"/>
      <c r="CG145" s="273"/>
      <c r="CH145" s="273"/>
      <c r="CI145" s="273"/>
      <c r="CJ145" s="273"/>
      <c r="CK145" s="273"/>
      <c r="CL145" s="273"/>
      <c r="CM145" s="273"/>
      <c r="CN145" s="273"/>
      <c r="CO145" s="273"/>
      <c r="CP145" s="273"/>
      <c r="CQ145" s="273"/>
      <c r="CR145" s="273"/>
    </row>
    <row r="146" spans="1:96" s="258" customFormat="1" ht="12.75" x14ac:dyDescent="0.2">
      <c r="A146" s="268"/>
      <c r="B146" s="268"/>
      <c r="C146" s="267"/>
      <c r="D146" s="267"/>
      <c r="E146" s="268"/>
      <c r="F146" s="268"/>
      <c r="H146" s="269"/>
      <c r="I146" s="269"/>
      <c r="R146" s="270"/>
      <c r="S146" s="269"/>
      <c r="T146" s="269"/>
      <c r="AP146" s="273"/>
      <c r="AQ146" s="273"/>
      <c r="AR146" s="273"/>
      <c r="AS146" s="273"/>
      <c r="AT146" s="273"/>
      <c r="AU146" s="273"/>
      <c r="AV146" s="273"/>
      <c r="AW146" s="273"/>
      <c r="AX146" s="273"/>
      <c r="AY146" s="273"/>
      <c r="AZ146" s="273"/>
      <c r="BA146" s="273"/>
      <c r="BB146" s="273"/>
      <c r="BC146" s="273"/>
      <c r="BD146" s="273"/>
      <c r="BE146" s="273"/>
      <c r="BF146" s="273"/>
      <c r="BG146" s="273"/>
      <c r="BH146" s="273"/>
      <c r="BI146" s="273"/>
      <c r="BJ146" s="273"/>
      <c r="BK146" s="273"/>
      <c r="BL146" s="273"/>
      <c r="BM146" s="273"/>
      <c r="BN146" s="273"/>
      <c r="BO146" s="273"/>
      <c r="BP146" s="273"/>
      <c r="BQ146" s="273"/>
      <c r="BR146" s="273"/>
      <c r="BS146" s="273"/>
      <c r="BT146" s="273"/>
      <c r="BU146" s="273"/>
      <c r="BV146" s="273"/>
      <c r="BW146" s="273"/>
      <c r="BX146" s="273"/>
      <c r="BY146" s="273"/>
      <c r="BZ146" s="273"/>
      <c r="CA146" s="273"/>
      <c r="CB146" s="273"/>
      <c r="CC146" s="273"/>
      <c r="CD146" s="273"/>
      <c r="CE146" s="273"/>
      <c r="CF146" s="273"/>
      <c r="CG146" s="273"/>
      <c r="CH146" s="273"/>
      <c r="CI146" s="273"/>
      <c r="CJ146" s="273"/>
      <c r="CK146" s="273"/>
      <c r="CL146" s="273"/>
      <c r="CM146" s="273"/>
      <c r="CN146" s="273"/>
      <c r="CO146" s="273"/>
      <c r="CP146" s="273"/>
      <c r="CQ146" s="273"/>
      <c r="CR146" s="273"/>
    </row>
    <row r="147" spans="1:96" s="258" customFormat="1" ht="12.75" x14ac:dyDescent="0.2">
      <c r="A147" s="268"/>
      <c r="B147" s="268"/>
      <c r="C147" s="267"/>
      <c r="D147" s="267"/>
      <c r="E147" s="268"/>
      <c r="F147" s="268"/>
      <c r="H147" s="269"/>
      <c r="I147" s="269"/>
      <c r="R147" s="270"/>
      <c r="S147" s="269"/>
      <c r="T147" s="269"/>
      <c r="AP147" s="273"/>
      <c r="AQ147" s="273"/>
      <c r="AR147" s="273"/>
      <c r="AS147" s="273"/>
      <c r="AT147" s="273"/>
      <c r="AU147" s="273"/>
      <c r="AV147" s="273"/>
      <c r="AW147" s="273"/>
      <c r="AX147" s="273"/>
      <c r="AY147" s="273"/>
      <c r="AZ147" s="273"/>
      <c r="BA147" s="273"/>
      <c r="BB147" s="273"/>
      <c r="BC147" s="273"/>
      <c r="BD147" s="273"/>
      <c r="BE147" s="273"/>
      <c r="BF147" s="273"/>
      <c r="BG147" s="273"/>
      <c r="BH147" s="273"/>
      <c r="BI147" s="273"/>
      <c r="BJ147" s="273"/>
      <c r="BK147" s="273"/>
      <c r="BL147" s="273"/>
      <c r="BM147" s="273"/>
      <c r="BN147" s="273"/>
      <c r="BO147" s="273"/>
      <c r="BP147" s="273"/>
      <c r="BQ147" s="273"/>
      <c r="BR147" s="273"/>
      <c r="BS147" s="273"/>
      <c r="BT147" s="273"/>
      <c r="BU147" s="273"/>
      <c r="BV147" s="273"/>
      <c r="BW147" s="273"/>
      <c r="BX147" s="273"/>
      <c r="BY147" s="273"/>
      <c r="BZ147" s="273"/>
      <c r="CA147" s="273"/>
      <c r="CB147" s="273"/>
      <c r="CC147" s="273"/>
      <c r="CD147" s="273"/>
      <c r="CE147" s="273"/>
      <c r="CF147" s="273"/>
      <c r="CG147" s="273"/>
      <c r="CH147" s="273"/>
      <c r="CI147" s="273"/>
      <c r="CJ147" s="273"/>
      <c r="CK147" s="273"/>
      <c r="CL147" s="273"/>
      <c r="CM147" s="273"/>
      <c r="CN147" s="273"/>
      <c r="CO147" s="273"/>
      <c r="CP147" s="273"/>
      <c r="CQ147" s="273"/>
      <c r="CR147" s="273"/>
    </row>
    <row r="148" spans="1:96" s="258" customFormat="1" ht="12.75" x14ac:dyDescent="0.2">
      <c r="A148" s="268"/>
      <c r="B148" s="268"/>
      <c r="C148" s="267"/>
      <c r="D148" s="267"/>
      <c r="E148" s="268"/>
      <c r="F148" s="268"/>
      <c r="H148" s="269"/>
      <c r="I148" s="269"/>
      <c r="R148" s="270"/>
      <c r="S148" s="269"/>
      <c r="T148" s="269"/>
      <c r="AP148" s="273"/>
      <c r="AQ148" s="273"/>
      <c r="AR148" s="273"/>
      <c r="AS148" s="273"/>
      <c r="AT148" s="273"/>
      <c r="AU148" s="273"/>
      <c r="AV148" s="273"/>
      <c r="AW148" s="273"/>
      <c r="AX148" s="273"/>
      <c r="AY148" s="273"/>
      <c r="AZ148" s="273"/>
      <c r="BA148" s="273"/>
      <c r="BB148" s="273"/>
      <c r="BC148" s="273"/>
      <c r="BD148" s="273"/>
      <c r="BE148" s="273"/>
      <c r="BF148" s="273"/>
      <c r="BG148" s="273"/>
      <c r="BH148" s="273"/>
      <c r="BI148" s="273"/>
      <c r="BJ148" s="273"/>
      <c r="BK148" s="273"/>
      <c r="BL148" s="273"/>
      <c r="BM148" s="273"/>
      <c r="BN148" s="273"/>
      <c r="BO148" s="273"/>
      <c r="BP148" s="273"/>
      <c r="BQ148" s="273"/>
      <c r="BR148" s="273"/>
      <c r="BS148" s="273"/>
      <c r="BT148" s="273"/>
      <c r="BU148" s="273"/>
      <c r="BV148" s="273"/>
      <c r="BW148" s="273"/>
      <c r="BX148" s="273"/>
      <c r="BY148" s="273"/>
      <c r="BZ148" s="273"/>
      <c r="CA148" s="273"/>
      <c r="CB148" s="273"/>
      <c r="CC148" s="273"/>
      <c r="CD148" s="273"/>
      <c r="CE148" s="273"/>
      <c r="CF148" s="273"/>
      <c r="CG148" s="273"/>
      <c r="CH148" s="273"/>
      <c r="CI148" s="273"/>
      <c r="CJ148" s="273"/>
      <c r="CK148" s="273"/>
      <c r="CL148" s="273"/>
      <c r="CM148" s="273"/>
      <c r="CN148" s="273"/>
      <c r="CO148" s="273"/>
      <c r="CP148" s="273"/>
      <c r="CQ148" s="273"/>
      <c r="CR148" s="273"/>
    </row>
    <row r="149" spans="1:96" s="258" customFormat="1" ht="12.75" x14ac:dyDescent="0.2">
      <c r="A149" s="268"/>
      <c r="B149" s="268"/>
      <c r="C149" s="267"/>
      <c r="D149" s="267"/>
      <c r="E149" s="268"/>
      <c r="F149" s="268"/>
      <c r="H149" s="269"/>
      <c r="I149" s="269"/>
      <c r="R149" s="270"/>
      <c r="S149" s="269"/>
      <c r="T149" s="269"/>
      <c r="AP149" s="273"/>
      <c r="AQ149" s="273"/>
      <c r="AR149" s="273"/>
      <c r="AS149" s="273"/>
      <c r="AT149" s="273"/>
      <c r="AU149" s="273"/>
      <c r="AV149" s="273"/>
      <c r="AW149" s="273"/>
      <c r="AX149" s="273"/>
      <c r="AY149" s="273"/>
      <c r="AZ149" s="273"/>
      <c r="BA149" s="273"/>
      <c r="BB149" s="273"/>
      <c r="BC149" s="273"/>
      <c r="BD149" s="273"/>
      <c r="BE149" s="273"/>
      <c r="BF149" s="273"/>
      <c r="BG149" s="273"/>
      <c r="BH149" s="273"/>
      <c r="BI149" s="273"/>
      <c r="BJ149" s="273"/>
      <c r="BK149" s="273"/>
      <c r="BL149" s="273"/>
      <c r="BM149" s="273"/>
      <c r="BN149" s="273"/>
      <c r="BO149" s="273"/>
      <c r="BP149" s="273"/>
      <c r="BQ149" s="273"/>
      <c r="BR149" s="273"/>
      <c r="BS149" s="273"/>
      <c r="BT149" s="273"/>
      <c r="BU149" s="273"/>
      <c r="BV149" s="273"/>
      <c r="BW149" s="273"/>
      <c r="BX149" s="273"/>
      <c r="BY149" s="273"/>
      <c r="BZ149" s="273"/>
      <c r="CA149" s="273"/>
      <c r="CB149" s="273"/>
      <c r="CC149" s="273"/>
      <c r="CD149" s="273"/>
      <c r="CE149" s="273"/>
      <c r="CF149" s="273"/>
      <c r="CG149" s="273"/>
      <c r="CH149" s="273"/>
      <c r="CI149" s="273"/>
      <c r="CJ149" s="273"/>
      <c r="CK149" s="273"/>
      <c r="CL149" s="273"/>
      <c r="CM149" s="273"/>
      <c r="CN149" s="273"/>
      <c r="CO149" s="273"/>
      <c r="CP149" s="273"/>
      <c r="CQ149" s="273"/>
      <c r="CR149" s="273"/>
    </row>
    <row r="150" spans="1:96" s="258" customFormat="1" ht="12.75" x14ac:dyDescent="0.2">
      <c r="A150" s="268"/>
      <c r="B150" s="268"/>
      <c r="C150" s="267"/>
      <c r="D150" s="267"/>
      <c r="E150" s="268"/>
      <c r="F150" s="268"/>
      <c r="H150" s="269"/>
      <c r="I150" s="269"/>
      <c r="R150" s="270"/>
      <c r="S150" s="269"/>
      <c r="T150" s="269"/>
      <c r="AP150" s="273"/>
      <c r="AQ150" s="273"/>
      <c r="AR150" s="273"/>
      <c r="AS150" s="273"/>
      <c r="AT150" s="273"/>
      <c r="AU150" s="273"/>
      <c r="AV150" s="273"/>
      <c r="AW150" s="273"/>
      <c r="AX150" s="273"/>
      <c r="AY150" s="273"/>
      <c r="AZ150" s="273"/>
      <c r="BA150" s="273"/>
      <c r="BB150" s="273"/>
      <c r="BC150" s="273"/>
      <c r="BD150" s="273"/>
      <c r="BE150" s="273"/>
      <c r="BF150" s="273"/>
      <c r="BG150" s="273"/>
      <c r="BH150" s="273"/>
      <c r="BI150" s="273"/>
      <c r="BJ150" s="273"/>
      <c r="BK150" s="273"/>
      <c r="BL150" s="273"/>
      <c r="BM150" s="273"/>
      <c r="BN150" s="273"/>
      <c r="BO150" s="273"/>
      <c r="BP150" s="273"/>
      <c r="BQ150" s="273"/>
      <c r="BR150" s="273"/>
      <c r="BS150" s="273"/>
      <c r="BT150" s="273"/>
      <c r="BU150" s="273"/>
      <c r="BV150" s="273"/>
      <c r="BW150" s="273"/>
      <c r="BX150" s="273"/>
      <c r="BY150" s="273"/>
      <c r="BZ150" s="273"/>
      <c r="CA150" s="273"/>
      <c r="CB150" s="273"/>
      <c r="CC150" s="273"/>
      <c r="CD150" s="273"/>
      <c r="CE150" s="273"/>
      <c r="CF150" s="273"/>
      <c r="CG150" s="273"/>
      <c r="CH150" s="273"/>
      <c r="CI150" s="273"/>
      <c r="CJ150" s="273"/>
      <c r="CK150" s="273"/>
      <c r="CL150" s="273"/>
      <c r="CM150" s="273"/>
      <c r="CN150" s="273"/>
      <c r="CO150" s="273"/>
      <c r="CP150" s="273"/>
      <c r="CQ150" s="273"/>
      <c r="CR150" s="273"/>
    </row>
    <row r="151" spans="1:96" s="258" customFormat="1" ht="12.75" x14ac:dyDescent="0.2">
      <c r="A151" s="268"/>
      <c r="B151" s="268"/>
      <c r="C151" s="267"/>
      <c r="D151" s="267"/>
      <c r="E151" s="268"/>
      <c r="F151" s="268"/>
      <c r="H151" s="269"/>
      <c r="I151" s="269"/>
      <c r="R151" s="270"/>
      <c r="S151" s="269"/>
      <c r="T151" s="269"/>
      <c r="AP151" s="273"/>
      <c r="AQ151" s="273"/>
      <c r="AR151" s="273"/>
      <c r="AS151" s="273"/>
      <c r="AT151" s="273"/>
      <c r="AU151" s="273"/>
      <c r="AV151" s="273"/>
      <c r="AW151" s="273"/>
      <c r="AX151" s="273"/>
      <c r="AY151" s="273"/>
      <c r="AZ151" s="273"/>
      <c r="BA151" s="273"/>
      <c r="BB151" s="273"/>
      <c r="BC151" s="273"/>
      <c r="BD151" s="273"/>
      <c r="BE151" s="273"/>
      <c r="BF151" s="273"/>
      <c r="BG151" s="273"/>
      <c r="BH151" s="273"/>
      <c r="BI151" s="273"/>
      <c r="BJ151" s="273"/>
      <c r="BK151" s="273"/>
      <c r="BL151" s="273"/>
      <c r="BM151" s="273"/>
      <c r="BN151" s="273"/>
      <c r="BO151" s="273"/>
      <c r="BP151" s="273"/>
      <c r="BQ151" s="273"/>
      <c r="BR151" s="273"/>
      <c r="BS151" s="273"/>
      <c r="BT151" s="273"/>
      <c r="BU151" s="273"/>
      <c r="BV151" s="273"/>
      <c r="BW151" s="273"/>
      <c r="BX151" s="273"/>
      <c r="BY151" s="273"/>
      <c r="BZ151" s="273"/>
      <c r="CA151" s="273"/>
      <c r="CB151" s="273"/>
      <c r="CC151" s="273"/>
      <c r="CD151" s="273"/>
      <c r="CE151" s="273"/>
      <c r="CF151" s="273"/>
      <c r="CG151" s="273"/>
      <c r="CH151" s="273"/>
      <c r="CI151" s="273"/>
      <c r="CJ151" s="273"/>
      <c r="CK151" s="273"/>
      <c r="CL151" s="273"/>
      <c r="CM151" s="273"/>
      <c r="CN151" s="273"/>
      <c r="CO151" s="273"/>
      <c r="CP151" s="273"/>
      <c r="CQ151" s="273"/>
      <c r="CR151" s="273"/>
    </row>
    <row r="152" spans="1:96" s="258" customFormat="1" ht="12.75" x14ac:dyDescent="0.2">
      <c r="A152" s="268"/>
      <c r="B152" s="268"/>
      <c r="C152" s="267"/>
      <c r="D152" s="267"/>
      <c r="E152" s="268"/>
      <c r="F152" s="268"/>
      <c r="H152" s="269"/>
      <c r="I152" s="269"/>
      <c r="R152" s="270"/>
      <c r="S152" s="269"/>
      <c r="T152" s="269"/>
      <c r="AP152" s="273"/>
      <c r="AQ152" s="273"/>
      <c r="AR152" s="273"/>
      <c r="AS152" s="273"/>
      <c r="AT152" s="273"/>
      <c r="AU152" s="273"/>
      <c r="AV152" s="273"/>
      <c r="AW152" s="273"/>
      <c r="AX152" s="273"/>
      <c r="AY152" s="273"/>
      <c r="AZ152" s="273"/>
      <c r="BA152" s="273"/>
      <c r="BB152" s="273"/>
      <c r="BC152" s="273"/>
      <c r="BD152" s="273"/>
      <c r="BE152" s="273"/>
      <c r="BF152" s="273"/>
      <c r="BG152" s="273"/>
      <c r="BH152" s="273"/>
      <c r="BI152" s="273"/>
      <c r="BJ152" s="273"/>
      <c r="BK152" s="273"/>
      <c r="BL152" s="273"/>
      <c r="BM152" s="273"/>
      <c r="BN152" s="273"/>
      <c r="BO152" s="273"/>
      <c r="BP152" s="273"/>
      <c r="BQ152" s="273"/>
      <c r="BR152" s="273"/>
      <c r="BS152" s="273"/>
      <c r="BT152" s="273"/>
      <c r="BU152" s="273"/>
      <c r="BV152" s="273"/>
      <c r="BW152" s="273"/>
      <c r="BX152" s="273"/>
      <c r="BY152" s="273"/>
      <c r="BZ152" s="273"/>
      <c r="CA152" s="273"/>
      <c r="CB152" s="273"/>
      <c r="CC152" s="273"/>
      <c r="CD152" s="273"/>
      <c r="CE152" s="273"/>
      <c r="CF152" s="273"/>
      <c r="CG152" s="273"/>
      <c r="CH152" s="273"/>
      <c r="CI152" s="273"/>
      <c r="CJ152" s="273"/>
      <c r="CK152" s="273"/>
      <c r="CL152" s="273"/>
      <c r="CM152" s="273"/>
      <c r="CN152" s="273"/>
      <c r="CO152" s="273"/>
      <c r="CP152" s="273"/>
      <c r="CQ152" s="273"/>
      <c r="CR152" s="273"/>
    </row>
    <row r="153" spans="1:96" s="258" customFormat="1" ht="12.75" x14ac:dyDescent="0.2">
      <c r="A153" s="268"/>
      <c r="B153" s="268"/>
      <c r="C153" s="267"/>
      <c r="D153" s="267"/>
      <c r="E153" s="268"/>
      <c r="F153" s="268"/>
      <c r="H153" s="269"/>
      <c r="I153" s="269"/>
      <c r="R153" s="270"/>
      <c r="S153" s="269"/>
      <c r="T153" s="269"/>
      <c r="AP153" s="273"/>
      <c r="AQ153" s="273"/>
      <c r="AR153" s="273"/>
      <c r="AS153" s="273"/>
      <c r="AT153" s="273"/>
      <c r="AU153" s="273"/>
      <c r="AV153" s="273"/>
      <c r="AW153" s="273"/>
      <c r="AX153" s="273"/>
      <c r="AY153" s="273"/>
      <c r="AZ153" s="273"/>
      <c r="BA153" s="273"/>
      <c r="BB153" s="273"/>
      <c r="BC153" s="273"/>
      <c r="BD153" s="273"/>
      <c r="BE153" s="273"/>
      <c r="BF153" s="273"/>
      <c r="BG153" s="273"/>
      <c r="BH153" s="273"/>
      <c r="BI153" s="273"/>
      <c r="BJ153" s="273"/>
      <c r="BK153" s="273"/>
      <c r="BL153" s="273"/>
      <c r="BM153" s="273"/>
      <c r="BN153" s="273"/>
      <c r="BO153" s="273"/>
      <c r="BP153" s="273"/>
      <c r="BQ153" s="273"/>
      <c r="BR153" s="273"/>
      <c r="BS153" s="273"/>
      <c r="BT153" s="273"/>
      <c r="BU153" s="273"/>
      <c r="BV153" s="273"/>
      <c r="BW153" s="273"/>
      <c r="BX153" s="273"/>
      <c r="BY153" s="273"/>
      <c r="BZ153" s="273"/>
      <c r="CA153" s="273"/>
      <c r="CB153" s="273"/>
      <c r="CC153" s="273"/>
      <c r="CD153" s="273"/>
      <c r="CE153" s="273"/>
      <c r="CF153" s="273"/>
      <c r="CG153" s="273"/>
      <c r="CH153" s="273"/>
      <c r="CI153" s="273"/>
      <c r="CJ153" s="273"/>
      <c r="CK153" s="273"/>
      <c r="CL153" s="273"/>
      <c r="CM153" s="273"/>
      <c r="CN153" s="273"/>
      <c r="CO153" s="273"/>
      <c r="CP153" s="273"/>
      <c r="CQ153" s="273"/>
      <c r="CR153" s="273"/>
    </row>
    <row r="154" spans="1:96" s="258" customFormat="1" ht="12.75" x14ac:dyDescent="0.2">
      <c r="A154" s="268"/>
      <c r="B154" s="268"/>
      <c r="C154" s="267"/>
      <c r="D154" s="267"/>
      <c r="E154" s="268"/>
      <c r="F154" s="268"/>
      <c r="H154" s="269"/>
      <c r="I154" s="269"/>
      <c r="R154" s="270"/>
      <c r="S154" s="269"/>
      <c r="T154" s="269"/>
      <c r="AP154" s="273"/>
      <c r="AQ154" s="273"/>
      <c r="AR154" s="273"/>
      <c r="AS154" s="273"/>
      <c r="AT154" s="273"/>
      <c r="AU154" s="273"/>
      <c r="AV154" s="273"/>
      <c r="AW154" s="273"/>
      <c r="AX154" s="273"/>
      <c r="AY154" s="273"/>
      <c r="AZ154" s="273"/>
      <c r="BA154" s="273"/>
      <c r="BB154" s="273"/>
      <c r="BC154" s="273"/>
      <c r="BD154" s="273"/>
      <c r="BE154" s="273"/>
      <c r="BF154" s="273"/>
      <c r="BG154" s="273"/>
      <c r="BH154" s="273"/>
      <c r="BI154" s="273"/>
      <c r="BJ154" s="273"/>
      <c r="BK154" s="273"/>
      <c r="BL154" s="273"/>
      <c r="BM154" s="273"/>
      <c r="BN154" s="273"/>
      <c r="BO154" s="273"/>
      <c r="BP154" s="273"/>
      <c r="BQ154" s="273"/>
      <c r="BR154" s="273"/>
      <c r="BS154" s="273"/>
      <c r="BT154" s="273"/>
      <c r="BU154" s="273"/>
      <c r="BV154" s="273"/>
      <c r="BW154" s="273"/>
      <c r="BX154" s="273"/>
      <c r="BY154" s="273"/>
      <c r="BZ154" s="273"/>
      <c r="CA154" s="273"/>
      <c r="CB154" s="273"/>
      <c r="CC154" s="273"/>
      <c r="CD154" s="273"/>
      <c r="CE154" s="273"/>
      <c r="CF154" s="273"/>
      <c r="CG154" s="273"/>
      <c r="CH154" s="273"/>
      <c r="CI154" s="273"/>
      <c r="CJ154" s="273"/>
      <c r="CK154" s="273"/>
      <c r="CL154" s="273"/>
      <c r="CM154" s="273"/>
      <c r="CN154" s="273"/>
      <c r="CO154" s="273"/>
      <c r="CP154" s="273"/>
      <c r="CQ154" s="273"/>
      <c r="CR154" s="273"/>
    </row>
    <row r="155" spans="1:96" s="258" customFormat="1" ht="12.75" x14ac:dyDescent="0.2">
      <c r="A155" s="268"/>
      <c r="B155" s="268"/>
      <c r="C155" s="267"/>
      <c r="D155" s="267"/>
      <c r="E155" s="268"/>
      <c r="F155" s="268"/>
      <c r="H155" s="269"/>
      <c r="I155" s="269"/>
      <c r="R155" s="270"/>
      <c r="S155" s="269"/>
      <c r="T155" s="269"/>
      <c r="AP155" s="273"/>
      <c r="AQ155" s="273"/>
      <c r="AR155" s="273"/>
      <c r="AS155" s="273"/>
      <c r="AT155" s="273"/>
      <c r="AU155" s="273"/>
      <c r="AV155" s="273"/>
      <c r="AW155" s="273"/>
      <c r="AX155" s="273"/>
      <c r="AY155" s="273"/>
      <c r="AZ155" s="273"/>
      <c r="BA155" s="273"/>
      <c r="BB155" s="273"/>
      <c r="BC155" s="273"/>
      <c r="BD155" s="273"/>
      <c r="BE155" s="273"/>
      <c r="BF155" s="273"/>
      <c r="BG155" s="273"/>
      <c r="BH155" s="273"/>
      <c r="BI155" s="273"/>
      <c r="BJ155" s="273"/>
      <c r="BK155" s="273"/>
      <c r="BL155" s="273"/>
      <c r="BM155" s="273"/>
      <c r="BN155" s="273"/>
      <c r="BO155" s="273"/>
      <c r="BP155" s="273"/>
      <c r="BQ155" s="273"/>
      <c r="BR155" s="273"/>
      <c r="BS155" s="273"/>
      <c r="BT155" s="273"/>
      <c r="BU155" s="273"/>
      <c r="BV155" s="273"/>
      <c r="BW155" s="273"/>
      <c r="BX155" s="273"/>
      <c r="BY155" s="273"/>
      <c r="BZ155" s="273"/>
      <c r="CA155" s="273"/>
      <c r="CB155" s="273"/>
      <c r="CC155" s="273"/>
      <c r="CD155" s="273"/>
      <c r="CE155" s="273"/>
      <c r="CF155" s="273"/>
      <c r="CG155" s="273"/>
      <c r="CH155" s="273"/>
      <c r="CI155" s="273"/>
      <c r="CJ155" s="273"/>
      <c r="CK155" s="273"/>
      <c r="CL155" s="273"/>
      <c r="CM155" s="273"/>
      <c r="CN155" s="273"/>
      <c r="CO155" s="273"/>
      <c r="CP155" s="273"/>
      <c r="CQ155" s="273"/>
      <c r="CR155" s="273"/>
    </row>
    <row r="156" spans="1:96" s="258" customFormat="1" ht="12.75" x14ac:dyDescent="0.2">
      <c r="A156" s="268"/>
      <c r="B156" s="268"/>
      <c r="C156" s="267"/>
      <c r="D156" s="267"/>
      <c r="E156" s="268"/>
      <c r="F156" s="268"/>
      <c r="H156" s="269"/>
      <c r="I156" s="269"/>
      <c r="R156" s="270"/>
      <c r="S156" s="269"/>
      <c r="T156" s="269"/>
      <c r="AP156" s="273"/>
      <c r="AQ156" s="273"/>
      <c r="AR156" s="273"/>
      <c r="AS156" s="273"/>
      <c r="AT156" s="273"/>
      <c r="AU156" s="273"/>
      <c r="AV156" s="273"/>
      <c r="AW156" s="273"/>
      <c r="AX156" s="273"/>
      <c r="AY156" s="273"/>
      <c r="AZ156" s="273"/>
      <c r="BA156" s="273"/>
      <c r="BB156" s="273"/>
      <c r="BC156" s="273"/>
      <c r="BD156" s="273"/>
      <c r="BE156" s="273"/>
      <c r="BF156" s="273"/>
      <c r="BG156" s="273"/>
      <c r="BH156" s="273"/>
      <c r="BI156" s="273"/>
      <c r="BJ156" s="273"/>
      <c r="BK156" s="273"/>
      <c r="BL156" s="273"/>
      <c r="BM156" s="273"/>
      <c r="BN156" s="273"/>
      <c r="BO156" s="273"/>
      <c r="BP156" s="273"/>
      <c r="BQ156" s="273"/>
      <c r="BR156" s="273"/>
      <c r="BS156" s="273"/>
      <c r="BT156" s="273"/>
      <c r="BU156" s="273"/>
      <c r="BV156" s="273"/>
      <c r="BW156" s="273"/>
      <c r="BX156" s="273"/>
      <c r="BY156" s="273"/>
      <c r="BZ156" s="273"/>
      <c r="CA156" s="273"/>
      <c r="CB156" s="273"/>
      <c r="CC156" s="273"/>
      <c r="CD156" s="273"/>
      <c r="CE156" s="273"/>
      <c r="CF156" s="273"/>
      <c r="CG156" s="273"/>
      <c r="CH156" s="273"/>
      <c r="CI156" s="273"/>
      <c r="CJ156" s="273"/>
      <c r="CK156" s="273"/>
      <c r="CL156" s="273"/>
      <c r="CM156" s="273"/>
      <c r="CN156" s="273"/>
      <c r="CO156" s="273"/>
      <c r="CP156" s="273"/>
      <c r="CQ156" s="273"/>
      <c r="CR156" s="273"/>
    </row>
    <row r="157" spans="1:96" s="258" customFormat="1" ht="12.75" x14ac:dyDescent="0.2">
      <c r="A157" s="268"/>
      <c r="B157" s="268"/>
      <c r="C157" s="267"/>
      <c r="D157" s="267"/>
      <c r="E157" s="268"/>
      <c r="F157" s="268"/>
      <c r="H157" s="269"/>
      <c r="I157" s="269"/>
      <c r="R157" s="270"/>
      <c r="S157" s="269"/>
      <c r="T157" s="269"/>
      <c r="AP157" s="273"/>
      <c r="AQ157" s="273"/>
      <c r="AR157" s="273"/>
      <c r="AS157" s="273"/>
      <c r="AT157" s="273"/>
      <c r="AU157" s="273"/>
      <c r="AV157" s="273"/>
      <c r="AW157" s="273"/>
      <c r="AX157" s="273"/>
      <c r="AY157" s="273"/>
      <c r="AZ157" s="273"/>
      <c r="BA157" s="273"/>
      <c r="BB157" s="273"/>
      <c r="BC157" s="273"/>
      <c r="BD157" s="273"/>
      <c r="BE157" s="273"/>
      <c r="BF157" s="273"/>
      <c r="BG157" s="273"/>
      <c r="BH157" s="273"/>
      <c r="BI157" s="273"/>
      <c r="BJ157" s="273"/>
      <c r="BK157" s="273"/>
      <c r="BL157" s="273"/>
      <c r="BM157" s="273"/>
      <c r="BN157" s="273"/>
      <c r="BO157" s="273"/>
      <c r="BP157" s="273"/>
      <c r="BQ157" s="273"/>
      <c r="BR157" s="273"/>
      <c r="BS157" s="273"/>
      <c r="BT157" s="273"/>
      <c r="BU157" s="273"/>
      <c r="BV157" s="273"/>
      <c r="BW157" s="273"/>
      <c r="BX157" s="273"/>
      <c r="BY157" s="273"/>
      <c r="BZ157" s="273"/>
      <c r="CA157" s="273"/>
      <c r="CB157" s="273"/>
      <c r="CC157" s="273"/>
      <c r="CD157" s="273"/>
      <c r="CE157" s="273"/>
      <c r="CF157" s="273"/>
      <c r="CG157" s="273"/>
      <c r="CH157" s="273"/>
      <c r="CI157" s="273"/>
      <c r="CJ157" s="273"/>
      <c r="CK157" s="273"/>
      <c r="CL157" s="273"/>
      <c r="CM157" s="273"/>
      <c r="CN157" s="273"/>
      <c r="CO157" s="273"/>
      <c r="CP157" s="273"/>
      <c r="CQ157" s="273"/>
      <c r="CR157" s="273"/>
    </row>
    <row r="158" spans="1:96" s="258" customFormat="1" ht="12.75" x14ac:dyDescent="0.2">
      <c r="A158" s="268"/>
      <c r="B158" s="268"/>
      <c r="C158" s="267"/>
      <c r="D158" s="267"/>
      <c r="E158" s="268"/>
      <c r="F158" s="268"/>
      <c r="H158" s="269"/>
      <c r="I158" s="269"/>
      <c r="R158" s="270"/>
      <c r="S158" s="269"/>
      <c r="T158" s="269"/>
      <c r="AP158" s="273"/>
      <c r="AQ158" s="273"/>
      <c r="AR158" s="273"/>
      <c r="AS158" s="273"/>
      <c r="AT158" s="273"/>
      <c r="AU158" s="273"/>
      <c r="AV158" s="273"/>
      <c r="AW158" s="273"/>
      <c r="AX158" s="273"/>
      <c r="AY158" s="273"/>
      <c r="AZ158" s="273"/>
      <c r="BA158" s="273"/>
      <c r="BB158" s="273"/>
      <c r="BC158" s="273"/>
      <c r="BD158" s="273"/>
      <c r="BE158" s="273"/>
      <c r="BF158" s="273"/>
      <c r="BG158" s="273"/>
      <c r="BH158" s="273"/>
      <c r="BI158" s="273"/>
      <c r="BJ158" s="273"/>
      <c r="BK158" s="273"/>
      <c r="BL158" s="273"/>
      <c r="BM158" s="273"/>
      <c r="BN158" s="273"/>
      <c r="BO158" s="273"/>
      <c r="BP158" s="273"/>
      <c r="BQ158" s="273"/>
      <c r="BR158" s="273"/>
      <c r="BS158" s="273"/>
      <c r="BT158" s="273"/>
      <c r="BU158" s="273"/>
      <c r="BV158" s="273"/>
      <c r="BW158" s="273"/>
      <c r="BX158" s="273"/>
      <c r="BY158" s="273"/>
      <c r="BZ158" s="273"/>
      <c r="CA158" s="273"/>
      <c r="CB158" s="273"/>
      <c r="CC158" s="273"/>
      <c r="CD158" s="273"/>
      <c r="CE158" s="273"/>
      <c r="CF158" s="273"/>
      <c r="CG158" s="273"/>
      <c r="CH158" s="273"/>
      <c r="CI158" s="273"/>
      <c r="CJ158" s="273"/>
      <c r="CK158" s="273"/>
      <c r="CL158" s="273"/>
      <c r="CM158" s="273"/>
      <c r="CN158" s="273"/>
      <c r="CO158" s="273"/>
      <c r="CP158" s="273"/>
      <c r="CQ158" s="273"/>
      <c r="CR158" s="273"/>
    </row>
    <row r="159" spans="1:96" s="258" customFormat="1" ht="12.75" x14ac:dyDescent="0.2">
      <c r="A159" s="268"/>
      <c r="B159" s="268"/>
      <c r="C159" s="267"/>
      <c r="D159" s="267"/>
      <c r="E159" s="268"/>
      <c r="F159" s="268"/>
      <c r="H159" s="269"/>
      <c r="I159" s="269"/>
      <c r="R159" s="270"/>
      <c r="S159" s="269"/>
      <c r="T159" s="269"/>
      <c r="AP159" s="273"/>
      <c r="AQ159" s="273"/>
      <c r="AR159" s="273"/>
      <c r="AS159" s="273"/>
      <c r="AT159" s="273"/>
      <c r="AU159" s="273"/>
      <c r="AV159" s="273"/>
      <c r="AW159" s="273"/>
      <c r="AX159" s="273"/>
      <c r="AY159" s="273"/>
      <c r="AZ159" s="273"/>
      <c r="BA159" s="273"/>
      <c r="BB159" s="273"/>
      <c r="BC159" s="273"/>
      <c r="BD159" s="273"/>
      <c r="BE159" s="273"/>
      <c r="BF159" s="273"/>
      <c r="BG159" s="273"/>
      <c r="BH159" s="273"/>
      <c r="BI159" s="273"/>
      <c r="BJ159" s="273"/>
      <c r="BK159" s="273"/>
      <c r="BL159" s="273"/>
      <c r="BM159" s="273"/>
      <c r="BN159" s="273"/>
      <c r="BO159" s="273"/>
      <c r="BP159" s="273"/>
      <c r="BQ159" s="273"/>
      <c r="BR159" s="273"/>
      <c r="BS159" s="273"/>
      <c r="BT159" s="273"/>
      <c r="BU159" s="273"/>
      <c r="BV159" s="273"/>
      <c r="BW159" s="273"/>
      <c r="BX159" s="273"/>
      <c r="BY159" s="273"/>
      <c r="BZ159" s="273"/>
      <c r="CA159" s="273"/>
      <c r="CB159" s="273"/>
      <c r="CC159" s="273"/>
      <c r="CD159" s="273"/>
      <c r="CE159" s="273"/>
      <c r="CF159" s="273"/>
      <c r="CG159" s="273"/>
      <c r="CH159" s="273"/>
      <c r="CI159" s="273"/>
      <c r="CJ159" s="273"/>
      <c r="CK159" s="273"/>
      <c r="CL159" s="273"/>
      <c r="CM159" s="273"/>
      <c r="CN159" s="273"/>
      <c r="CO159" s="273"/>
      <c r="CP159" s="273"/>
      <c r="CQ159" s="273"/>
      <c r="CR159" s="273"/>
    </row>
    <row r="160" spans="1:96" s="258" customFormat="1" ht="12.75" x14ac:dyDescent="0.2">
      <c r="A160" s="268"/>
      <c r="B160" s="268"/>
      <c r="C160" s="267"/>
      <c r="D160" s="267"/>
      <c r="E160" s="268"/>
      <c r="F160" s="268"/>
      <c r="H160" s="269"/>
      <c r="I160" s="269"/>
      <c r="R160" s="270"/>
      <c r="S160" s="269"/>
      <c r="T160" s="269"/>
      <c r="AP160" s="273"/>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273"/>
      <c r="BU160" s="273"/>
      <c r="BV160" s="273"/>
      <c r="BW160" s="273"/>
      <c r="BX160" s="273"/>
      <c r="BY160" s="273"/>
      <c r="BZ160" s="273"/>
      <c r="CA160" s="273"/>
      <c r="CB160" s="273"/>
      <c r="CC160" s="273"/>
      <c r="CD160" s="273"/>
      <c r="CE160" s="273"/>
      <c r="CF160" s="273"/>
      <c r="CG160" s="273"/>
      <c r="CH160" s="273"/>
      <c r="CI160" s="273"/>
      <c r="CJ160" s="273"/>
      <c r="CK160" s="273"/>
      <c r="CL160" s="273"/>
      <c r="CM160" s="273"/>
      <c r="CN160" s="273"/>
      <c r="CO160" s="273"/>
      <c r="CP160" s="273"/>
      <c r="CQ160" s="273"/>
      <c r="CR160" s="273"/>
    </row>
    <row r="161" spans="1:96" s="258" customFormat="1" ht="12.75" x14ac:dyDescent="0.2">
      <c r="A161" s="268"/>
      <c r="B161" s="268"/>
      <c r="C161" s="267"/>
      <c r="D161" s="267"/>
      <c r="E161" s="268"/>
      <c r="F161" s="268"/>
      <c r="H161" s="269"/>
      <c r="I161" s="269"/>
      <c r="R161" s="270"/>
      <c r="S161" s="269"/>
      <c r="T161" s="269"/>
      <c r="AP161" s="273"/>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73"/>
      <c r="BR161" s="273"/>
      <c r="BS161" s="273"/>
      <c r="BT161" s="273"/>
      <c r="BU161" s="273"/>
      <c r="BV161" s="273"/>
      <c r="BW161" s="273"/>
      <c r="BX161" s="273"/>
      <c r="BY161" s="273"/>
      <c r="BZ161" s="273"/>
      <c r="CA161" s="273"/>
      <c r="CB161" s="273"/>
      <c r="CC161" s="273"/>
      <c r="CD161" s="273"/>
      <c r="CE161" s="273"/>
      <c r="CF161" s="273"/>
      <c r="CG161" s="273"/>
      <c r="CH161" s="273"/>
      <c r="CI161" s="273"/>
      <c r="CJ161" s="273"/>
      <c r="CK161" s="273"/>
      <c r="CL161" s="273"/>
      <c r="CM161" s="273"/>
      <c r="CN161" s="273"/>
      <c r="CO161" s="273"/>
      <c r="CP161" s="273"/>
      <c r="CQ161" s="273"/>
      <c r="CR161" s="273"/>
    </row>
    <row r="162" spans="1:96" s="258" customFormat="1" ht="12.75" x14ac:dyDescent="0.2">
      <c r="A162" s="268"/>
      <c r="B162" s="268"/>
      <c r="C162" s="267"/>
      <c r="D162" s="267"/>
      <c r="E162" s="268"/>
      <c r="F162" s="268"/>
      <c r="H162" s="269"/>
      <c r="I162" s="269"/>
      <c r="R162" s="270"/>
      <c r="S162" s="269"/>
      <c r="T162" s="269"/>
      <c r="AP162" s="273"/>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73"/>
      <c r="BR162" s="273"/>
      <c r="BS162" s="273"/>
      <c r="BT162" s="273"/>
      <c r="BU162" s="273"/>
      <c r="BV162" s="273"/>
      <c r="BW162" s="273"/>
      <c r="BX162" s="273"/>
      <c r="BY162" s="273"/>
      <c r="BZ162" s="273"/>
      <c r="CA162" s="273"/>
      <c r="CB162" s="273"/>
      <c r="CC162" s="273"/>
      <c r="CD162" s="273"/>
      <c r="CE162" s="273"/>
      <c r="CF162" s="273"/>
      <c r="CG162" s="273"/>
      <c r="CH162" s="273"/>
      <c r="CI162" s="273"/>
      <c r="CJ162" s="273"/>
      <c r="CK162" s="273"/>
      <c r="CL162" s="273"/>
      <c r="CM162" s="273"/>
      <c r="CN162" s="273"/>
      <c r="CO162" s="273"/>
      <c r="CP162" s="273"/>
      <c r="CQ162" s="273"/>
      <c r="CR162" s="273"/>
    </row>
    <row r="163" spans="1:96" s="258" customFormat="1" ht="12.75" x14ac:dyDescent="0.2">
      <c r="A163" s="268"/>
      <c r="B163" s="268"/>
      <c r="C163" s="267"/>
      <c r="D163" s="267"/>
      <c r="E163" s="268"/>
      <c r="F163" s="268"/>
      <c r="H163" s="269"/>
      <c r="I163" s="269"/>
      <c r="R163" s="270"/>
      <c r="S163" s="269"/>
      <c r="T163" s="269"/>
      <c r="AP163" s="273"/>
      <c r="AQ163" s="273"/>
      <c r="AR163" s="273"/>
      <c r="AS163" s="273"/>
      <c r="AT163" s="273"/>
      <c r="AU163" s="273"/>
      <c r="AV163" s="273"/>
      <c r="AW163" s="273"/>
      <c r="AX163" s="273"/>
      <c r="AY163" s="273"/>
      <c r="AZ163" s="273"/>
      <c r="BA163" s="273"/>
      <c r="BB163" s="273"/>
      <c r="BC163" s="273"/>
      <c r="BD163" s="273"/>
      <c r="BE163" s="273"/>
      <c r="BF163" s="273"/>
      <c r="BG163" s="273"/>
      <c r="BH163" s="273"/>
      <c r="BI163" s="273"/>
      <c r="BJ163" s="273"/>
      <c r="BK163" s="273"/>
      <c r="BL163" s="273"/>
      <c r="BM163" s="273"/>
      <c r="BN163" s="273"/>
      <c r="BO163" s="273"/>
      <c r="BP163" s="273"/>
      <c r="BQ163" s="273"/>
      <c r="BR163" s="273"/>
      <c r="BS163" s="273"/>
      <c r="BT163" s="273"/>
      <c r="BU163" s="273"/>
      <c r="BV163" s="273"/>
      <c r="BW163" s="273"/>
      <c r="BX163" s="273"/>
      <c r="BY163" s="273"/>
      <c r="BZ163" s="273"/>
      <c r="CA163" s="273"/>
      <c r="CB163" s="273"/>
      <c r="CC163" s="273"/>
      <c r="CD163" s="273"/>
      <c r="CE163" s="273"/>
      <c r="CF163" s="273"/>
      <c r="CG163" s="273"/>
      <c r="CH163" s="273"/>
      <c r="CI163" s="273"/>
      <c r="CJ163" s="273"/>
      <c r="CK163" s="273"/>
      <c r="CL163" s="273"/>
      <c r="CM163" s="273"/>
      <c r="CN163" s="273"/>
      <c r="CO163" s="273"/>
      <c r="CP163" s="273"/>
      <c r="CQ163" s="273"/>
      <c r="CR163" s="273"/>
    </row>
    <row r="164" spans="1:96" s="258" customFormat="1" ht="12.75" x14ac:dyDescent="0.2">
      <c r="A164" s="268"/>
      <c r="B164" s="268"/>
      <c r="C164" s="267"/>
      <c r="D164" s="267"/>
      <c r="E164" s="268"/>
      <c r="F164" s="268"/>
      <c r="H164" s="269"/>
      <c r="I164" s="269"/>
      <c r="R164" s="270"/>
      <c r="S164" s="269"/>
      <c r="T164" s="269"/>
      <c r="AP164" s="273"/>
      <c r="AQ164" s="273"/>
      <c r="AR164" s="273"/>
      <c r="AS164" s="273"/>
      <c r="AT164" s="273"/>
      <c r="AU164" s="273"/>
      <c r="AV164" s="273"/>
      <c r="AW164" s="273"/>
      <c r="AX164" s="273"/>
      <c r="AY164" s="273"/>
      <c r="AZ164" s="273"/>
      <c r="BA164" s="273"/>
      <c r="BB164" s="273"/>
      <c r="BC164" s="273"/>
      <c r="BD164" s="273"/>
      <c r="BE164" s="273"/>
      <c r="BF164" s="273"/>
      <c r="BG164" s="273"/>
      <c r="BH164" s="273"/>
      <c r="BI164" s="273"/>
      <c r="BJ164" s="273"/>
      <c r="BK164" s="273"/>
      <c r="BL164" s="273"/>
      <c r="BM164" s="273"/>
      <c r="BN164" s="273"/>
      <c r="BO164" s="273"/>
      <c r="BP164" s="273"/>
      <c r="BQ164" s="273"/>
      <c r="BR164" s="273"/>
      <c r="BS164" s="273"/>
      <c r="BT164" s="273"/>
      <c r="BU164" s="273"/>
      <c r="BV164" s="273"/>
      <c r="BW164" s="273"/>
      <c r="BX164" s="273"/>
      <c r="BY164" s="273"/>
      <c r="BZ164" s="273"/>
      <c r="CA164" s="273"/>
      <c r="CB164" s="273"/>
      <c r="CC164" s="273"/>
      <c r="CD164" s="273"/>
      <c r="CE164" s="273"/>
      <c r="CF164" s="273"/>
      <c r="CG164" s="273"/>
      <c r="CH164" s="273"/>
      <c r="CI164" s="273"/>
      <c r="CJ164" s="273"/>
      <c r="CK164" s="273"/>
      <c r="CL164" s="273"/>
      <c r="CM164" s="273"/>
      <c r="CN164" s="273"/>
      <c r="CO164" s="273"/>
      <c r="CP164" s="273"/>
      <c r="CQ164" s="273"/>
      <c r="CR164" s="273"/>
    </row>
    <row r="165" spans="1:96" s="258" customFormat="1" ht="12.75" x14ac:dyDescent="0.2">
      <c r="A165" s="268"/>
      <c r="B165" s="268"/>
      <c r="C165" s="267"/>
      <c r="D165" s="267"/>
      <c r="E165" s="268"/>
      <c r="F165" s="268"/>
      <c r="H165" s="269"/>
      <c r="I165" s="269"/>
      <c r="R165" s="270"/>
      <c r="S165" s="269"/>
      <c r="T165" s="269"/>
      <c r="AP165" s="273"/>
      <c r="AQ165" s="273"/>
      <c r="AR165" s="273"/>
      <c r="AS165" s="273"/>
      <c r="AT165" s="273"/>
      <c r="AU165" s="273"/>
      <c r="AV165" s="273"/>
      <c r="AW165" s="273"/>
      <c r="AX165" s="273"/>
      <c r="AY165" s="273"/>
      <c r="AZ165" s="273"/>
      <c r="BA165" s="273"/>
      <c r="BB165" s="273"/>
      <c r="BC165" s="273"/>
      <c r="BD165" s="273"/>
      <c r="BE165" s="273"/>
      <c r="BF165" s="273"/>
      <c r="BG165" s="273"/>
      <c r="BH165" s="273"/>
      <c r="BI165" s="273"/>
      <c r="BJ165" s="273"/>
      <c r="BK165" s="273"/>
      <c r="BL165" s="273"/>
      <c r="BM165" s="273"/>
      <c r="BN165" s="273"/>
      <c r="BO165" s="273"/>
      <c r="BP165" s="273"/>
      <c r="BQ165" s="273"/>
      <c r="BR165" s="273"/>
      <c r="BS165" s="273"/>
      <c r="BT165" s="273"/>
      <c r="BU165" s="273"/>
      <c r="BV165" s="273"/>
      <c r="BW165" s="273"/>
      <c r="BX165" s="273"/>
      <c r="BY165" s="273"/>
      <c r="BZ165" s="273"/>
      <c r="CA165" s="273"/>
      <c r="CB165" s="273"/>
      <c r="CC165" s="273"/>
      <c r="CD165" s="273"/>
      <c r="CE165" s="273"/>
      <c r="CF165" s="273"/>
      <c r="CG165" s="273"/>
      <c r="CH165" s="273"/>
      <c r="CI165" s="273"/>
      <c r="CJ165" s="273"/>
      <c r="CK165" s="273"/>
      <c r="CL165" s="273"/>
      <c r="CM165" s="273"/>
      <c r="CN165" s="273"/>
      <c r="CO165" s="273"/>
      <c r="CP165" s="273"/>
      <c r="CQ165" s="273"/>
      <c r="CR165" s="273"/>
    </row>
    <row r="166" spans="1:96" s="258" customFormat="1" ht="12.75" x14ac:dyDescent="0.2">
      <c r="A166" s="268"/>
      <c r="B166" s="268"/>
      <c r="C166" s="267"/>
      <c r="D166" s="267"/>
      <c r="E166" s="268"/>
      <c r="F166" s="268"/>
      <c r="H166" s="269"/>
      <c r="I166" s="269"/>
      <c r="R166" s="270"/>
      <c r="S166" s="269"/>
      <c r="T166" s="269"/>
      <c r="AP166" s="273"/>
      <c r="AQ166" s="273"/>
      <c r="AR166" s="273"/>
      <c r="AS166" s="273"/>
      <c r="AT166" s="273"/>
      <c r="AU166" s="273"/>
      <c r="AV166" s="273"/>
      <c r="AW166" s="273"/>
      <c r="AX166" s="273"/>
      <c r="AY166" s="273"/>
      <c r="AZ166" s="273"/>
      <c r="BA166" s="273"/>
      <c r="BB166" s="273"/>
      <c r="BC166" s="273"/>
      <c r="BD166" s="273"/>
      <c r="BE166" s="273"/>
      <c r="BF166" s="273"/>
      <c r="BG166" s="273"/>
      <c r="BH166" s="273"/>
      <c r="BI166" s="273"/>
      <c r="BJ166" s="273"/>
      <c r="BK166" s="273"/>
      <c r="BL166" s="273"/>
      <c r="BM166" s="273"/>
      <c r="BN166" s="273"/>
      <c r="BO166" s="273"/>
      <c r="BP166" s="273"/>
      <c r="BQ166" s="273"/>
      <c r="BR166" s="273"/>
      <c r="BS166" s="273"/>
      <c r="BT166" s="273"/>
      <c r="BU166" s="273"/>
      <c r="BV166" s="273"/>
      <c r="BW166" s="273"/>
      <c r="BX166" s="273"/>
      <c r="BY166" s="273"/>
      <c r="BZ166" s="273"/>
      <c r="CA166" s="273"/>
      <c r="CB166" s="273"/>
      <c r="CC166" s="273"/>
      <c r="CD166" s="273"/>
      <c r="CE166" s="273"/>
      <c r="CF166" s="273"/>
      <c r="CG166" s="273"/>
      <c r="CH166" s="273"/>
      <c r="CI166" s="273"/>
      <c r="CJ166" s="273"/>
      <c r="CK166" s="273"/>
      <c r="CL166" s="273"/>
      <c r="CM166" s="273"/>
      <c r="CN166" s="273"/>
      <c r="CO166" s="273"/>
      <c r="CP166" s="273"/>
      <c r="CQ166" s="273"/>
      <c r="CR166" s="273"/>
    </row>
    <row r="167" spans="1:96" s="258" customFormat="1" ht="12.75" x14ac:dyDescent="0.2">
      <c r="A167" s="268"/>
      <c r="B167" s="268"/>
      <c r="C167" s="267"/>
      <c r="D167" s="267"/>
      <c r="E167" s="268"/>
      <c r="F167" s="268"/>
      <c r="H167" s="269"/>
      <c r="I167" s="269"/>
      <c r="R167" s="270"/>
      <c r="S167" s="269"/>
      <c r="T167" s="269"/>
      <c r="AP167" s="273"/>
      <c r="AQ167" s="273"/>
      <c r="AR167" s="273"/>
      <c r="AS167" s="273"/>
      <c r="AT167" s="273"/>
      <c r="AU167" s="273"/>
      <c r="AV167" s="273"/>
      <c r="AW167" s="273"/>
      <c r="AX167" s="273"/>
      <c r="AY167" s="273"/>
      <c r="AZ167" s="273"/>
      <c r="BA167" s="273"/>
      <c r="BB167" s="273"/>
      <c r="BC167" s="273"/>
      <c r="BD167" s="273"/>
      <c r="BE167" s="273"/>
      <c r="BF167" s="273"/>
      <c r="BG167" s="273"/>
      <c r="BH167" s="273"/>
      <c r="BI167" s="273"/>
      <c r="BJ167" s="273"/>
      <c r="BK167" s="273"/>
      <c r="BL167" s="273"/>
      <c r="BM167" s="273"/>
      <c r="BN167" s="273"/>
      <c r="BO167" s="273"/>
      <c r="BP167" s="273"/>
      <c r="BQ167" s="273"/>
      <c r="BR167" s="273"/>
      <c r="BS167" s="273"/>
      <c r="BT167" s="273"/>
      <c r="BU167" s="273"/>
      <c r="BV167" s="273"/>
      <c r="BW167" s="273"/>
      <c r="BX167" s="273"/>
      <c r="BY167" s="273"/>
      <c r="BZ167" s="273"/>
      <c r="CA167" s="273"/>
      <c r="CB167" s="273"/>
      <c r="CC167" s="273"/>
      <c r="CD167" s="273"/>
      <c r="CE167" s="273"/>
      <c r="CF167" s="273"/>
      <c r="CG167" s="273"/>
      <c r="CH167" s="273"/>
      <c r="CI167" s="273"/>
      <c r="CJ167" s="273"/>
      <c r="CK167" s="273"/>
      <c r="CL167" s="273"/>
      <c r="CM167" s="273"/>
      <c r="CN167" s="273"/>
      <c r="CO167" s="273"/>
      <c r="CP167" s="273"/>
      <c r="CQ167" s="273"/>
      <c r="CR167" s="273"/>
    </row>
    <row r="168" spans="1:96" s="258" customFormat="1" ht="12.75" x14ac:dyDescent="0.2">
      <c r="A168" s="268"/>
      <c r="B168" s="268"/>
      <c r="C168" s="267"/>
      <c r="D168" s="267"/>
      <c r="E168" s="268"/>
      <c r="F168" s="268"/>
      <c r="H168" s="269"/>
      <c r="I168" s="269"/>
      <c r="R168" s="270"/>
      <c r="S168" s="269"/>
      <c r="T168" s="269"/>
      <c r="AP168" s="273"/>
      <c r="AQ168" s="273"/>
      <c r="AR168" s="273"/>
      <c r="AS168" s="273"/>
      <c r="AT168" s="273"/>
      <c r="AU168" s="273"/>
      <c r="AV168" s="273"/>
      <c r="AW168" s="273"/>
      <c r="AX168" s="273"/>
      <c r="AY168" s="273"/>
      <c r="AZ168" s="273"/>
      <c r="BA168" s="273"/>
      <c r="BB168" s="273"/>
      <c r="BC168" s="273"/>
      <c r="BD168" s="273"/>
      <c r="BE168" s="273"/>
      <c r="BF168" s="273"/>
      <c r="BG168" s="273"/>
      <c r="BH168" s="273"/>
      <c r="BI168" s="273"/>
      <c r="BJ168" s="273"/>
      <c r="BK168" s="273"/>
      <c r="BL168" s="273"/>
      <c r="BM168" s="273"/>
      <c r="BN168" s="273"/>
      <c r="BO168" s="273"/>
      <c r="BP168" s="273"/>
      <c r="BQ168" s="273"/>
      <c r="BR168" s="273"/>
      <c r="BS168" s="273"/>
      <c r="BT168" s="273"/>
      <c r="BU168" s="273"/>
      <c r="BV168" s="273"/>
      <c r="BW168" s="273"/>
      <c r="BX168" s="273"/>
      <c r="BY168" s="273"/>
      <c r="BZ168" s="273"/>
      <c r="CA168" s="273"/>
      <c r="CB168" s="273"/>
      <c r="CC168" s="273"/>
      <c r="CD168" s="273"/>
      <c r="CE168" s="273"/>
      <c r="CF168" s="273"/>
      <c r="CG168" s="273"/>
      <c r="CH168" s="273"/>
      <c r="CI168" s="273"/>
      <c r="CJ168" s="273"/>
      <c r="CK168" s="273"/>
      <c r="CL168" s="273"/>
      <c r="CM168" s="273"/>
      <c r="CN168" s="273"/>
      <c r="CO168" s="273"/>
      <c r="CP168" s="273"/>
      <c r="CQ168" s="273"/>
      <c r="CR168" s="273"/>
    </row>
    <row r="169" spans="1:96" s="258" customFormat="1" ht="12.75" x14ac:dyDescent="0.2">
      <c r="A169" s="268"/>
      <c r="B169" s="268"/>
      <c r="C169" s="267"/>
      <c r="D169" s="267"/>
      <c r="E169" s="268"/>
      <c r="F169" s="268"/>
      <c r="H169" s="269"/>
      <c r="I169" s="269"/>
      <c r="R169" s="270"/>
      <c r="S169" s="269"/>
      <c r="T169" s="269"/>
      <c r="AP169" s="273"/>
      <c r="AQ169" s="273"/>
      <c r="AR169" s="273"/>
      <c r="AS169" s="273"/>
      <c r="AT169" s="273"/>
      <c r="AU169" s="273"/>
      <c r="AV169" s="273"/>
      <c r="AW169" s="273"/>
      <c r="AX169" s="273"/>
      <c r="AY169" s="273"/>
      <c r="AZ169" s="273"/>
      <c r="BA169" s="273"/>
      <c r="BB169" s="273"/>
      <c r="BC169" s="273"/>
      <c r="BD169" s="273"/>
      <c r="BE169" s="273"/>
      <c r="BF169" s="273"/>
      <c r="BG169" s="273"/>
      <c r="BH169" s="273"/>
      <c r="BI169" s="273"/>
      <c r="BJ169" s="273"/>
      <c r="BK169" s="273"/>
      <c r="BL169" s="273"/>
      <c r="BM169" s="273"/>
      <c r="BN169" s="273"/>
      <c r="BO169" s="273"/>
      <c r="BP169" s="273"/>
      <c r="BQ169" s="273"/>
      <c r="BR169" s="273"/>
      <c r="BS169" s="273"/>
      <c r="BT169" s="273"/>
      <c r="BU169" s="273"/>
      <c r="BV169" s="273"/>
      <c r="BW169" s="273"/>
      <c r="BX169" s="273"/>
      <c r="BY169" s="273"/>
      <c r="BZ169" s="273"/>
      <c r="CA169" s="273"/>
      <c r="CB169" s="273"/>
      <c r="CC169" s="273"/>
      <c r="CD169" s="273"/>
      <c r="CE169" s="273"/>
      <c r="CF169" s="273"/>
      <c r="CG169" s="273"/>
      <c r="CH169" s="273"/>
      <c r="CI169" s="273"/>
      <c r="CJ169" s="273"/>
      <c r="CK169" s="273"/>
      <c r="CL169" s="273"/>
      <c r="CM169" s="273"/>
      <c r="CN169" s="273"/>
      <c r="CO169" s="273"/>
      <c r="CP169" s="273"/>
      <c r="CQ169" s="273"/>
      <c r="CR169" s="273"/>
    </row>
    <row r="170" spans="1:96" s="258" customFormat="1" ht="12.75" x14ac:dyDescent="0.2">
      <c r="A170" s="268"/>
      <c r="B170" s="268"/>
      <c r="C170" s="267"/>
      <c r="D170" s="267"/>
      <c r="E170" s="268"/>
      <c r="F170" s="268"/>
      <c r="H170" s="269"/>
      <c r="I170" s="269"/>
      <c r="R170" s="270"/>
      <c r="S170" s="269"/>
      <c r="T170" s="269"/>
      <c r="AP170" s="273"/>
      <c r="AQ170" s="273"/>
      <c r="AR170" s="273"/>
      <c r="AS170" s="273"/>
      <c r="AT170" s="273"/>
      <c r="AU170" s="273"/>
      <c r="AV170" s="273"/>
      <c r="AW170" s="273"/>
      <c r="AX170" s="273"/>
      <c r="AY170" s="273"/>
      <c r="AZ170" s="273"/>
      <c r="BA170" s="273"/>
      <c r="BB170" s="273"/>
      <c r="BC170" s="273"/>
      <c r="BD170" s="273"/>
      <c r="BE170" s="273"/>
      <c r="BF170" s="273"/>
      <c r="BG170" s="273"/>
      <c r="BH170" s="273"/>
      <c r="BI170" s="273"/>
      <c r="BJ170" s="273"/>
      <c r="BK170" s="273"/>
      <c r="BL170" s="273"/>
      <c r="BM170" s="273"/>
      <c r="BN170" s="273"/>
      <c r="BO170" s="273"/>
      <c r="BP170" s="273"/>
      <c r="BQ170" s="273"/>
      <c r="BR170" s="273"/>
      <c r="BS170" s="273"/>
      <c r="BT170" s="273"/>
      <c r="BU170" s="273"/>
      <c r="BV170" s="273"/>
      <c r="BW170" s="273"/>
      <c r="BX170" s="273"/>
      <c r="BY170" s="273"/>
      <c r="BZ170" s="273"/>
      <c r="CA170" s="273"/>
      <c r="CB170" s="273"/>
      <c r="CC170" s="273"/>
      <c r="CD170" s="273"/>
      <c r="CE170" s="273"/>
      <c r="CF170" s="273"/>
      <c r="CG170" s="273"/>
      <c r="CH170" s="273"/>
      <c r="CI170" s="273"/>
      <c r="CJ170" s="273"/>
      <c r="CK170" s="273"/>
      <c r="CL170" s="273"/>
      <c r="CM170" s="273"/>
      <c r="CN170" s="273"/>
      <c r="CO170" s="273"/>
      <c r="CP170" s="273"/>
      <c r="CQ170" s="273"/>
      <c r="CR170" s="273"/>
    </row>
    <row r="171" spans="1:96" s="258" customFormat="1" ht="12.75" x14ac:dyDescent="0.2">
      <c r="A171" s="268"/>
      <c r="B171" s="268"/>
      <c r="C171" s="267"/>
      <c r="D171" s="267"/>
      <c r="E171" s="268"/>
      <c r="F171" s="268"/>
      <c r="H171" s="269"/>
      <c r="I171" s="269"/>
      <c r="R171" s="270"/>
      <c r="S171" s="269"/>
      <c r="T171" s="269"/>
      <c r="AP171" s="273"/>
      <c r="AQ171" s="273"/>
      <c r="AR171" s="273"/>
      <c r="AS171" s="273"/>
      <c r="AT171" s="273"/>
      <c r="AU171" s="273"/>
      <c r="AV171" s="273"/>
      <c r="AW171" s="273"/>
      <c r="AX171" s="273"/>
      <c r="AY171" s="273"/>
      <c r="AZ171" s="273"/>
      <c r="BA171" s="273"/>
      <c r="BB171" s="273"/>
      <c r="BC171" s="273"/>
      <c r="BD171" s="273"/>
      <c r="BE171" s="273"/>
      <c r="BF171" s="273"/>
      <c r="BG171" s="273"/>
      <c r="BH171" s="273"/>
      <c r="BI171" s="273"/>
      <c r="BJ171" s="273"/>
      <c r="BK171" s="273"/>
      <c r="BL171" s="273"/>
      <c r="BM171" s="273"/>
      <c r="BN171" s="273"/>
      <c r="BO171" s="273"/>
      <c r="BP171" s="273"/>
      <c r="BQ171" s="273"/>
      <c r="BR171" s="273"/>
      <c r="BS171" s="273"/>
      <c r="BT171" s="273"/>
      <c r="BU171" s="273"/>
      <c r="BV171" s="273"/>
      <c r="BW171" s="273"/>
      <c r="BX171" s="273"/>
      <c r="BY171" s="273"/>
      <c r="BZ171" s="273"/>
      <c r="CA171" s="273"/>
      <c r="CB171" s="273"/>
      <c r="CC171" s="273"/>
      <c r="CD171" s="273"/>
      <c r="CE171" s="273"/>
      <c r="CF171" s="273"/>
      <c r="CG171" s="273"/>
      <c r="CH171" s="273"/>
      <c r="CI171" s="273"/>
      <c r="CJ171" s="273"/>
      <c r="CK171" s="273"/>
      <c r="CL171" s="273"/>
      <c r="CM171" s="273"/>
      <c r="CN171" s="273"/>
      <c r="CO171" s="273"/>
      <c r="CP171" s="273"/>
      <c r="CQ171" s="273"/>
      <c r="CR171" s="273"/>
    </row>
    <row r="172" spans="1:96" s="258" customFormat="1" ht="12.75" x14ac:dyDescent="0.2">
      <c r="A172" s="268"/>
      <c r="B172" s="268"/>
      <c r="C172" s="267"/>
      <c r="D172" s="267"/>
      <c r="E172" s="268"/>
      <c r="F172" s="268"/>
      <c r="H172" s="269"/>
      <c r="I172" s="269"/>
      <c r="R172" s="270"/>
      <c r="S172" s="269"/>
      <c r="T172" s="269"/>
      <c r="AP172" s="273"/>
      <c r="AQ172" s="273"/>
      <c r="AR172" s="273"/>
      <c r="AS172" s="273"/>
      <c r="AT172" s="273"/>
      <c r="AU172" s="273"/>
      <c r="AV172" s="273"/>
      <c r="AW172" s="273"/>
      <c r="AX172" s="273"/>
      <c r="AY172" s="273"/>
      <c r="AZ172" s="273"/>
      <c r="BA172" s="273"/>
      <c r="BB172" s="273"/>
      <c r="BC172" s="273"/>
      <c r="BD172" s="273"/>
      <c r="BE172" s="273"/>
      <c r="BF172" s="273"/>
      <c r="BG172" s="273"/>
      <c r="BH172" s="273"/>
      <c r="BI172" s="273"/>
      <c r="BJ172" s="273"/>
      <c r="BK172" s="273"/>
      <c r="BL172" s="273"/>
      <c r="BM172" s="273"/>
      <c r="BN172" s="273"/>
      <c r="BO172" s="273"/>
      <c r="BP172" s="273"/>
      <c r="BQ172" s="273"/>
      <c r="BR172" s="273"/>
      <c r="BS172" s="273"/>
      <c r="BT172" s="273"/>
      <c r="BU172" s="273"/>
      <c r="BV172" s="273"/>
      <c r="BW172" s="273"/>
      <c r="BX172" s="273"/>
      <c r="BY172" s="273"/>
      <c r="BZ172" s="273"/>
      <c r="CA172" s="273"/>
      <c r="CB172" s="273"/>
      <c r="CC172" s="273"/>
      <c r="CD172" s="273"/>
      <c r="CE172" s="273"/>
      <c r="CF172" s="273"/>
      <c r="CG172" s="273"/>
      <c r="CH172" s="273"/>
      <c r="CI172" s="273"/>
      <c r="CJ172" s="273"/>
      <c r="CK172" s="273"/>
      <c r="CL172" s="273"/>
      <c r="CM172" s="273"/>
      <c r="CN172" s="273"/>
      <c r="CO172" s="273"/>
      <c r="CP172" s="273"/>
      <c r="CQ172" s="273"/>
      <c r="CR172" s="273"/>
    </row>
    <row r="173" spans="1:96" s="258" customFormat="1" ht="12.75" x14ac:dyDescent="0.2">
      <c r="A173" s="268"/>
      <c r="B173" s="268"/>
      <c r="C173" s="267"/>
      <c r="D173" s="267"/>
      <c r="E173" s="268"/>
      <c r="F173" s="268"/>
      <c r="H173" s="269"/>
      <c r="I173" s="269"/>
      <c r="R173" s="270"/>
      <c r="S173" s="269"/>
      <c r="T173" s="269"/>
      <c r="AP173" s="273"/>
      <c r="AQ173" s="273"/>
      <c r="AR173" s="273"/>
      <c r="AS173" s="273"/>
      <c r="AT173" s="273"/>
      <c r="AU173" s="273"/>
      <c r="AV173" s="273"/>
      <c r="AW173" s="273"/>
      <c r="AX173" s="273"/>
      <c r="AY173" s="273"/>
      <c r="AZ173" s="273"/>
      <c r="BA173" s="273"/>
      <c r="BB173" s="273"/>
      <c r="BC173" s="273"/>
      <c r="BD173" s="273"/>
      <c r="BE173" s="273"/>
      <c r="BF173" s="273"/>
      <c r="BG173" s="273"/>
      <c r="BH173" s="273"/>
      <c r="BI173" s="273"/>
      <c r="BJ173" s="273"/>
      <c r="BK173" s="273"/>
      <c r="BL173" s="273"/>
      <c r="BM173" s="273"/>
      <c r="BN173" s="273"/>
      <c r="BO173" s="273"/>
      <c r="BP173" s="273"/>
      <c r="BQ173" s="273"/>
      <c r="BR173" s="273"/>
      <c r="BS173" s="273"/>
      <c r="BT173" s="273"/>
      <c r="BU173" s="273"/>
      <c r="BV173" s="273"/>
      <c r="BW173" s="273"/>
      <c r="BX173" s="273"/>
      <c r="BY173" s="273"/>
      <c r="BZ173" s="273"/>
      <c r="CA173" s="273"/>
      <c r="CB173" s="273"/>
      <c r="CC173" s="273"/>
      <c r="CD173" s="273"/>
      <c r="CE173" s="273"/>
      <c r="CF173" s="273"/>
      <c r="CG173" s="273"/>
      <c r="CH173" s="273"/>
      <c r="CI173" s="273"/>
      <c r="CJ173" s="273"/>
      <c r="CK173" s="273"/>
      <c r="CL173" s="273"/>
      <c r="CM173" s="273"/>
      <c r="CN173" s="273"/>
      <c r="CO173" s="273"/>
      <c r="CP173" s="273"/>
      <c r="CQ173" s="273"/>
      <c r="CR173" s="273"/>
    </row>
    <row r="174" spans="1:96" s="258" customFormat="1" ht="12.75" x14ac:dyDescent="0.2">
      <c r="A174" s="268"/>
      <c r="B174" s="268"/>
      <c r="C174" s="267"/>
      <c r="D174" s="267"/>
      <c r="E174" s="268"/>
      <c r="F174" s="268"/>
      <c r="H174" s="269"/>
      <c r="I174" s="269"/>
      <c r="R174" s="270"/>
      <c r="S174" s="269"/>
      <c r="T174" s="269"/>
      <c r="AP174" s="273"/>
      <c r="AQ174" s="273"/>
      <c r="AR174" s="273"/>
      <c r="AS174" s="273"/>
      <c r="AT174" s="273"/>
      <c r="AU174" s="273"/>
      <c r="AV174" s="273"/>
      <c r="AW174" s="273"/>
      <c r="AX174" s="273"/>
      <c r="AY174" s="273"/>
      <c r="AZ174" s="273"/>
      <c r="BA174" s="273"/>
      <c r="BB174" s="273"/>
      <c r="BC174" s="273"/>
      <c r="BD174" s="273"/>
      <c r="BE174" s="273"/>
      <c r="BF174" s="273"/>
      <c r="BG174" s="273"/>
      <c r="BH174" s="273"/>
      <c r="BI174" s="273"/>
      <c r="BJ174" s="273"/>
      <c r="BK174" s="273"/>
      <c r="BL174" s="273"/>
      <c r="BM174" s="273"/>
      <c r="BN174" s="273"/>
      <c r="BO174" s="273"/>
      <c r="BP174" s="273"/>
      <c r="BQ174" s="273"/>
      <c r="BR174" s="273"/>
      <c r="BS174" s="273"/>
      <c r="BT174" s="273"/>
      <c r="BU174" s="273"/>
      <c r="BV174" s="273"/>
      <c r="BW174" s="273"/>
      <c r="BX174" s="273"/>
      <c r="BY174" s="273"/>
      <c r="BZ174" s="273"/>
      <c r="CA174" s="273"/>
      <c r="CB174" s="273"/>
      <c r="CC174" s="273"/>
      <c r="CD174" s="273"/>
      <c r="CE174" s="273"/>
      <c r="CF174" s="273"/>
      <c r="CG174" s="273"/>
      <c r="CH174" s="273"/>
      <c r="CI174" s="273"/>
      <c r="CJ174" s="273"/>
      <c r="CK174" s="273"/>
      <c r="CL174" s="273"/>
      <c r="CM174" s="273"/>
      <c r="CN174" s="273"/>
      <c r="CO174" s="273"/>
      <c r="CP174" s="273"/>
      <c r="CQ174" s="273"/>
      <c r="CR174" s="273"/>
    </row>
    <row r="175" spans="1:96" s="258" customFormat="1" ht="12.75" x14ac:dyDescent="0.2">
      <c r="A175" s="268"/>
      <c r="B175" s="268"/>
      <c r="C175" s="267"/>
      <c r="D175" s="267"/>
      <c r="E175" s="268"/>
      <c r="F175" s="268"/>
      <c r="H175" s="269"/>
      <c r="I175" s="269"/>
      <c r="R175" s="270"/>
      <c r="S175" s="269"/>
      <c r="T175" s="269"/>
      <c r="AP175" s="273"/>
      <c r="AQ175" s="273"/>
      <c r="AR175" s="273"/>
      <c r="AS175" s="273"/>
      <c r="AT175" s="273"/>
      <c r="AU175" s="273"/>
      <c r="AV175" s="273"/>
      <c r="AW175" s="273"/>
      <c r="AX175" s="273"/>
      <c r="AY175" s="273"/>
      <c r="AZ175" s="273"/>
      <c r="BA175" s="273"/>
      <c r="BB175" s="273"/>
      <c r="BC175" s="273"/>
      <c r="BD175" s="273"/>
      <c r="BE175" s="273"/>
      <c r="BF175" s="273"/>
      <c r="BG175" s="273"/>
      <c r="BH175" s="273"/>
      <c r="BI175" s="273"/>
      <c r="BJ175" s="273"/>
      <c r="BK175" s="273"/>
      <c r="BL175" s="273"/>
      <c r="BM175" s="273"/>
      <c r="BN175" s="273"/>
      <c r="BO175" s="273"/>
      <c r="BP175" s="273"/>
      <c r="BQ175" s="273"/>
      <c r="BR175" s="273"/>
      <c r="BS175" s="273"/>
      <c r="BT175" s="273"/>
      <c r="BU175" s="273"/>
      <c r="BV175" s="273"/>
      <c r="BW175" s="273"/>
      <c r="BX175" s="273"/>
      <c r="BY175" s="273"/>
      <c r="BZ175" s="273"/>
      <c r="CA175" s="273"/>
      <c r="CB175" s="273"/>
      <c r="CC175" s="273"/>
      <c r="CD175" s="273"/>
      <c r="CE175" s="273"/>
      <c r="CF175" s="273"/>
      <c r="CG175" s="273"/>
      <c r="CH175" s="273"/>
      <c r="CI175" s="273"/>
      <c r="CJ175" s="273"/>
      <c r="CK175" s="273"/>
      <c r="CL175" s="273"/>
      <c r="CM175" s="273"/>
      <c r="CN175" s="273"/>
      <c r="CO175" s="273"/>
      <c r="CP175" s="273"/>
      <c r="CQ175" s="273"/>
      <c r="CR175" s="273"/>
    </row>
    <row r="176" spans="1:96" s="258" customFormat="1" ht="12.75" x14ac:dyDescent="0.2">
      <c r="A176" s="268"/>
      <c r="B176" s="268"/>
      <c r="C176" s="267"/>
      <c r="D176" s="267"/>
      <c r="E176" s="268"/>
      <c r="F176" s="268"/>
      <c r="H176" s="269"/>
      <c r="I176" s="269"/>
      <c r="R176" s="270"/>
      <c r="S176" s="269"/>
      <c r="T176" s="269"/>
      <c r="AP176" s="273"/>
      <c r="AQ176" s="273"/>
      <c r="AR176" s="273"/>
      <c r="AS176" s="273"/>
      <c r="AT176" s="273"/>
      <c r="AU176" s="273"/>
      <c r="AV176" s="273"/>
      <c r="AW176" s="273"/>
      <c r="AX176" s="273"/>
      <c r="AY176" s="273"/>
      <c r="AZ176" s="273"/>
      <c r="BA176" s="273"/>
      <c r="BB176" s="273"/>
      <c r="BC176" s="273"/>
      <c r="BD176" s="273"/>
      <c r="BE176" s="273"/>
      <c r="BF176" s="273"/>
      <c r="BG176" s="273"/>
      <c r="BH176" s="273"/>
      <c r="BI176" s="273"/>
      <c r="BJ176" s="273"/>
      <c r="BK176" s="273"/>
      <c r="BL176" s="273"/>
      <c r="BM176" s="273"/>
      <c r="BN176" s="273"/>
      <c r="BO176" s="273"/>
      <c r="BP176" s="273"/>
      <c r="BQ176" s="273"/>
      <c r="BR176" s="273"/>
      <c r="BS176" s="273"/>
      <c r="BT176" s="273"/>
      <c r="BU176" s="273"/>
      <c r="BV176" s="273"/>
      <c r="BW176" s="273"/>
      <c r="BX176" s="273"/>
      <c r="BY176" s="273"/>
      <c r="BZ176" s="273"/>
      <c r="CA176" s="273"/>
      <c r="CB176" s="273"/>
      <c r="CC176" s="273"/>
      <c r="CD176" s="273"/>
      <c r="CE176" s="273"/>
      <c r="CF176" s="273"/>
      <c r="CG176" s="273"/>
      <c r="CH176" s="273"/>
      <c r="CI176" s="273"/>
      <c r="CJ176" s="273"/>
      <c r="CK176" s="273"/>
      <c r="CL176" s="273"/>
      <c r="CM176" s="273"/>
      <c r="CN176" s="273"/>
      <c r="CO176" s="273"/>
      <c r="CP176" s="273"/>
      <c r="CQ176" s="273"/>
      <c r="CR176" s="273"/>
    </row>
    <row r="177" spans="1:96" s="258" customFormat="1" ht="12.75" x14ac:dyDescent="0.2">
      <c r="A177" s="268"/>
      <c r="B177" s="268"/>
      <c r="C177" s="267"/>
      <c r="D177" s="267"/>
      <c r="E177" s="268"/>
      <c r="F177" s="268"/>
      <c r="H177" s="269"/>
      <c r="I177" s="269"/>
      <c r="R177" s="270"/>
      <c r="S177" s="269"/>
      <c r="T177" s="269"/>
      <c r="AP177" s="273"/>
      <c r="AQ177" s="273"/>
      <c r="AR177" s="273"/>
      <c r="AS177" s="273"/>
      <c r="AT177" s="273"/>
      <c r="AU177" s="273"/>
      <c r="AV177" s="273"/>
      <c r="AW177" s="273"/>
      <c r="AX177" s="273"/>
      <c r="AY177" s="273"/>
      <c r="AZ177" s="273"/>
      <c r="BA177" s="273"/>
      <c r="BB177" s="273"/>
      <c r="BC177" s="273"/>
      <c r="BD177" s="273"/>
      <c r="BE177" s="273"/>
      <c r="BF177" s="273"/>
      <c r="BG177" s="273"/>
      <c r="BH177" s="273"/>
      <c r="BI177" s="273"/>
      <c r="BJ177" s="273"/>
      <c r="BK177" s="273"/>
      <c r="BL177" s="273"/>
      <c r="BM177" s="273"/>
      <c r="BN177" s="273"/>
      <c r="BO177" s="273"/>
      <c r="BP177" s="273"/>
      <c r="BQ177" s="273"/>
      <c r="BR177" s="273"/>
      <c r="BS177" s="273"/>
      <c r="BT177" s="273"/>
      <c r="BU177" s="273"/>
      <c r="BV177" s="273"/>
      <c r="BW177" s="273"/>
      <c r="BX177" s="273"/>
      <c r="BY177" s="273"/>
      <c r="BZ177" s="273"/>
      <c r="CA177" s="273"/>
      <c r="CB177" s="273"/>
      <c r="CC177" s="273"/>
      <c r="CD177" s="273"/>
      <c r="CE177" s="273"/>
      <c r="CF177" s="273"/>
      <c r="CG177" s="273"/>
      <c r="CH177" s="273"/>
      <c r="CI177" s="273"/>
      <c r="CJ177" s="273"/>
      <c r="CK177" s="273"/>
      <c r="CL177" s="273"/>
      <c r="CM177" s="273"/>
      <c r="CN177" s="273"/>
      <c r="CO177" s="273"/>
      <c r="CP177" s="273"/>
      <c r="CQ177" s="273"/>
      <c r="CR177" s="273"/>
    </row>
    <row r="178" spans="1:96" s="258" customFormat="1" ht="12.75" x14ac:dyDescent="0.2">
      <c r="A178" s="268"/>
      <c r="B178" s="268"/>
      <c r="C178" s="267"/>
      <c r="D178" s="267"/>
      <c r="E178" s="268"/>
      <c r="F178" s="268"/>
      <c r="H178" s="269"/>
      <c r="I178" s="269"/>
      <c r="R178" s="270"/>
      <c r="S178" s="269"/>
      <c r="T178" s="269"/>
      <c r="AP178" s="273"/>
      <c r="AQ178" s="273"/>
      <c r="AR178" s="273"/>
      <c r="AS178" s="273"/>
      <c r="AT178" s="273"/>
      <c r="AU178" s="273"/>
      <c r="AV178" s="273"/>
      <c r="AW178" s="273"/>
      <c r="AX178" s="273"/>
      <c r="AY178" s="273"/>
      <c r="AZ178" s="273"/>
      <c r="BA178" s="273"/>
      <c r="BB178" s="273"/>
      <c r="BC178" s="273"/>
      <c r="BD178" s="273"/>
      <c r="BE178" s="273"/>
      <c r="BF178" s="273"/>
      <c r="BG178" s="273"/>
      <c r="BH178" s="273"/>
      <c r="BI178" s="273"/>
      <c r="BJ178" s="273"/>
      <c r="BK178" s="273"/>
      <c r="BL178" s="273"/>
      <c r="BM178" s="273"/>
      <c r="BN178" s="273"/>
      <c r="BO178" s="273"/>
      <c r="BP178" s="273"/>
      <c r="BQ178" s="273"/>
      <c r="BR178" s="273"/>
      <c r="BS178" s="273"/>
      <c r="BT178" s="273"/>
      <c r="BU178" s="273"/>
      <c r="BV178" s="273"/>
      <c r="BW178" s="273"/>
      <c r="BX178" s="273"/>
      <c r="BY178" s="273"/>
      <c r="BZ178" s="273"/>
      <c r="CA178" s="273"/>
      <c r="CB178" s="273"/>
      <c r="CC178" s="273"/>
      <c r="CD178" s="273"/>
      <c r="CE178" s="273"/>
      <c r="CF178" s="273"/>
      <c r="CG178" s="273"/>
      <c r="CH178" s="273"/>
      <c r="CI178" s="273"/>
      <c r="CJ178" s="273"/>
      <c r="CK178" s="273"/>
      <c r="CL178" s="273"/>
      <c r="CM178" s="273"/>
      <c r="CN178" s="273"/>
      <c r="CO178" s="273"/>
      <c r="CP178" s="273"/>
      <c r="CQ178" s="273"/>
      <c r="CR178" s="273"/>
    </row>
    <row r="179" spans="1:96" s="258" customFormat="1" ht="12.75" x14ac:dyDescent="0.2">
      <c r="A179" s="268"/>
      <c r="B179" s="268"/>
      <c r="C179" s="267"/>
      <c r="D179" s="267"/>
      <c r="E179" s="268"/>
      <c r="F179" s="268"/>
      <c r="H179" s="269"/>
      <c r="I179" s="269"/>
      <c r="R179" s="270"/>
      <c r="S179" s="269"/>
      <c r="T179" s="269"/>
      <c r="AP179" s="273"/>
      <c r="AQ179" s="273"/>
      <c r="AR179" s="273"/>
      <c r="AS179" s="273"/>
      <c r="AT179" s="273"/>
      <c r="AU179" s="273"/>
      <c r="AV179" s="273"/>
      <c r="AW179" s="273"/>
      <c r="AX179" s="273"/>
      <c r="AY179" s="273"/>
      <c r="AZ179" s="273"/>
      <c r="BA179" s="273"/>
      <c r="BB179" s="273"/>
      <c r="BC179" s="273"/>
      <c r="BD179" s="273"/>
      <c r="BE179" s="273"/>
      <c r="BF179" s="273"/>
      <c r="BG179" s="273"/>
      <c r="BH179" s="273"/>
      <c r="BI179" s="273"/>
      <c r="BJ179" s="273"/>
      <c r="BK179" s="273"/>
      <c r="BL179" s="273"/>
      <c r="BM179" s="273"/>
      <c r="BN179" s="273"/>
      <c r="BO179" s="273"/>
      <c r="BP179" s="273"/>
      <c r="BQ179" s="273"/>
      <c r="BR179" s="273"/>
      <c r="BS179" s="273"/>
      <c r="BT179" s="273"/>
      <c r="BU179" s="273"/>
      <c r="BV179" s="273"/>
      <c r="BW179" s="273"/>
      <c r="BX179" s="273"/>
      <c r="BY179" s="273"/>
      <c r="BZ179" s="273"/>
      <c r="CA179" s="273"/>
      <c r="CB179" s="273"/>
      <c r="CC179" s="273"/>
      <c r="CD179" s="273"/>
      <c r="CE179" s="273"/>
      <c r="CF179" s="273"/>
      <c r="CG179" s="273"/>
      <c r="CH179" s="273"/>
      <c r="CI179" s="273"/>
      <c r="CJ179" s="273"/>
      <c r="CK179" s="273"/>
      <c r="CL179" s="273"/>
      <c r="CM179" s="273"/>
      <c r="CN179" s="273"/>
      <c r="CO179" s="273"/>
      <c r="CP179" s="273"/>
      <c r="CQ179" s="273"/>
      <c r="CR179" s="273"/>
    </row>
    <row r="180" spans="1:96" s="258" customFormat="1" ht="12.75" x14ac:dyDescent="0.2">
      <c r="A180" s="268"/>
      <c r="B180" s="268"/>
      <c r="C180" s="267"/>
      <c r="D180" s="267"/>
      <c r="E180" s="268"/>
      <c r="F180" s="268"/>
      <c r="H180" s="269"/>
      <c r="I180" s="269"/>
      <c r="R180" s="270"/>
      <c r="S180" s="269"/>
      <c r="T180" s="269"/>
      <c r="AP180" s="273"/>
      <c r="AQ180" s="273"/>
      <c r="AR180" s="273"/>
      <c r="AS180" s="273"/>
      <c r="AT180" s="273"/>
      <c r="AU180" s="273"/>
      <c r="AV180" s="273"/>
      <c r="AW180" s="273"/>
      <c r="AX180" s="273"/>
      <c r="AY180" s="273"/>
      <c r="AZ180" s="273"/>
      <c r="BA180" s="273"/>
      <c r="BB180" s="273"/>
      <c r="BC180" s="273"/>
      <c r="BD180" s="273"/>
      <c r="BE180" s="273"/>
      <c r="BF180" s="273"/>
      <c r="BG180" s="273"/>
      <c r="BH180" s="273"/>
      <c r="BI180" s="273"/>
      <c r="BJ180" s="273"/>
      <c r="BK180" s="273"/>
      <c r="BL180" s="273"/>
      <c r="BM180" s="273"/>
      <c r="BN180" s="273"/>
      <c r="BO180" s="273"/>
      <c r="BP180" s="273"/>
      <c r="BQ180" s="273"/>
      <c r="BR180" s="273"/>
      <c r="BS180" s="273"/>
      <c r="BT180" s="273"/>
      <c r="BU180" s="273"/>
      <c r="BV180" s="273"/>
      <c r="BW180" s="273"/>
      <c r="BX180" s="273"/>
      <c r="BY180" s="273"/>
      <c r="BZ180" s="273"/>
      <c r="CA180" s="273"/>
      <c r="CB180" s="273"/>
      <c r="CC180" s="273"/>
      <c r="CD180" s="273"/>
      <c r="CE180" s="273"/>
      <c r="CF180" s="273"/>
      <c r="CG180" s="273"/>
      <c r="CH180" s="273"/>
      <c r="CI180" s="273"/>
      <c r="CJ180" s="273"/>
      <c r="CK180" s="273"/>
      <c r="CL180" s="273"/>
      <c r="CM180" s="273"/>
      <c r="CN180" s="273"/>
      <c r="CO180" s="273"/>
      <c r="CP180" s="273"/>
      <c r="CQ180" s="273"/>
      <c r="CR180" s="273"/>
    </row>
    <row r="181" spans="1:96" s="258" customFormat="1" ht="12.75" x14ac:dyDescent="0.2">
      <c r="A181" s="268"/>
      <c r="B181" s="268"/>
      <c r="C181" s="267"/>
      <c r="D181" s="267"/>
      <c r="E181" s="268"/>
      <c r="F181" s="268"/>
      <c r="H181" s="269"/>
      <c r="I181" s="269"/>
      <c r="R181" s="270"/>
      <c r="S181" s="269"/>
      <c r="T181" s="269"/>
      <c r="AP181" s="273"/>
      <c r="AQ181" s="273"/>
      <c r="AR181" s="273"/>
      <c r="AS181" s="273"/>
      <c r="AT181" s="273"/>
      <c r="AU181" s="273"/>
      <c r="AV181" s="273"/>
      <c r="AW181" s="273"/>
      <c r="AX181" s="273"/>
      <c r="AY181" s="273"/>
      <c r="AZ181" s="273"/>
      <c r="BA181" s="273"/>
      <c r="BB181" s="273"/>
      <c r="BC181" s="273"/>
      <c r="BD181" s="273"/>
      <c r="BE181" s="273"/>
      <c r="BF181" s="273"/>
      <c r="BG181" s="273"/>
      <c r="BH181" s="273"/>
      <c r="BI181" s="273"/>
      <c r="BJ181" s="273"/>
      <c r="BK181" s="273"/>
      <c r="BL181" s="273"/>
      <c r="BM181" s="273"/>
      <c r="BN181" s="273"/>
      <c r="BO181" s="273"/>
      <c r="BP181" s="273"/>
      <c r="BQ181" s="273"/>
      <c r="BR181" s="273"/>
      <c r="BS181" s="273"/>
      <c r="BT181" s="273"/>
      <c r="BU181" s="273"/>
      <c r="BV181" s="273"/>
      <c r="BW181" s="273"/>
      <c r="BX181" s="273"/>
      <c r="BY181" s="273"/>
      <c r="BZ181" s="273"/>
      <c r="CA181" s="273"/>
      <c r="CB181" s="273"/>
      <c r="CC181" s="273"/>
      <c r="CD181" s="273"/>
      <c r="CE181" s="273"/>
      <c r="CF181" s="273"/>
      <c r="CG181" s="273"/>
      <c r="CH181" s="273"/>
      <c r="CI181" s="273"/>
      <c r="CJ181" s="273"/>
      <c r="CK181" s="273"/>
      <c r="CL181" s="273"/>
      <c r="CM181" s="273"/>
      <c r="CN181" s="273"/>
      <c r="CO181" s="273"/>
      <c r="CP181" s="273"/>
      <c r="CQ181" s="273"/>
      <c r="CR181" s="273"/>
    </row>
    <row r="182" spans="1:96" s="258" customFormat="1" ht="12.75" x14ac:dyDescent="0.2">
      <c r="A182" s="268"/>
      <c r="B182" s="268"/>
      <c r="C182" s="267"/>
      <c r="D182" s="267"/>
      <c r="E182" s="268"/>
      <c r="F182" s="268"/>
      <c r="H182" s="269"/>
      <c r="I182" s="269"/>
      <c r="R182" s="270"/>
      <c r="S182" s="269"/>
      <c r="T182" s="269"/>
      <c r="AP182" s="273"/>
      <c r="AQ182" s="273"/>
      <c r="AR182" s="273"/>
      <c r="AS182" s="273"/>
      <c r="AT182" s="273"/>
      <c r="AU182" s="273"/>
      <c r="AV182" s="273"/>
      <c r="AW182" s="273"/>
      <c r="AX182" s="273"/>
      <c r="AY182" s="273"/>
      <c r="AZ182" s="273"/>
      <c r="BA182" s="273"/>
      <c r="BB182" s="273"/>
      <c r="BC182" s="273"/>
      <c r="BD182" s="273"/>
      <c r="BE182" s="273"/>
      <c r="BF182" s="273"/>
      <c r="BG182" s="273"/>
      <c r="BH182" s="273"/>
      <c r="BI182" s="273"/>
      <c r="BJ182" s="273"/>
      <c r="BK182" s="273"/>
      <c r="BL182" s="273"/>
      <c r="BM182" s="273"/>
      <c r="BN182" s="273"/>
      <c r="BO182" s="273"/>
      <c r="BP182" s="273"/>
      <c r="BQ182" s="273"/>
      <c r="BR182" s="273"/>
      <c r="BS182" s="273"/>
      <c r="BT182" s="273"/>
      <c r="BU182" s="273"/>
      <c r="BV182" s="273"/>
      <c r="BW182" s="273"/>
      <c r="BX182" s="273"/>
      <c r="BY182" s="273"/>
      <c r="BZ182" s="273"/>
      <c r="CA182" s="273"/>
      <c r="CB182" s="273"/>
      <c r="CC182" s="273"/>
      <c r="CD182" s="273"/>
      <c r="CE182" s="273"/>
      <c r="CF182" s="273"/>
      <c r="CG182" s="273"/>
      <c r="CH182" s="273"/>
      <c r="CI182" s="273"/>
      <c r="CJ182" s="273"/>
      <c r="CK182" s="273"/>
      <c r="CL182" s="273"/>
      <c r="CM182" s="273"/>
      <c r="CN182" s="273"/>
      <c r="CO182" s="273"/>
      <c r="CP182" s="273"/>
      <c r="CQ182" s="273"/>
      <c r="CR182" s="273"/>
    </row>
    <row r="183" spans="1:96" s="258" customFormat="1" ht="12.75" x14ac:dyDescent="0.2">
      <c r="A183" s="268"/>
      <c r="B183" s="268"/>
      <c r="C183" s="267"/>
      <c r="D183" s="267"/>
      <c r="E183" s="268"/>
      <c r="F183" s="268"/>
      <c r="H183" s="269"/>
      <c r="I183" s="269"/>
      <c r="R183" s="270"/>
      <c r="S183" s="269"/>
      <c r="T183" s="269"/>
      <c r="AP183" s="273"/>
      <c r="AQ183" s="273"/>
      <c r="AR183" s="273"/>
      <c r="AS183" s="273"/>
      <c r="AT183" s="273"/>
      <c r="AU183" s="273"/>
      <c r="AV183" s="273"/>
      <c r="AW183" s="273"/>
      <c r="AX183" s="273"/>
      <c r="AY183" s="273"/>
      <c r="AZ183" s="273"/>
      <c r="BA183" s="273"/>
      <c r="BB183" s="273"/>
      <c r="BC183" s="273"/>
      <c r="BD183" s="273"/>
      <c r="BE183" s="273"/>
      <c r="BF183" s="273"/>
      <c r="BG183" s="273"/>
      <c r="BH183" s="273"/>
      <c r="BI183" s="273"/>
      <c r="BJ183" s="273"/>
      <c r="BK183" s="273"/>
      <c r="BL183" s="273"/>
      <c r="BM183" s="273"/>
      <c r="BN183" s="273"/>
      <c r="BO183" s="273"/>
      <c r="BP183" s="273"/>
      <c r="BQ183" s="273"/>
      <c r="BR183" s="273"/>
      <c r="BS183" s="273"/>
      <c r="BT183" s="273"/>
      <c r="BU183" s="273"/>
      <c r="BV183" s="273"/>
      <c r="BW183" s="273"/>
      <c r="BX183" s="273"/>
      <c r="BY183" s="273"/>
      <c r="BZ183" s="273"/>
      <c r="CA183" s="273"/>
      <c r="CB183" s="273"/>
      <c r="CC183" s="273"/>
      <c r="CD183" s="273"/>
      <c r="CE183" s="273"/>
      <c r="CF183" s="273"/>
      <c r="CG183" s="273"/>
      <c r="CH183" s="273"/>
      <c r="CI183" s="273"/>
      <c r="CJ183" s="273"/>
      <c r="CK183" s="273"/>
      <c r="CL183" s="273"/>
      <c r="CM183" s="273"/>
      <c r="CN183" s="273"/>
      <c r="CO183" s="273"/>
      <c r="CP183" s="273"/>
      <c r="CQ183" s="273"/>
      <c r="CR183" s="273"/>
    </row>
    <row r="184" spans="1:96" s="258" customFormat="1" ht="12.75" x14ac:dyDescent="0.2">
      <c r="A184" s="268"/>
      <c r="B184" s="268"/>
      <c r="C184" s="267"/>
      <c r="D184" s="267"/>
      <c r="E184" s="268"/>
      <c r="F184" s="268"/>
      <c r="H184" s="269"/>
      <c r="I184" s="269"/>
      <c r="R184" s="270"/>
      <c r="S184" s="269"/>
      <c r="T184" s="269"/>
      <c r="AP184" s="273"/>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73"/>
      <c r="BR184" s="273"/>
      <c r="BS184" s="273"/>
      <c r="BT184" s="273"/>
      <c r="BU184" s="273"/>
      <c r="BV184" s="273"/>
      <c r="BW184" s="273"/>
      <c r="BX184" s="273"/>
      <c r="BY184" s="273"/>
      <c r="BZ184" s="273"/>
      <c r="CA184" s="273"/>
      <c r="CB184" s="273"/>
      <c r="CC184" s="273"/>
      <c r="CD184" s="273"/>
      <c r="CE184" s="273"/>
      <c r="CF184" s="273"/>
      <c r="CG184" s="273"/>
      <c r="CH184" s="273"/>
      <c r="CI184" s="273"/>
      <c r="CJ184" s="273"/>
      <c r="CK184" s="273"/>
      <c r="CL184" s="273"/>
      <c r="CM184" s="273"/>
      <c r="CN184" s="273"/>
      <c r="CO184" s="273"/>
      <c r="CP184" s="273"/>
      <c r="CQ184" s="273"/>
      <c r="CR184" s="273"/>
    </row>
    <row r="185" spans="1:96" s="258" customFormat="1" ht="12.75" x14ac:dyDescent="0.2">
      <c r="A185" s="268"/>
      <c r="B185" s="268"/>
      <c r="C185" s="267"/>
      <c r="D185" s="267"/>
      <c r="E185" s="268"/>
      <c r="F185" s="268"/>
      <c r="H185" s="269"/>
      <c r="I185" s="269"/>
      <c r="R185" s="270"/>
      <c r="S185" s="269"/>
      <c r="T185" s="269"/>
      <c r="AP185" s="273"/>
      <c r="AQ185" s="273"/>
      <c r="AR185" s="273"/>
      <c r="AS185" s="273"/>
      <c r="AT185" s="273"/>
      <c r="AU185" s="273"/>
      <c r="AV185" s="273"/>
      <c r="AW185" s="273"/>
      <c r="AX185" s="273"/>
      <c r="AY185" s="273"/>
      <c r="AZ185" s="273"/>
      <c r="BA185" s="273"/>
      <c r="BB185" s="273"/>
      <c r="BC185" s="273"/>
      <c r="BD185" s="273"/>
      <c r="BE185" s="273"/>
      <c r="BF185" s="273"/>
      <c r="BG185" s="273"/>
      <c r="BH185" s="273"/>
      <c r="BI185" s="273"/>
      <c r="BJ185" s="273"/>
      <c r="BK185" s="273"/>
      <c r="BL185" s="273"/>
      <c r="BM185" s="273"/>
      <c r="BN185" s="273"/>
      <c r="BO185" s="273"/>
      <c r="BP185" s="273"/>
      <c r="BQ185" s="273"/>
      <c r="BR185" s="273"/>
      <c r="BS185" s="273"/>
      <c r="BT185" s="273"/>
      <c r="BU185" s="273"/>
      <c r="BV185" s="273"/>
      <c r="BW185" s="273"/>
      <c r="BX185" s="273"/>
      <c r="BY185" s="273"/>
      <c r="BZ185" s="273"/>
      <c r="CA185" s="273"/>
      <c r="CB185" s="273"/>
      <c r="CC185" s="273"/>
      <c r="CD185" s="273"/>
      <c r="CE185" s="273"/>
      <c r="CF185" s="273"/>
      <c r="CG185" s="273"/>
      <c r="CH185" s="273"/>
      <c r="CI185" s="273"/>
      <c r="CJ185" s="273"/>
      <c r="CK185" s="273"/>
      <c r="CL185" s="273"/>
      <c r="CM185" s="273"/>
      <c r="CN185" s="273"/>
      <c r="CO185" s="273"/>
      <c r="CP185" s="273"/>
      <c r="CQ185" s="273"/>
      <c r="CR185" s="273"/>
    </row>
    <row r="186" spans="1:96" s="258" customFormat="1" ht="12.75" x14ac:dyDescent="0.2">
      <c r="A186" s="268"/>
      <c r="B186" s="268"/>
      <c r="C186" s="267"/>
      <c r="D186" s="267"/>
      <c r="E186" s="268"/>
      <c r="F186" s="268"/>
      <c r="H186" s="269"/>
      <c r="I186" s="269"/>
      <c r="R186" s="270"/>
      <c r="S186" s="269"/>
      <c r="T186" s="269"/>
      <c r="AP186" s="273"/>
      <c r="AQ186" s="273"/>
      <c r="AR186" s="273"/>
      <c r="AS186" s="273"/>
      <c r="AT186" s="273"/>
      <c r="AU186" s="273"/>
      <c r="AV186" s="273"/>
      <c r="AW186" s="273"/>
      <c r="AX186" s="273"/>
      <c r="AY186" s="273"/>
      <c r="AZ186" s="273"/>
      <c r="BA186" s="273"/>
      <c r="BB186" s="273"/>
      <c r="BC186" s="273"/>
      <c r="BD186" s="273"/>
      <c r="BE186" s="273"/>
      <c r="BF186" s="273"/>
      <c r="BG186" s="273"/>
      <c r="BH186" s="273"/>
      <c r="BI186" s="273"/>
      <c r="BJ186" s="273"/>
      <c r="BK186" s="273"/>
      <c r="BL186" s="273"/>
      <c r="BM186" s="273"/>
      <c r="BN186" s="273"/>
      <c r="BO186" s="273"/>
      <c r="BP186" s="273"/>
      <c r="BQ186" s="273"/>
      <c r="BR186" s="273"/>
      <c r="BS186" s="273"/>
      <c r="BT186" s="273"/>
      <c r="BU186" s="273"/>
      <c r="BV186" s="273"/>
      <c r="BW186" s="273"/>
      <c r="BX186" s="273"/>
      <c r="BY186" s="273"/>
      <c r="BZ186" s="273"/>
      <c r="CA186" s="273"/>
      <c r="CB186" s="273"/>
      <c r="CC186" s="273"/>
      <c r="CD186" s="273"/>
      <c r="CE186" s="273"/>
      <c r="CF186" s="273"/>
      <c r="CG186" s="273"/>
      <c r="CH186" s="273"/>
      <c r="CI186" s="273"/>
      <c r="CJ186" s="273"/>
      <c r="CK186" s="273"/>
      <c r="CL186" s="273"/>
      <c r="CM186" s="273"/>
      <c r="CN186" s="273"/>
      <c r="CO186" s="273"/>
      <c r="CP186" s="273"/>
      <c r="CQ186" s="273"/>
      <c r="CR186" s="273"/>
    </row>
    <row r="187" spans="1:96" s="258" customFormat="1" ht="12.75" x14ac:dyDescent="0.2">
      <c r="A187" s="268"/>
      <c r="B187" s="268"/>
      <c r="C187" s="267"/>
      <c r="D187" s="267"/>
      <c r="E187" s="268"/>
      <c r="F187" s="268"/>
      <c r="H187" s="269"/>
      <c r="I187" s="269"/>
      <c r="R187" s="270"/>
      <c r="S187" s="269"/>
      <c r="T187" s="269"/>
      <c r="AP187" s="273"/>
      <c r="AQ187" s="273"/>
      <c r="AR187" s="273"/>
      <c r="AS187" s="273"/>
      <c r="AT187" s="273"/>
      <c r="AU187" s="273"/>
      <c r="AV187" s="273"/>
      <c r="AW187" s="273"/>
      <c r="AX187" s="273"/>
      <c r="AY187" s="273"/>
      <c r="AZ187" s="273"/>
      <c r="BA187" s="273"/>
      <c r="BB187" s="273"/>
      <c r="BC187" s="273"/>
      <c r="BD187" s="273"/>
      <c r="BE187" s="273"/>
      <c r="BF187" s="273"/>
      <c r="BG187" s="273"/>
      <c r="BH187" s="273"/>
      <c r="BI187" s="273"/>
      <c r="BJ187" s="273"/>
      <c r="BK187" s="273"/>
      <c r="BL187" s="273"/>
      <c r="BM187" s="273"/>
      <c r="BN187" s="273"/>
      <c r="BO187" s="273"/>
      <c r="BP187" s="273"/>
      <c r="BQ187" s="273"/>
      <c r="BR187" s="273"/>
      <c r="BS187" s="273"/>
      <c r="BT187" s="273"/>
      <c r="BU187" s="273"/>
      <c r="BV187" s="273"/>
      <c r="BW187" s="273"/>
      <c r="BX187" s="273"/>
      <c r="BY187" s="273"/>
      <c r="BZ187" s="273"/>
      <c r="CA187" s="273"/>
      <c r="CB187" s="273"/>
      <c r="CC187" s="273"/>
      <c r="CD187" s="273"/>
      <c r="CE187" s="273"/>
      <c r="CF187" s="273"/>
      <c r="CG187" s="273"/>
      <c r="CH187" s="273"/>
      <c r="CI187" s="273"/>
      <c r="CJ187" s="273"/>
      <c r="CK187" s="273"/>
      <c r="CL187" s="273"/>
      <c r="CM187" s="273"/>
      <c r="CN187" s="273"/>
      <c r="CO187" s="273"/>
      <c r="CP187" s="273"/>
      <c r="CQ187" s="273"/>
      <c r="CR187" s="273"/>
    </row>
    <row r="188" spans="1:96" s="258" customFormat="1" ht="12.75" x14ac:dyDescent="0.2">
      <c r="A188" s="268"/>
      <c r="B188" s="268"/>
      <c r="C188" s="267"/>
      <c r="D188" s="267"/>
      <c r="E188" s="268"/>
      <c r="F188" s="268"/>
      <c r="H188" s="269"/>
      <c r="I188" s="269"/>
      <c r="R188" s="270"/>
      <c r="S188" s="269"/>
      <c r="T188" s="269"/>
      <c r="AP188" s="273"/>
      <c r="AQ188" s="273"/>
      <c r="AR188" s="273"/>
      <c r="AS188" s="273"/>
      <c r="AT188" s="273"/>
      <c r="AU188" s="273"/>
      <c r="AV188" s="273"/>
      <c r="AW188" s="273"/>
      <c r="AX188" s="273"/>
      <c r="AY188" s="273"/>
      <c r="AZ188" s="273"/>
      <c r="BA188" s="273"/>
      <c r="BB188" s="273"/>
      <c r="BC188" s="273"/>
      <c r="BD188" s="273"/>
      <c r="BE188" s="273"/>
      <c r="BF188" s="273"/>
      <c r="BG188" s="273"/>
      <c r="BH188" s="273"/>
      <c r="BI188" s="273"/>
      <c r="BJ188" s="273"/>
      <c r="BK188" s="273"/>
      <c r="BL188" s="273"/>
      <c r="BM188" s="273"/>
      <c r="BN188" s="273"/>
      <c r="BO188" s="273"/>
      <c r="BP188" s="273"/>
      <c r="BQ188" s="273"/>
      <c r="BR188" s="273"/>
      <c r="BS188" s="273"/>
      <c r="BT188" s="273"/>
      <c r="BU188" s="273"/>
      <c r="BV188" s="273"/>
      <c r="BW188" s="273"/>
      <c r="BX188" s="273"/>
      <c r="BY188" s="273"/>
      <c r="BZ188" s="273"/>
      <c r="CA188" s="273"/>
      <c r="CB188" s="273"/>
      <c r="CC188" s="273"/>
      <c r="CD188" s="273"/>
      <c r="CE188" s="273"/>
      <c r="CF188" s="273"/>
      <c r="CG188" s="273"/>
      <c r="CH188" s="273"/>
      <c r="CI188" s="273"/>
      <c r="CJ188" s="273"/>
      <c r="CK188" s="273"/>
      <c r="CL188" s="273"/>
      <c r="CM188" s="273"/>
      <c r="CN188" s="273"/>
      <c r="CO188" s="273"/>
      <c r="CP188" s="273"/>
      <c r="CQ188" s="273"/>
      <c r="CR188" s="273"/>
    </row>
    <row r="189" spans="1:96" s="258" customFormat="1" ht="12.75" x14ac:dyDescent="0.2">
      <c r="A189" s="268"/>
      <c r="B189" s="268"/>
      <c r="C189" s="267"/>
      <c r="D189" s="267"/>
      <c r="E189" s="268"/>
      <c r="F189" s="268"/>
      <c r="H189" s="269"/>
      <c r="I189" s="269"/>
      <c r="R189" s="270"/>
      <c r="S189" s="269"/>
      <c r="T189" s="269"/>
      <c r="AP189" s="273"/>
      <c r="AQ189" s="273"/>
      <c r="AR189" s="273"/>
      <c r="AS189" s="273"/>
      <c r="AT189" s="273"/>
      <c r="AU189" s="273"/>
      <c r="AV189" s="273"/>
      <c r="AW189" s="273"/>
      <c r="AX189" s="273"/>
      <c r="AY189" s="273"/>
      <c r="AZ189" s="273"/>
      <c r="BA189" s="273"/>
      <c r="BB189" s="273"/>
      <c r="BC189" s="273"/>
      <c r="BD189" s="273"/>
      <c r="BE189" s="273"/>
      <c r="BF189" s="273"/>
      <c r="BG189" s="273"/>
      <c r="BH189" s="273"/>
      <c r="BI189" s="273"/>
      <c r="BJ189" s="273"/>
      <c r="BK189" s="273"/>
      <c r="BL189" s="273"/>
      <c r="BM189" s="273"/>
      <c r="BN189" s="273"/>
      <c r="BO189" s="273"/>
      <c r="BP189" s="273"/>
      <c r="BQ189" s="273"/>
      <c r="BR189" s="273"/>
      <c r="BS189" s="273"/>
      <c r="BT189" s="273"/>
      <c r="BU189" s="273"/>
      <c r="BV189" s="273"/>
      <c r="BW189" s="273"/>
      <c r="BX189" s="273"/>
      <c r="BY189" s="273"/>
      <c r="BZ189" s="273"/>
      <c r="CA189" s="273"/>
      <c r="CB189" s="273"/>
      <c r="CC189" s="273"/>
      <c r="CD189" s="273"/>
      <c r="CE189" s="273"/>
      <c r="CF189" s="273"/>
      <c r="CG189" s="273"/>
      <c r="CH189" s="273"/>
      <c r="CI189" s="273"/>
      <c r="CJ189" s="273"/>
      <c r="CK189" s="273"/>
      <c r="CL189" s="273"/>
      <c r="CM189" s="273"/>
      <c r="CN189" s="273"/>
      <c r="CO189" s="273"/>
      <c r="CP189" s="273"/>
      <c r="CQ189" s="273"/>
      <c r="CR189" s="273"/>
    </row>
    <row r="190" spans="1:96" s="258" customFormat="1" ht="12.75" x14ac:dyDescent="0.2">
      <c r="A190" s="268"/>
      <c r="B190" s="268"/>
      <c r="C190" s="267"/>
      <c r="D190" s="267"/>
      <c r="E190" s="268"/>
      <c r="F190" s="268"/>
      <c r="H190" s="269"/>
      <c r="I190" s="269"/>
      <c r="R190" s="270"/>
      <c r="S190" s="269"/>
      <c r="T190" s="269"/>
      <c r="AP190" s="273"/>
      <c r="AQ190" s="273"/>
      <c r="AR190" s="273"/>
      <c r="AS190" s="273"/>
      <c r="AT190" s="273"/>
      <c r="AU190" s="273"/>
      <c r="AV190" s="273"/>
      <c r="AW190" s="273"/>
      <c r="AX190" s="273"/>
      <c r="AY190" s="273"/>
      <c r="AZ190" s="273"/>
      <c r="BA190" s="273"/>
      <c r="BB190" s="273"/>
      <c r="BC190" s="273"/>
      <c r="BD190" s="273"/>
      <c r="BE190" s="273"/>
      <c r="BF190" s="273"/>
      <c r="BG190" s="273"/>
      <c r="BH190" s="273"/>
      <c r="BI190" s="273"/>
      <c r="BJ190" s="273"/>
      <c r="BK190" s="273"/>
      <c r="BL190" s="273"/>
      <c r="BM190" s="273"/>
      <c r="BN190" s="273"/>
      <c r="BO190" s="273"/>
      <c r="BP190" s="273"/>
      <c r="BQ190" s="273"/>
      <c r="BR190" s="273"/>
      <c r="BS190" s="273"/>
      <c r="BT190" s="273"/>
      <c r="BU190" s="273"/>
      <c r="BV190" s="273"/>
      <c r="BW190" s="273"/>
      <c r="BX190" s="273"/>
      <c r="BY190" s="273"/>
      <c r="BZ190" s="273"/>
      <c r="CA190" s="273"/>
      <c r="CB190" s="273"/>
      <c r="CC190" s="273"/>
      <c r="CD190" s="273"/>
      <c r="CE190" s="273"/>
      <c r="CF190" s="273"/>
      <c r="CG190" s="273"/>
      <c r="CH190" s="273"/>
      <c r="CI190" s="273"/>
      <c r="CJ190" s="273"/>
      <c r="CK190" s="273"/>
      <c r="CL190" s="273"/>
      <c r="CM190" s="273"/>
      <c r="CN190" s="273"/>
      <c r="CO190" s="273"/>
      <c r="CP190" s="273"/>
      <c r="CQ190" s="273"/>
      <c r="CR190" s="273"/>
    </row>
    <row r="191" spans="1:96" s="258" customFormat="1" ht="12.75" x14ac:dyDescent="0.2">
      <c r="A191" s="268"/>
      <c r="B191" s="268"/>
      <c r="C191" s="267"/>
      <c r="D191" s="267"/>
      <c r="E191" s="268"/>
      <c r="F191" s="268"/>
      <c r="H191" s="269"/>
      <c r="I191" s="269"/>
      <c r="R191" s="270"/>
      <c r="S191" s="269"/>
      <c r="T191" s="269"/>
      <c r="AP191" s="273"/>
      <c r="AQ191" s="273"/>
      <c r="AR191" s="273"/>
      <c r="AS191" s="273"/>
      <c r="AT191" s="273"/>
      <c r="AU191" s="273"/>
      <c r="AV191" s="273"/>
      <c r="AW191" s="273"/>
      <c r="AX191" s="273"/>
      <c r="AY191" s="273"/>
      <c r="AZ191" s="273"/>
      <c r="BA191" s="273"/>
      <c r="BB191" s="273"/>
      <c r="BC191" s="273"/>
      <c r="BD191" s="273"/>
      <c r="BE191" s="273"/>
      <c r="BF191" s="273"/>
      <c r="BG191" s="273"/>
      <c r="BH191" s="273"/>
      <c r="BI191" s="273"/>
      <c r="BJ191" s="273"/>
      <c r="BK191" s="273"/>
      <c r="BL191" s="273"/>
      <c r="BM191" s="273"/>
      <c r="BN191" s="273"/>
      <c r="BO191" s="273"/>
      <c r="BP191" s="273"/>
      <c r="BQ191" s="273"/>
      <c r="BR191" s="273"/>
      <c r="BS191" s="273"/>
      <c r="BT191" s="273"/>
      <c r="BU191" s="273"/>
      <c r="BV191" s="273"/>
      <c r="BW191" s="273"/>
      <c r="BX191" s="273"/>
      <c r="BY191" s="273"/>
      <c r="BZ191" s="273"/>
      <c r="CA191" s="273"/>
      <c r="CB191" s="273"/>
      <c r="CC191" s="273"/>
      <c r="CD191" s="273"/>
      <c r="CE191" s="273"/>
      <c r="CF191" s="273"/>
      <c r="CG191" s="273"/>
      <c r="CH191" s="273"/>
      <c r="CI191" s="273"/>
      <c r="CJ191" s="273"/>
      <c r="CK191" s="273"/>
      <c r="CL191" s="273"/>
      <c r="CM191" s="273"/>
      <c r="CN191" s="273"/>
      <c r="CO191" s="273"/>
      <c r="CP191" s="273"/>
      <c r="CQ191" s="273"/>
      <c r="CR191" s="273"/>
    </row>
    <row r="192" spans="1:96" s="258" customFormat="1" ht="12.75" x14ac:dyDescent="0.2">
      <c r="A192" s="268"/>
      <c r="B192" s="268"/>
      <c r="C192" s="267"/>
      <c r="D192" s="267"/>
      <c r="E192" s="268"/>
      <c r="F192" s="268"/>
      <c r="H192" s="269"/>
      <c r="I192" s="269"/>
      <c r="R192" s="270"/>
      <c r="S192" s="269"/>
      <c r="T192" s="269"/>
      <c r="AP192" s="273"/>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L192" s="273"/>
      <c r="BM192" s="273"/>
      <c r="BN192" s="273"/>
      <c r="BO192" s="273"/>
      <c r="BP192" s="273"/>
      <c r="BQ192" s="273"/>
      <c r="BR192" s="273"/>
      <c r="BS192" s="273"/>
      <c r="BT192" s="273"/>
      <c r="BU192" s="273"/>
      <c r="BV192" s="273"/>
      <c r="BW192" s="273"/>
      <c r="BX192" s="273"/>
      <c r="BY192" s="273"/>
      <c r="BZ192" s="273"/>
      <c r="CA192" s="273"/>
      <c r="CB192" s="273"/>
      <c r="CC192" s="273"/>
      <c r="CD192" s="273"/>
      <c r="CE192" s="273"/>
      <c r="CF192" s="273"/>
      <c r="CG192" s="273"/>
      <c r="CH192" s="273"/>
      <c r="CI192" s="273"/>
      <c r="CJ192" s="273"/>
      <c r="CK192" s="273"/>
      <c r="CL192" s="273"/>
      <c r="CM192" s="273"/>
      <c r="CN192" s="273"/>
      <c r="CO192" s="273"/>
      <c r="CP192" s="273"/>
      <c r="CQ192" s="273"/>
      <c r="CR192" s="273"/>
    </row>
    <row r="193" spans="1:96" s="258" customFormat="1" ht="12.75" x14ac:dyDescent="0.2">
      <c r="A193" s="268"/>
      <c r="B193" s="268"/>
      <c r="C193" s="267"/>
      <c r="D193" s="267"/>
      <c r="E193" s="268"/>
      <c r="F193" s="268"/>
      <c r="H193" s="269"/>
      <c r="I193" s="269"/>
      <c r="R193" s="270"/>
      <c r="S193" s="269"/>
      <c r="T193" s="269"/>
      <c r="AP193" s="273"/>
      <c r="AQ193" s="273"/>
      <c r="AR193" s="273"/>
      <c r="AS193" s="273"/>
      <c r="AT193" s="273"/>
      <c r="AU193" s="273"/>
      <c r="AV193" s="273"/>
      <c r="AW193" s="273"/>
      <c r="AX193" s="273"/>
      <c r="AY193" s="273"/>
      <c r="AZ193" s="273"/>
      <c r="BA193" s="273"/>
      <c r="BB193" s="273"/>
      <c r="BC193" s="273"/>
      <c r="BD193" s="273"/>
      <c r="BE193" s="273"/>
      <c r="BF193" s="273"/>
      <c r="BG193" s="273"/>
      <c r="BH193" s="273"/>
      <c r="BI193" s="273"/>
      <c r="BJ193" s="273"/>
      <c r="BK193" s="273"/>
      <c r="BL193" s="273"/>
      <c r="BM193" s="273"/>
      <c r="BN193" s="273"/>
      <c r="BO193" s="273"/>
      <c r="BP193" s="273"/>
      <c r="BQ193" s="273"/>
      <c r="BR193" s="273"/>
      <c r="BS193" s="273"/>
      <c r="BT193" s="273"/>
      <c r="BU193" s="273"/>
      <c r="BV193" s="273"/>
      <c r="BW193" s="273"/>
      <c r="BX193" s="273"/>
      <c r="BY193" s="273"/>
      <c r="BZ193" s="273"/>
      <c r="CA193" s="273"/>
      <c r="CB193" s="273"/>
      <c r="CC193" s="273"/>
      <c r="CD193" s="273"/>
      <c r="CE193" s="273"/>
      <c r="CF193" s="273"/>
      <c r="CG193" s="273"/>
      <c r="CH193" s="273"/>
      <c r="CI193" s="273"/>
      <c r="CJ193" s="273"/>
      <c r="CK193" s="273"/>
      <c r="CL193" s="273"/>
      <c r="CM193" s="273"/>
      <c r="CN193" s="273"/>
      <c r="CO193" s="273"/>
      <c r="CP193" s="273"/>
      <c r="CQ193" s="273"/>
      <c r="CR193" s="273"/>
    </row>
    <row r="194" spans="1:96" s="258" customFormat="1" ht="12.75" x14ac:dyDescent="0.2">
      <c r="A194" s="268"/>
      <c r="B194" s="268"/>
      <c r="C194" s="267"/>
      <c r="D194" s="267"/>
      <c r="E194" s="268"/>
      <c r="F194" s="268"/>
      <c r="H194" s="269"/>
      <c r="I194" s="269"/>
      <c r="R194" s="270"/>
      <c r="S194" s="269"/>
      <c r="T194" s="269"/>
      <c r="AP194" s="273"/>
      <c r="AQ194" s="273"/>
      <c r="AR194" s="273"/>
      <c r="AS194" s="273"/>
      <c r="AT194" s="273"/>
      <c r="AU194" s="273"/>
      <c r="AV194" s="273"/>
      <c r="AW194" s="273"/>
      <c r="AX194" s="273"/>
      <c r="AY194" s="273"/>
      <c r="AZ194" s="273"/>
      <c r="BA194" s="273"/>
      <c r="BB194" s="273"/>
      <c r="BC194" s="273"/>
      <c r="BD194" s="273"/>
      <c r="BE194" s="273"/>
      <c r="BF194" s="273"/>
      <c r="BG194" s="273"/>
      <c r="BH194" s="273"/>
      <c r="BI194" s="273"/>
      <c r="BJ194" s="273"/>
      <c r="BK194" s="273"/>
      <c r="BL194" s="273"/>
      <c r="BM194" s="273"/>
      <c r="BN194" s="273"/>
      <c r="BO194" s="273"/>
      <c r="BP194" s="273"/>
      <c r="BQ194" s="273"/>
      <c r="BR194" s="273"/>
      <c r="BS194" s="273"/>
      <c r="BT194" s="273"/>
      <c r="BU194" s="273"/>
      <c r="BV194" s="273"/>
      <c r="BW194" s="273"/>
      <c r="BX194" s="273"/>
      <c r="BY194" s="273"/>
      <c r="BZ194" s="273"/>
      <c r="CA194" s="273"/>
      <c r="CB194" s="273"/>
      <c r="CC194" s="273"/>
      <c r="CD194" s="273"/>
      <c r="CE194" s="273"/>
      <c r="CF194" s="273"/>
      <c r="CG194" s="273"/>
      <c r="CH194" s="273"/>
      <c r="CI194" s="273"/>
      <c r="CJ194" s="273"/>
      <c r="CK194" s="273"/>
      <c r="CL194" s="273"/>
      <c r="CM194" s="273"/>
      <c r="CN194" s="273"/>
      <c r="CO194" s="273"/>
      <c r="CP194" s="273"/>
      <c r="CQ194" s="273"/>
      <c r="CR194" s="273"/>
    </row>
    <row r="195" spans="1:96" s="258" customFormat="1" ht="12.75" x14ac:dyDescent="0.2">
      <c r="A195" s="268"/>
      <c r="B195" s="268"/>
      <c r="C195" s="267"/>
      <c r="D195" s="267"/>
      <c r="E195" s="268"/>
      <c r="F195" s="268"/>
      <c r="H195" s="269"/>
      <c r="I195" s="269"/>
      <c r="R195" s="270"/>
      <c r="S195" s="269"/>
      <c r="T195" s="269"/>
      <c r="AP195" s="273"/>
      <c r="AQ195" s="273"/>
      <c r="AR195" s="273"/>
      <c r="AS195" s="273"/>
      <c r="AT195" s="273"/>
      <c r="AU195" s="273"/>
      <c r="AV195" s="273"/>
      <c r="AW195" s="273"/>
      <c r="AX195" s="273"/>
      <c r="AY195" s="273"/>
      <c r="AZ195" s="273"/>
      <c r="BA195" s="273"/>
      <c r="BB195" s="273"/>
      <c r="BC195" s="273"/>
      <c r="BD195" s="273"/>
      <c r="BE195" s="273"/>
      <c r="BF195" s="273"/>
      <c r="BG195" s="273"/>
      <c r="BH195" s="273"/>
      <c r="BI195" s="273"/>
      <c r="BJ195" s="273"/>
      <c r="BK195" s="273"/>
      <c r="BL195" s="273"/>
      <c r="BM195" s="273"/>
      <c r="BN195" s="273"/>
      <c r="BO195" s="273"/>
      <c r="BP195" s="273"/>
      <c r="BQ195" s="273"/>
      <c r="BR195" s="273"/>
      <c r="BS195" s="273"/>
      <c r="BT195" s="273"/>
      <c r="BU195" s="273"/>
      <c r="BV195" s="273"/>
      <c r="BW195" s="273"/>
      <c r="BX195" s="273"/>
      <c r="BY195" s="273"/>
      <c r="BZ195" s="273"/>
      <c r="CA195" s="273"/>
      <c r="CB195" s="273"/>
      <c r="CC195" s="273"/>
      <c r="CD195" s="273"/>
      <c r="CE195" s="273"/>
      <c r="CF195" s="273"/>
      <c r="CG195" s="273"/>
      <c r="CH195" s="273"/>
      <c r="CI195" s="273"/>
      <c r="CJ195" s="273"/>
      <c r="CK195" s="273"/>
      <c r="CL195" s="273"/>
      <c r="CM195" s="273"/>
      <c r="CN195" s="273"/>
      <c r="CO195" s="273"/>
      <c r="CP195" s="273"/>
      <c r="CQ195" s="273"/>
      <c r="CR195" s="273"/>
    </row>
    <row r="196" spans="1:96" s="258" customFormat="1" ht="12.75" x14ac:dyDescent="0.2">
      <c r="A196" s="268"/>
      <c r="B196" s="268"/>
      <c r="C196" s="267"/>
      <c r="D196" s="267"/>
      <c r="E196" s="268"/>
      <c r="F196" s="268"/>
      <c r="H196" s="269"/>
      <c r="I196" s="269"/>
      <c r="R196" s="270"/>
      <c r="S196" s="269"/>
      <c r="T196" s="269"/>
      <c r="AP196" s="273"/>
      <c r="AQ196" s="273"/>
      <c r="AR196" s="273"/>
      <c r="AS196" s="273"/>
      <c r="AT196" s="273"/>
      <c r="AU196" s="273"/>
      <c r="AV196" s="273"/>
      <c r="AW196" s="273"/>
      <c r="AX196" s="273"/>
      <c r="AY196" s="273"/>
      <c r="AZ196" s="273"/>
      <c r="BA196" s="273"/>
      <c r="BB196" s="273"/>
      <c r="BC196" s="273"/>
      <c r="BD196" s="273"/>
      <c r="BE196" s="273"/>
      <c r="BF196" s="273"/>
      <c r="BG196" s="273"/>
      <c r="BH196" s="273"/>
      <c r="BI196" s="273"/>
      <c r="BJ196" s="273"/>
      <c r="BK196" s="273"/>
      <c r="BL196" s="273"/>
      <c r="BM196" s="273"/>
      <c r="BN196" s="273"/>
      <c r="BO196" s="273"/>
      <c r="BP196" s="273"/>
      <c r="BQ196" s="273"/>
      <c r="BR196" s="273"/>
      <c r="BS196" s="273"/>
      <c r="BT196" s="273"/>
      <c r="BU196" s="273"/>
      <c r="BV196" s="273"/>
      <c r="BW196" s="273"/>
      <c r="BX196" s="273"/>
      <c r="BY196" s="273"/>
      <c r="BZ196" s="273"/>
      <c r="CA196" s="273"/>
      <c r="CB196" s="273"/>
      <c r="CC196" s="273"/>
      <c r="CD196" s="273"/>
      <c r="CE196" s="273"/>
      <c r="CF196" s="273"/>
      <c r="CG196" s="273"/>
      <c r="CH196" s="273"/>
      <c r="CI196" s="273"/>
      <c r="CJ196" s="273"/>
      <c r="CK196" s="273"/>
      <c r="CL196" s="273"/>
      <c r="CM196" s="273"/>
      <c r="CN196" s="273"/>
      <c r="CO196" s="273"/>
      <c r="CP196" s="273"/>
      <c r="CQ196" s="273"/>
      <c r="CR196" s="273"/>
    </row>
    <row r="197" spans="1:96" s="258" customFormat="1" ht="12.75" x14ac:dyDescent="0.2">
      <c r="A197" s="268"/>
      <c r="B197" s="268"/>
      <c r="C197" s="267"/>
      <c r="D197" s="267"/>
      <c r="E197" s="268"/>
      <c r="F197" s="268"/>
      <c r="H197" s="269"/>
      <c r="I197" s="269"/>
      <c r="R197" s="270"/>
      <c r="S197" s="269"/>
      <c r="T197" s="269"/>
      <c r="AP197" s="273"/>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L197" s="273"/>
      <c r="BM197" s="273"/>
      <c r="BN197" s="273"/>
      <c r="BO197" s="273"/>
      <c r="BP197" s="273"/>
      <c r="BQ197" s="273"/>
      <c r="BR197" s="273"/>
      <c r="BS197" s="273"/>
      <c r="BT197" s="273"/>
      <c r="BU197" s="273"/>
      <c r="BV197" s="273"/>
      <c r="BW197" s="273"/>
      <c r="BX197" s="273"/>
      <c r="BY197" s="273"/>
      <c r="BZ197" s="273"/>
      <c r="CA197" s="273"/>
      <c r="CB197" s="273"/>
      <c r="CC197" s="273"/>
      <c r="CD197" s="273"/>
      <c r="CE197" s="273"/>
      <c r="CF197" s="273"/>
      <c r="CG197" s="273"/>
      <c r="CH197" s="273"/>
      <c r="CI197" s="273"/>
      <c r="CJ197" s="273"/>
      <c r="CK197" s="273"/>
      <c r="CL197" s="273"/>
      <c r="CM197" s="273"/>
      <c r="CN197" s="273"/>
      <c r="CO197" s="273"/>
      <c r="CP197" s="273"/>
      <c r="CQ197" s="273"/>
      <c r="CR197" s="273"/>
    </row>
    <row r="198" spans="1:96" s="258" customFormat="1" ht="12.75" x14ac:dyDescent="0.2">
      <c r="A198" s="268"/>
      <c r="B198" s="268"/>
      <c r="C198" s="267"/>
      <c r="D198" s="267"/>
      <c r="E198" s="268"/>
      <c r="F198" s="268"/>
      <c r="H198" s="269"/>
      <c r="I198" s="269"/>
      <c r="R198" s="270"/>
      <c r="S198" s="269"/>
      <c r="T198" s="269"/>
      <c r="AP198" s="273"/>
      <c r="AQ198" s="273"/>
      <c r="AR198" s="273"/>
      <c r="AS198" s="273"/>
      <c r="AT198" s="273"/>
      <c r="AU198" s="273"/>
      <c r="AV198" s="273"/>
      <c r="AW198" s="273"/>
      <c r="AX198" s="273"/>
      <c r="AY198" s="273"/>
      <c r="AZ198" s="273"/>
      <c r="BA198" s="273"/>
      <c r="BB198" s="273"/>
      <c r="BC198" s="273"/>
      <c r="BD198" s="273"/>
      <c r="BE198" s="273"/>
      <c r="BF198" s="273"/>
      <c r="BG198" s="273"/>
      <c r="BH198" s="273"/>
      <c r="BI198" s="273"/>
      <c r="BJ198" s="273"/>
      <c r="BK198" s="273"/>
      <c r="BL198" s="273"/>
      <c r="BM198" s="273"/>
      <c r="BN198" s="273"/>
      <c r="BO198" s="273"/>
      <c r="BP198" s="273"/>
      <c r="BQ198" s="273"/>
      <c r="BR198" s="273"/>
      <c r="BS198" s="273"/>
      <c r="BT198" s="273"/>
      <c r="BU198" s="273"/>
      <c r="BV198" s="273"/>
      <c r="BW198" s="273"/>
      <c r="BX198" s="273"/>
      <c r="BY198" s="273"/>
      <c r="BZ198" s="273"/>
      <c r="CA198" s="273"/>
      <c r="CB198" s="273"/>
      <c r="CC198" s="273"/>
      <c r="CD198" s="273"/>
      <c r="CE198" s="273"/>
      <c r="CF198" s="273"/>
      <c r="CG198" s="273"/>
      <c r="CH198" s="273"/>
      <c r="CI198" s="273"/>
      <c r="CJ198" s="273"/>
      <c r="CK198" s="273"/>
      <c r="CL198" s="273"/>
      <c r="CM198" s="273"/>
      <c r="CN198" s="273"/>
      <c r="CO198" s="273"/>
      <c r="CP198" s="273"/>
      <c r="CQ198" s="273"/>
      <c r="CR198" s="273"/>
    </row>
    <row r="199" spans="1:96" s="258" customFormat="1" ht="12.75" x14ac:dyDescent="0.2">
      <c r="A199" s="268"/>
      <c r="B199" s="268"/>
      <c r="C199" s="267"/>
      <c r="D199" s="267"/>
      <c r="E199" s="268"/>
      <c r="F199" s="268"/>
      <c r="H199" s="269"/>
      <c r="I199" s="269"/>
      <c r="R199" s="270"/>
      <c r="S199" s="269"/>
      <c r="T199" s="269"/>
      <c r="AP199" s="273"/>
      <c r="AQ199" s="273"/>
      <c r="AR199" s="273"/>
      <c r="AS199" s="273"/>
      <c r="AT199" s="273"/>
      <c r="AU199" s="273"/>
      <c r="AV199" s="273"/>
      <c r="AW199" s="273"/>
      <c r="AX199" s="273"/>
      <c r="AY199" s="273"/>
      <c r="AZ199" s="273"/>
      <c r="BA199" s="273"/>
      <c r="BB199" s="273"/>
      <c r="BC199" s="273"/>
      <c r="BD199" s="273"/>
      <c r="BE199" s="273"/>
      <c r="BF199" s="273"/>
      <c r="BG199" s="273"/>
      <c r="BH199" s="273"/>
      <c r="BI199" s="273"/>
      <c r="BJ199" s="273"/>
      <c r="BK199" s="273"/>
      <c r="BL199" s="273"/>
      <c r="BM199" s="273"/>
      <c r="BN199" s="273"/>
      <c r="BO199" s="273"/>
      <c r="BP199" s="273"/>
      <c r="BQ199" s="273"/>
      <c r="BR199" s="273"/>
      <c r="BS199" s="273"/>
      <c r="BT199" s="273"/>
      <c r="BU199" s="273"/>
      <c r="BV199" s="273"/>
      <c r="BW199" s="273"/>
      <c r="BX199" s="273"/>
      <c r="BY199" s="273"/>
      <c r="BZ199" s="273"/>
      <c r="CA199" s="273"/>
      <c r="CB199" s="273"/>
      <c r="CC199" s="273"/>
      <c r="CD199" s="273"/>
      <c r="CE199" s="273"/>
      <c r="CF199" s="273"/>
      <c r="CG199" s="273"/>
      <c r="CH199" s="273"/>
      <c r="CI199" s="273"/>
      <c r="CJ199" s="273"/>
      <c r="CK199" s="273"/>
      <c r="CL199" s="273"/>
      <c r="CM199" s="273"/>
      <c r="CN199" s="273"/>
      <c r="CO199" s="273"/>
      <c r="CP199" s="273"/>
      <c r="CQ199" s="273"/>
      <c r="CR199" s="273"/>
    </row>
    <row r="200" spans="1:96" s="258" customFormat="1" ht="12.75" x14ac:dyDescent="0.2">
      <c r="A200" s="268"/>
      <c r="B200" s="268"/>
      <c r="C200" s="267"/>
      <c r="D200" s="267"/>
      <c r="E200" s="268"/>
      <c r="F200" s="268"/>
      <c r="H200" s="269"/>
      <c r="I200" s="269"/>
      <c r="R200" s="270"/>
      <c r="S200" s="269"/>
      <c r="T200" s="269"/>
      <c r="AP200" s="273"/>
      <c r="AQ200" s="273"/>
      <c r="AR200" s="273"/>
      <c r="AS200" s="273"/>
      <c r="AT200" s="273"/>
      <c r="AU200" s="273"/>
      <c r="AV200" s="273"/>
      <c r="AW200" s="273"/>
      <c r="AX200" s="273"/>
      <c r="AY200" s="273"/>
      <c r="AZ200" s="273"/>
      <c r="BA200" s="273"/>
      <c r="BB200" s="273"/>
      <c r="BC200" s="273"/>
      <c r="BD200" s="273"/>
      <c r="BE200" s="273"/>
      <c r="BF200" s="273"/>
      <c r="BG200" s="273"/>
      <c r="BH200" s="273"/>
      <c r="BI200" s="273"/>
      <c r="BJ200" s="273"/>
      <c r="BK200" s="273"/>
      <c r="BL200" s="273"/>
      <c r="BM200" s="273"/>
      <c r="BN200" s="273"/>
      <c r="BO200" s="273"/>
      <c r="BP200" s="273"/>
      <c r="BQ200" s="273"/>
      <c r="BR200" s="273"/>
      <c r="BS200" s="273"/>
      <c r="BT200" s="273"/>
      <c r="BU200" s="273"/>
      <c r="BV200" s="273"/>
      <c r="BW200" s="273"/>
      <c r="BX200" s="273"/>
      <c r="BY200" s="273"/>
      <c r="BZ200" s="273"/>
      <c r="CA200" s="273"/>
      <c r="CB200" s="273"/>
      <c r="CC200" s="273"/>
      <c r="CD200" s="273"/>
      <c r="CE200" s="273"/>
      <c r="CF200" s="273"/>
      <c r="CG200" s="273"/>
      <c r="CH200" s="273"/>
      <c r="CI200" s="273"/>
      <c r="CJ200" s="273"/>
      <c r="CK200" s="273"/>
      <c r="CL200" s="273"/>
      <c r="CM200" s="273"/>
      <c r="CN200" s="273"/>
      <c r="CO200" s="273"/>
      <c r="CP200" s="273"/>
      <c r="CQ200" s="273"/>
      <c r="CR200" s="273"/>
    </row>
    <row r="201" spans="1:96" s="258" customFormat="1" ht="12.75" x14ac:dyDescent="0.2">
      <c r="A201" s="268"/>
      <c r="B201" s="268"/>
      <c r="C201" s="267"/>
      <c r="D201" s="267"/>
      <c r="E201" s="268"/>
      <c r="F201" s="268"/>
      <c r="H201" s="269"/>
      <c r="I201" s="269"/>
      <c r="R201" s="270"/>
      <c r="S201" s="269"/>
      <c r="T201" s="269"/>
      <c r="AP201" s="273"/>
      <c r="AQ201" s="273"/>
      <c r="AR201" s="273"/>
      <c r="AS201" s="273"/>
      <c r="AT201" s="273"/>
      <c r="AU201" s="273"/>
      <c r="AV201" s="273"/>
      <c r="AW201" s="273"/>
      <c r="AX201" s="273"/>
      <c r="AY201" s="273"/>
      <c r="AZ201" s="273"/>
      <c r="BA201" s="273"/>
      <c r="BB201" s="273"/>
      <c r="BC201" s="273"/>
      <c r="BD201" s="273"/>
      <c r="BE201" s="273"/>
      <c r="BF201" s="273"/>
      <c r="BG201" s="273"/>
      <c r="BH201" s="273"/>
      <c r="BI201" s="273"/>
      <c r="BJ201" s="273"/>
      <c r="BK201" s="273"/>
      <c r="BL201" s="273"/>
      <c r="BM201" s="273"/>
      <c r="BN201" s="273"/>
      <c r="BO201" s="273"/>
      <c r="BP201" s="273"/>
      <c r="BQ201" s="273"/>
      <c r="BR201" s="273"/>
      <c r="BS201" s="273"/>
      <c r="BT201" s="273"/>
      <c r="BU201" s="273"/>
      <c r="BV201" s="273"/>
      <c r="BW201" s="273"/>
      <c r="BX201" s="273"/>
      <c r="BY201" s="273"/>
      <c r="BZ201" s="273"/>
      <c r="CA201" s="273"/>
      <c r="CB201" s="273"/>
      <c r="CC201" s="273"/>
      <c r="CD201" s="273"/>
      <c r="CE201" s="273"/>
      <c r="CF201" s="273"/>
      <c r="CG201" s="273"/>
      <c r="CH201" s="273"/>
      <c r="CI201" s="273"/>
      <c r="CJ201" s="273"/>
      <c r="CK201" s="273"/>
      <c r="CL201" s="273"/>
      <c r="CM201" s="273"/>
      <c r="CN201" s="273"/>
      <c r="CO201" s="273"/>
      <c r="CP201" s="273"/>
      <c r="CQ201" s="273"/>
      <c r="CR201" s="273"/>
    </row>
    <row r="202" spans="1:96" s="258" customFormat="1" ht="12.75" x14ac:dyDescent="0.2">
      <c r="A202" s="268"/>
      <c r="B202" s="268"/>
      <c r="C202" s="267"/>
      <c r="D202" s="267"/>
      <c r="E202" s="268"/>
      <c r="F202" s="268"/>
      <c r="H202" s="269"/>
      <c r="I202" s="269"/>
      <c r="R202" s="270"/>
      <c r="S202" s="269"/>
      <c r="T202" s="269"/>
      <c r="AP202" s="273"/>
      <c r="AQ202" s="273"/>
      <c r="AR202" s="273"/>
      <c r="AS202" s="273"/>
      <c r="AT202" s="273"/>
      <c r="AU202" s="273"/>
      <c r="AV202" s="273"/>
      <c r="AW202" s="273"/>
      <c r="AX202" s="273"/>
      <c r="AY202" s="273"/>
      <c r="AZ202" s="273"/>
      <c r="BA202" s="273"/>
      <c r="BB202" s="273"/>
      <c r="BC202" s="273"/>
      <c r="BD202" s="273"/>
      <c r="BE202" s="273"/>
      <c r="BF202" s="273"/>
      <c r="BG202" s="273"/>
      <c r="BH202" s="273"/>
      <c r="BI202" s="273"/>
      <c r="BJ202" s="273"/>
      <c r="BK202" s="273"/>
      <c r="BL202" s="273"/>
      <c r="BM202" s="273"/>
      <c r="BN202" s="273"/>
      <c r="BO202" s="273"/>
      <c r="BP202" s="273"/>
      <c r="BQ202" s="273"/>
      <c r="BR202" s="273"/>
      <c r="BS202" s="273"/>
      <c r="BT202" s="273"/>
      <c r="BU202" s="273"/>
      <c r="BV202" s="273"/>
      <c r="BW202" s="273"/>
      <c r="BX202" s="273"/>
      <c r="BY202" s="273"/>
      <c r="BZ202" s="273"/>
      <c r="CA202" s="273"/>
      <c r="CB202" s="273"/>
      <c r="CC202" s="273"/>
      <c r="CD202" s="273"/>
      <c r="CE202" s="273"/>
      <c r="CF202" s="273"/>
      <c r="CG202" s="273"/>
      <c r="CH202" s="273"/>
      <c r="CI202" s="273"/>
      <c r="CJ202" s="273"/>
      <c r="CK202" s="273"/>
      <c r="CL202" s="273"/>
      <c r="CM202" s="273"/>
      <c r="CN202" s="273"/>
      <c r="CO202" s="273"/>
      <c r="CP202" s="273"/>
      <c r="CQ202" s="273"/>
      <c r="CR202" s="273"/>
    </row>
    <row r="203" spans="1:96" s="258" customFormat="1" ht="12.75" x14ac:dyDescent="0.2">
      <c r="A203" s="268"/>
      <c r="B203" s="268"/>
      <c r="C203" s="267"/>
      <c r="D203" s="267"/>
      <c r="E203" s="268"/>
      <c r="F203" s="268"/>
      <c r="H203" s="269"/>
      <c r="I203" s="269"/>
      <c r="R203" s="270"/>
      <c r="S203" s="269"/>
      <c r="T203" s="269"/>
      <c r="AP203" s="273"/>
      <c r="AQ203" s="273"/>
      <c r="AR203" s="273"/>
      <c r="AS203" s="273"/>
      <c r="AT203" s="273"/>
      <c r="AU203" s="273"/>
      <c r="AV203" s="273"/>
      <c r="AW203" s="273"/>
      <c r="AX203" s="273"/>
      <c r="AY203" s="273"/>
      <c r="AZ203" s="273"/>
      <c r="BA203" s="273"/>
      <c r="BB203" s="273"/>
      <c r="BC203" s="273"/>
      <c r="BD203" s="273"/>
      <c r="BE203" s="273"/>
      <c r="BF203" s="273"/>
      <c r="BG203" s="273"/>
      <c r="BH203" s="273"/>
      <c r="BI203" s="273"/>
      <c r="BJ203" s="273"/>
      <c r="BK203" s="273"/>
      <c r="BL203" s="273"/>
      <c r="BM203" s="273"/>
      <c r="BN203" s="273"/>
      <c r="BO203" s="273"/>
      <c r="BP203" s="273"/>
      <c r="BQ203" s="273"/>
      <c r="BR203" s="273"/>
      <c r="BS203" s="273"/>
      <c r="BT203" s="273"/>
      <c r="BU203" s="273"/>
      <c r="BV203" s="273"/>
      <c r="BW203" s="273"/>
      <c r="BX203" s="273"/>
      <c r="BY203" s="273"/>
      <c r="BZ203" s="273"/>
      <c r="CA203" s="273"/>
      <c r="CB203" s="273"/>
      <c r="CC203" s="273"/>
      <c r="CD203" s="273"/>
      <c r="CE203" s="273"/>
      <c r="CF203" s="273"/>
      <c r="CG203" s="273"/>
      <c r="CH203" s="273"/>
      <c r="CI203" s="273"/>
      <c r="CJ203" s="273"/>
      <c r="CK203" s="273"/>
      <c r="CL203" s="273"/>
      <c r="CM203" s="273"/>
      <c r="CN203" s="273"/>
      <c r="CO203" s="273"/>
      <c r="CP203" s="273"/>
      <c r="CQ203" s="273"/>
      <c r="CR203" s="273"/>
    </row>
    <row r="204" spans="1:96" s="258" customFormat="1" ht="12.75" x14ac:dyDescent="0.2">
      <c r="A204" s="268"/>
      <c r="B204" s="268"/>
      <c r="C204" s="267"/>
      <c r="D204" s="267"/>
      <c r="E204" s="268"/>
      <c r="F204" s="268"/>
      <c r="H204" s="269"/>
      <c r="I204" s="269"/>
      <c r="R204" s="270"/>
      <c r="S204" s="269"/>
      <c r="T204" s="269"/>
      <c r="AP204" s="273"/>
      <c r="AQ204" s="273"/>
      <c r="AR204" s="273"/>
      <c r="AS204" s="273"/>
      <c r="AT204" s="273"/>
      <c r="AU204" s="273"/>
      <c r="AV204" s="273"/>
      <c r="AW204" s="273"/>
      <c r="AX204" s="273"/>
      <c r="AY204" s="273"/>
      <c r="AZ204" s="273"/>
      <c r="BA204" s="273"/>
      <c r="BB204" s="273"/>
      <c r="BC204" s="273"/>
      <c r="BD204" s="273"/>
      <c r="BE204" s="273"/>
      <c r="BF204" s="273"/>
      <c r="BG204" s="273"/>
      <c r="BH204" s="273"/>
      <c r="BI204" s="273"/>
      <c r="BJ204" s="273"/>
      <c r="BK204" s="273"/>
      <c r="BL204" s="273"/>
      <c r="BM204" s="273"/>
      <c r="BN204" s="273"/>
      <c r="BO204" s="273"/>
      <c r="BP204" s="273"/>
      <c r="BQ204" s="273"/>
      <c r="BR204" s="273"/>
      <c r="BS204" s="273"/>
      <c r="BT204" s="273"/>
      <c r="BU204" s="273"/>
      <c r="BV204" s="273"/>
      <c r="BW204" s="273"/>
      <c r="BX204" s="273"/>
      <c r="BY204" s="273"/>
      <c r="BZ204" s="273"/>
      <c r="CA204" s="273"/>
      <c r="CB204" s="273"/>
      <c r="CC204" s="273"/>
      <c r="CD204" s="273"/>
      <c r="CE204" s="273"/>
      <c r="CF204" s="273"/>
      <c r="CG204" s="273"/>
      <c r="CH204" s="273"/>
      <c r="CI204" s="273"/>
      <c r="CJ204" s="273"/>
      <c r="CK204" s="273"/>
      <c r="CL204" s="273"/>
      <c r="CM204" s="273"/>
      <c r="CN204" s="273"/>
      <c r="CO204" s="273"/>
      <c r="CP204" s="273"/>
      <c r="CQ204" s="273"/>
      <c r="CR204" s="273"/>
    </row>
    <row r="205" spans="1:96" s="258" customFormat="1" ht="12.75" x14ac:dyDescent="0.2">
      <c r="A205" s="268"/>
      <c r="B205" s="268"/>
      <c r="C205" s="267"/>
      <c r="D205" s="267"/>
      <c r="E205" s="268"/>
      <c r="F205" s="268"/>
      <c r="H205" s="269"/>
      <c r="I205" s="269"/>
      <c r="R205" s="270"/>
      <c r="S205" s="269"/>
      <c r="T205" s="269"/>
      <c r="AP205" s="273"/>
      <c r="AQ205" s="273"/>
      <c r="AR205" s="273"/>
      <c r="AS205" s="273"/>
      <c r="AT205" s="273"/>
      <c r="AU205" s="273"/>
      <c r="AV205" s="273"/>
      <c r="AW205" s="273"/>
      <c r="AX205" s="273"/>
      <c r="AY205" s="273"/>
      <c r="AZ205" s="273"/>
      <c r="BA205" s="273"/>
      <c r="BB205" s="273"/>
      <c r="BC205" s="273"/>
      <c r="BD205" s="273"/>
      <c r="BE205" s="273"/>
      <c r="BF205" s="273"/>
      <c r="BG205" s="273"/>
      <c r="BH205" s="273"/>
      <c r="BI205" s="273"/>
      <c r="BJ205" s="273"/>
      <c r="BK205" s="273"/>
      <c r="BL205" s="273"/>
      <c r="BM205" s="273"/>
      <c r="BN205" s="273"/>
      <c r="BO205" s="273"/>
      <c r="BP205" s="273"/>
      <c r="BQ205" s="273"/>
      <c r="BR205" s="273"/>
      <c r="BS205" s="273"/>
      <c r="BT205" s="273"/>
      <c r="BU205" s="273"/>
      <c r="BV205" s="273"/>
      <c r="BW205" s="273"/>
      <c r="BX205" s="273"/>
      <c r="BY205" s="273"/>
      <c r="BZ205" s="273"/>
      <c r="CA205" s="273"/>
      <c r="CB205" s="273"/>
      <c r="CC205" s="273"/>
      <c r="CD205" s="273"/>
      <c r="CE205" s="273"/>
      <c r="CF205" s="273"/>
      <c r="CG205" s="273"/>
      <c r="CH205" s="273"/>
      <c r="CI205" s="273"/>
      <c r="CJ205" s="273"/>
      <c r="CK205" s="273"/>
      <c r="CL205" s="273"/>
      <c r="CM205" s="273"/>
      <c r="CN205" s="273"/>
      <c r="CO205" s="273"/>
      <c r="CP205" s="273"/>
      <c r="CQ205" s="273"/>
      <c r="CR205" s="273"/>
    </row>
    <row r="206" spans="1:96" s="258" customFormat="1" ht="12.75" x14ac:dyDescent="0.2">
      <c r="A206" s="268"/>
      <c r="B206" s="268"/>
      <c r="C206" s="267"/>
      <c r="D206" s="267"/>
      <c r="E206" s="268"/>
      <c r="F206" s="268"/>
      <c r="H206" s="269"/>
      <c r="I206" s="269"/>
      <c r="R206" s="270"/>
      <c r="S206" s="269"/>
      <c r="T206" s="269"/>
      <c r="AP206" s="273"/>
      <c r="AQ206" s="273"/>
      <c r="AR206" s="273"/>
      <c r="AS206" s="273"/>
      <c r="AT206" s="273"/>
      <c r="AU206" s="273"/>
      <c r="AV206" s="273"/>
      <c r="AW206" s="273"/>
      <c r="AX206" s="273"/>
      <c r="AY206" s="273"/>
      <c r="AZ206" s="273"/>
      <c r="BA206" s="273"/>
      <c r="BB206" s="273"/>
      <c r="BC206" s="273"/>
      <c r="BD206" s="273"/>
      <c r="BE206" s="273"/>
      <c r="BF206" s="273"/>
      <c r="BG206" s="273"/>
      <c r="BH206" s="273"/>
      <c r="BI206" s="273"/>
      <c r="BJ206" s="273"/>
      <c r="BK206" s="273"/>
      <c r="BL206" s="273"/>
      <c r="BM206" s="273"/>
      <c r="BN206" s="273"/>
      <c r="BO206" s="273"/>
      <c r="BP206" s="273"/>
      <c r="BQ206" s="273"/>
      <c r="BR206" s="273"/>
      <c r="BS206" s="273"/>
      <c r="BT206" s="273"/>
      <c r="BU206" s="273"/>
      <c r="BV206" s="273"/>
      <c r="BW206" s="273"/>
      <c r="BX206" s="273"/>
      <c r="BY206" s="273"/>
      <c r="BZ206" s="273"/>
      <c r="CA206" s="273"/>
      <c r="CB206" s="273"/>
      <c r="CC206" s="273"/>
      <c r="CD206" s="273"/>
      <c r="CE206" s="273"/>
      <c r="CF206" s="273"/>
      <c r="CG206" s="273"/>
      <c r="CH206" s="273"/>
      <c r="CI206" s="273"/>
      <c r="CJ206" s="273"/>
      <c r="CK206" s="273"/>
      <c r="CL206" s="273"/>
      <c r="CM206" s="273"/>
      <c r="CN206" s="273"/>
      <c r="CO206" s="273"/>
      <c r="CP206" s="273"/>
      <c r="CQ206" s="273"/>
      <c r="CR206" s="273"/>
    </row>
    <row r="207" spans="1:96" s="258" customFormat="1" ht="12.75" x14ac:dyDescent="0.2">
      <c r="A207" s="268"/>
      <c r="B207" s="268"/>
      <c r="C207" s="267"/>
      <c r="D207" s="267"/>
      <c r="E207" s="268"/>
      <c r="F207" s="268"/>
      <c r="H207" s="269"/>
      <c r="I207" s="269"/>
      <c r="R207" s="270"/>
      <c r="S207" s="269"/>
      <c r="T207" s="269"/>
      <c r="AP207" s="273"/>
      <c r="AQ207" s="273"/>
      <c r="AR207" s="273"/>
      <c r="AS207" s="273"/>
      <c r="AT207" s="273"/>
      <c r="AU207" s="273"/>
      <c r="AV207" s="273"/>
      <c r="AW207" s="273"/>
      <c r="AX207" s="273"/>
      <c r="AY207" s="273"/>
      <c r="AZ207" s="273"/>
      <c r="BA207" s="273"/>
      <c r="BB207" s="273"/>
      <c r="BC207" s="273"/>
      <c r="BD207" s="273"/>
      <c r="BE207" s="273"/>
      <c r="BF207" s="273"/>
      <c r="BG207" s="273"/>
      <c r="BH207" s="273"/>
      <c r="BI207" s="273"/>
      <c r="BJ207" s="273"/>
      <c r="BK207" s="273"/>
      <c r="BL207" s="273"/>
      <c r="BM207" s="273"/>
      <c r="BN207" s="273"/>
      <c r="BO207" s="273"/>
      <c r="BP207" s="273"/>
      <c r="BQ207" s="273"/>
      <c r="BR207" s="273"/>
      <c r="BS207" s="273"/>
      <c r="BT207" s="273"/>
      <c r="BU207" s="273"/>
      <c r="BV207" s="273"/>
      <c r="BW207" s="273"/>
      <c r="BX207" s="273"/>
      <c r="BY207" s="273"/>
      <c r="BZ207" s="273"/>
      <c r="CA207" s="273"/>
      <c r="CB207" s="273"/>
      <c r="CC207" s="273"/>
      <c r="CD207" s="273"/>
      <c r="CE207" s="273"/>
      <c r="CF207" s="273"/>
      <c r="CG207" s="273"/>
      <c r="CH207" s="273"/>
      <c r="CI207" s="273"/>
      <c r="CJ207" s="273"/>
      <c r="CK207" s="273"/>
      <c r="CL207" s="273"/>
      <c r="CM207" s="273"/>
      <c r="CN207" s="273"/>
      <c r="CO207" s="273"/>
      <c r="CP207" s="273"/>
      <c r="CQ207" s="273"/>
      <c r="CR207" s="273"/>
    </row>
    <row r="208" spans="1:96" s="258" customFormat="1" ht="12.75" x14ac:dyDescent="0.2">
      <c r="A208" s="268"/>
      <c r="B208" s="268"/>
      <c r="C208" s="267"/>
      <c r="D208" s="267"/>
      <c r="E208" s="268"/>
      <c r="F208" s="268"/>
      <c r="H208" s="269"/>
      <c r="I208" s="269"/>
      <c r="R208" s="270"/>
      <c r="S208" s="269"/>
      <c r="T208" s="269"/>
      <c r="AP208" s="273"/>
      <c r="AQ208" s="273"/>
      <c r="AR208" s="273"/>
      <c r="AS208" s="273"/>
      <c r="AT208" s="273"/>
      <c r="AU208" s="273"/>
      <c r="AV208" s="273"/>
      <c r="AW208" s="273"/>
      <c r="AX208" s="273"/>
      <c r="AY208" s="273"/>
      <c r="AZ208" s="273"/>
      <c r="BA208" s="273"/>
      <c r="BB208" s="273"/>
      <c r="BC208" s="273"/>
      <c r="BD208" s="273"/>
      <c r="BE208" s="273"/>
      <c r="BF208" s="273"/>
      <c r="BG208" s="273"/>
      <c r="BH208" s="273"/>
      <c r="BI208" s="273"/>
      <c r="BJ208" s="273"/>
      <c r="BK208" s="273"/>
      <c r="BL208" s="273"/>
      <c r="BM208" s="273"/>
      <c r="BN208" s="273"/>
      <c r="BO208" s="273"/>
      <c r="BP208" s="273"/>
      <c r="BQ208" s="273"/>
      <c r="BR208" s="273"/>
      <c r="BS208" s="273"/>
      <c r="BT208" s="273"/>
      <c r="BU208" s="273"/>
      <c r="BV208" s="273"/>
      <c r="BW208" s="273"/>
      <c r="BX208" s="273"/>
      <c r="BY208" s="273"/>
      <c r="BZ208" s="273"/>
      <c r="CA208" s="273"/>
      <c r="CB208" s="273"/>
      <c r="CC208" s="273"/>
      <c r="CD208" s="273"/>
      <c r="CE208" s="273"/>
      <c r="CF208" s="273"/>
      <c r="CG208" s="273"/>
      <c r="CH208" s="273"/>
      <c r="CI208" s="273"/>
      <c r="CJ208" s="273"/>
      <c r="CK208" s="273"/>
      <c r="CL208" s="273"/>
      <c r="CM208" s="273"/>
      <c r="CN208" s="273"/>
      <c r="CO208" s="273"/>
      <c r="CP208" s="273"/>
      <c r="CQ208" s="273"/>
      <c r="CR208" s="273"/>
    </row>
  </sheetData>
  <autoFilter ref="A6:BG102"/>
  <mergeCells count="305">
    <mergeCell ref="H49:H54"/>
    <mergeCell ref="I49:I54"/>
    <mergeCell ref="J49:J54"/>
    <mergeCell ref="A55:A60"/>
    <mergeCell ref="C55:C60"/>
    <mergeCell ref="D55:D60"/>
    <mergeCell ref="A49:A54"/>
    <mergeCell ref="C49:C54"/>
    <mergeCell ref="D49:D54"/>
    <mergeCell ref="E49:E54"/>
    <mergeCell ref="F49:F54"/>
    <mergeCell ref="G49:G54"/>
    <mergeCell ref="M7:M12"/>
    <mergeCell ref="N7:N12"/>
    <mergeCell ref="P7:P12"/>
    <mergeCell ref="L7:L12"/>
    <mergeCell ref="AI3:AI6"/>
    <mergeCell ref="AJ3:AJ6"/>
    <mergeCell ref="S3:S6"/>
    <mergeCell ref="U3:U6"/>
    <mergeCell ref="V3:AA3"/>
    <mergeCell ref="AB3:AB6"/>
    <mergeCell ref="AC3:AC6"/>
    <mergeCell ref="AD3:AD6"/>
    <mergeCell ref="M3:M6"/>
    <mergeCell ref="N3:N6"/>
    <mergeCell ref="P3:P6"/>
    <mergeCell ref="N97:N102"/>
    <mergeCell ref="P97:P102"/>
    <mergeCell ref="F97:F102"/>
    <mergeCell ref="G97:G102"/>
    <mergeCell ref="H97:H102"/>
    <mergeCell ref="I97:I102"/>
    <mergeCell ref="J97:J102"/>
    <mergeCell ref="K97:K102"/>
    <mergeCell ref="E55:E60"/>
    <mergeCell ref="F55:F60"/>
    <mergeCell ref="G55:G60"/>
    <mergeCell ref="H55:H60"/>
    <mergeCell ref="I55:I60"/>
    <mergeCell ref="J55:J60"/>
    <mergeCell ref="K55:K60"/>
    <mergeCell ref="L55:L60"/>
    <mergeCell ref="M55:M60"/>
    <mergeCell ref="N55:N60"/>
    <mergeCell ref="O55:O60"/>
    <mergeCell ref="P55:P60"/>
    <mergeCell ref="M91:M96"/>
    <mergeCell ref="N91:N96"/>
    <mergeCell ref="P91:P96"/>
    <mergeCell ref="L91:L96"/>
    <mergeCell ref="A97:A102"/>
    <mergeCell ref="C97:C102"/>
    <mergeCell ref="D97:D102"/>
    <mergeCell ref="E97:E102"/>
    <mergeCell ref="G91:G96"/>
    <mergeCell ref="H91:H96"/>
    <mergeCell ref="I91:I96"/>
    <mergeCell ref="J91:J96"/>
    <mergeCell ref="K91:K96"/>
    <mergeCell ref="A91:A96"/>
    <mergeCell ref="C91:C96"/>
    <mergeCell ref="D91:D96"/>
    <mergeCell ref="E91:E96"/>
    <mergeCell ref="F91:F96"/>
    <mergeCell ref="K79:K84"/>
    <mergeCell ref="M85:M90"/>
    <mergeCell ref="N85:N90"/>
    <mergeCell ref="P85:P90"/>
    <mergeCell ref="L85:L90"/>
    <mergeCell ref="P79:P84"/>
    <mergeCell ref="G85:G90"/>
    <mergeCell ref="H85:H90"/>
    <mergeCell ref="I85:I90"/>
    <mergeCell ref="J85:J90"/>
    <mergeCell ref="K85:K90"/>
    <mergeCell ref="O79:O84"/>
    <mergeCell ref="O85:O90"/>
    <mergeCell ref="A85:A90"/>
    <mergeCell ref="C85:C90"/>
    <mergeCell ref="D85:D90"/>
    <mergeCell ref="E85:E90"/>
    <mergeCell ref="F85:F90"/>
    <mergeCell ref="G67:G72"/>
    <mergeCell ref="H67:H72"/>
    <mergeCell ref="I67:I72"/>
    <mergeCell ref="J67:J72"/>
    <mergeCell ref="A67:A72"/>
    <mergeCell ref="C67:C72"/>
    <mergeCell ref="D67:D72"/>
    <mergeCell ref="E67:E72"/>
    <mergeCell ref="A79:A84"/>
    <mergeCell ref="C79:C84"/>
    <mergeCell ref="D79:D84"/>
    <mergeCell ref="E79:E84"/>
    <mergeCell ref="A73:A78"/>
    <mergeCell ref="C73:C78"/>
    <mergeCell ref="D73:D78"/>
    <mergeCell ref="E73:E78"/>
    <mergeCell ref="F79:F84"/>
    <mergeCell ref="G79:G84"/>
    <mergeCell ref="H79:H84"/>
    <mergeCell ref="P73:P78"/>
    <mergeCell ref="F73:F78"/>
    <mergeCell ref="G73:G78"/>
    <mergeCell ref="H73:H78"/>
    <mergeCell ref="I73:I78"/>
    <mergeCell ref="J73:J78"/>
    <mergeCell ref="K73:K78"/>
    <mergeCell ref="P67:P72"/>
    <mergeCell ref="F67:F72"/>
    <mergeCell ref="A61:A66"/>
    <mergeCell ref="C61:C66"/>
    <mergeCell ref="D61:D66"/>
    <mergeCell ref="E61:E66"/>
    <mergeCell ref="G7:G12"/>
    <mergeCell ref="H7:H12"/>
    <mergeCell ref="I7:I12"/>
    <mergeCell ref="J7:J12"/>
    <mergeCell ref="K7:K12"/>
    <mergeCell ref="A7:A12"/>
    <mergeCell ref="C7:C12"/>
    <mergeCell ref="D7:D12"/>
    <mergeCell ref="E7:E12"/>
    <mergeCell ref="F7:F12"/>
    <mergeCell ref="D25:D30"/>
    <mergeCell ref="E25:E30"/>
    <mergeCell ref="F25:F30"/>
    <mergeCell ref="G25:G30"/>
    <mergeCell ref="E43:E48"/>
    <mergeCell ref="F43:F48"/>
    <mergeCell ref="G43:G48"/>
    <mergeCell ref="H43:H48"/>
    <mergeCell ref="I43:I48"/>
    <mergeCell ref="J43:J48"/>
    <mergeCell ref="AL3:AL6"/>
    <mergeCell ref="AM3:AM6"/>
    <mergeCell ref="AN3:AN6"/>
    <mergeCell ref="AO3:AO6"/>
    <mergeCell ref="AE3:AE6"/>
    <mergeCell ref="AF3:AF6"/>
    <mergeCell ref="AG3:AG6"/>
    <mergeCell ref="AH3:AH6"/>
    <mergeCell ref="P61:P66"/>
    <mergeCell ref="V4:V6"/>
    <mergeCell ref="W4:W6"/>
    <mergeCell ref="X4:X6"/>
    <mergeCell ref="Y4:Y6"/>
    <mergeCell ref="Z4:Z6"/>
    <mergeCell ref="AA4:AA6"/>
    <mergeCell ref="P25:P30"/>
    <mergeCell ref="P19:P24"/>
    <mergeCell ref="P13:P18"/>
    <mergeCell ref="T3:T6"/>
    <mergeCell ref="P49:P54"/>
    <mergeCell ref="A2:J2"/>
    <mergeCell ref="K2:P2"/>
    <mergeCell ref="Q2:AA2"/>
    <mergeCell ref="AB2:AH2"/>
    <mergeCell ref="AI2:AL2"/>
    <mergeCell ref="AM2:AO2"/>
    <mergeCell ref="A1:AO1"/>
    <mergeCell ref="O7:O12"/>
    <mergeCell ref="Q3:Q6"/>
    <mergeCell ref="R3:R6"/>
    <mergeCell ref="H3:H6"/>
    <mergeCell ref="I3:I6"/>
    <mergeCell ref="J3:J6"/>
    <mergeCell ref="K3:K6"/>
    <mergeCell ref="L3:L6"/>
    <mergeCell ref="A3:A6"/>
    <mergeCell ref="C3:C6"/>
    <mergeCell ref="D3:D6"/>
    <mergeCell ref="E3:F4"/>
    <mergeCell ref="G3:G6"/>
    <mergeCell ref="E5:E6"/>
    <mergeCell ref="F5:F6"/>
    <mergeCell ref="B3:B6"/>
    <mergeCell ref="AK3:AK6"/>
    <mergeCell ref="O91:O96"/>
    <mergeCell ref="O97:O102"/>
    <mergeCell ref="H61:H66"/>
    <mergeCell ref="I61:I66"/>
    <mergeCell ref="J61:J66"/>
    <mergeCell ref="K61:K66"/>
    <mergeCell ref="M67:M72"/>
    <mergeCell ref="N67:N72"/>
    <mergeCell ref="L67:L72"/>
    <mergeCell ref="L73:L78"/>
    <mergeCell ref="L79:L84"/>
    <mergeCell ref="M79:M84"/>
    <mergeCell ref="N79:N84"/>
    <mergeCell ref="L61:L66"/>
    <mergeCell ref="M61:M66"/>
    <mergeCell ref="N61:N66"/>
    <mergeCell ref="L97:L102"/>
    <mergeCell ref="M97:M102"/>
    <mergeCell ref="K67:K72"/>
    <mergeCell ref="O61:O66"/>
    <mergeCell ref="M73:M78"/>
    <mergeCell ref="N73:N78"/>
    <mergeCell ref="I79:I84"/>
    <mergeCell ref="J79:J84"/>
    <mergeCell ref="D19:D24"/>
    <mergeCell ref="E19:E24"/>
    <mergeCell ref="F19:F24"/>
    <mergeCell ref="G19:G24"/>
    <mergeCell ref="H19:H24"/>
    <mergeCell ref="I19:I24"/>
    <mergeCell ref="J19:J24"/>
    <mergeCell ref="O67:O72"/>
    <mergeCell ref="O73:O78"/>
    <mergeCell ref="F61:F66"/>
    <mergeCell ref="G61:G66"/>
    <mergeCell ref="K49:K54"/>
    <mergeCell ref="L49:L54"/>
    <mergeCell ref="M49:M54"/>
    <mergeCell ref="O25:O30"/>
    <mergeCell ref="K19:K24"/>
    <mergeCell ref="L19:L24"/>
    <mergeCell ref="M19:M24"/>
    <mergeCell ref="N19:N24"/>
    <mergeCell ref="O19:O24"/>
    <mergeCell ref="K43:K48"/>
    <mergeCell ref="L43:L48"/>
    <mergeCell ref="N49:N54"/>
    <mergeCell ref="O49:O54"/>
    <mergeCell ref="A25:A30"/>
    <mergeCell ref="C25:C30"/>
    <mergeCell ref="K25:K30"/>
    <mergeCell ref="L25:L30"/>
    <mergeCell ref="M25:M30"/>
    <mergeCell ref="H25:H30"/>
    <mergeCell ref="I25:I30"/>
    <mergeCell ref="N13:N18"/>
    <mergeCell ref="O13:O18"/>
    <mergeCell ref="A13:A18"/>
    <mergeCell ref="C13:C18"/>
    <mergeCell ref="D13:D18"/>
    <mergeCell ref="E13:E18"/>
    <mergeCell ref="F13:F18"/>
    <mergeCell ref="G13:G18"/>
    <mergeCell ref="H13:H18"/>
    <mergeCell ref="I13:I18"/>
    <mergeCell ref="J13:J18"/>
    <mergeCell ref="K13:K18"/>
    <mergeCell ref="L13:L18"/>
    <mergeCell ref="M13:M18"/>
    <mergeCell ref="J25:J30"/>
    <mergeCell ref="A19:A24"/>
    <mergeCell ref="C19:C24"/>
    <mergeCell ref="K31:K36"/>
    <mergeCell ref="L31:L36"/>
    <mergeCell ref="M31:M36"/>
    <mergeCell ref="N43:N48"/>
    <mergeCell ref="N31:N36"/>
    <mergeCell ref="N25:N30"/>
    <mergeCell ref="O43:O48"/>
    <mergeCell ref="P43:P48"/>
    <mergeCell ref="K37:K42"/>
    <mergeCell ref="L37:L42"/>
    <mergeCell ref="M37:M42"/>
    <mergeCell ref="N37:N42"/>
    <mergeCell ref="O37:O42"/>
    <mergeCell ref="P37:P42"/>
    <mergeCell ref="A43:A48"/>
    <mergeCell ref="C43:C48"/>
    <mergeCell ref="D43:D48"/>
    <mergeCell ref="O31:O36"/>
    <mergeCell ref="P31:P36"/>
    <mergeCell ref="A31:A36"/>
    <mergeCell ref="C31:C36"/>
    <mergeCell ref="D31:D36"/>
    <mergeCell ref="E31:E36"/>
    <mergeCell ref="F31:F36"/>
    <mergeCell ref="G31:G36"/>
    <mergeCell ref="H31:H36"/>
    <mergeCell ref="I31:I36"/>
    <mergeCell ref="J31:J36"/>
    <mergeCell ref="A37:A42"/>
    <mergeCell ref="C37:C42"/>
    <mergeCell ref="D37:D42"/>
    <mergeCell ref="E37:E42"/>
    <mergeCell ref="F37:F42"/>
    <mergeCell ref="G37:G42"/>
    <mergeCell ref="H37:H42"/>
    <mergeCell ref="I37:I42"/>
    <mergeCell ref="J37:J42"/>
    <mergeCell ref="M43:M48"/>
    <mergeCell ref="B61:B66"/>
    <mergeCell ref="B67:B72"/>
    <mergeCell ref="B73:B78"/>
    <mergeCell ref="B79:B84"/>
    <mergeCell ref="B85:B90"/>
    <mergeCell ref="B91:B96"/>
    <mergeCell ref="B97:B102"/>
    <mergeCell ref="B7:B12"/>
    <mergeCell ref="B13:B18"/>
    <mergeCell ref="B19:B24"/>
    <mergeCell ref="B25:B30"/>
    <mergeCell ref="B31:B36"/>
    <mergeCell ref="B37:B42"/>
    <mergeCell ref="B43:B48"/>
    <mergeCell ref="B49:B54"/>
    <mergeCell ref="B55:B60"/>
  </mergeCells>
  <conditionalFormatting sqref="AC79:AC84">
    <cfRule type="cellIs" dxfId="510" priority="857" operator="equal">
      <formula>"Muy Alta"</formula>
    </cfRule>
    <cfRule type="cellIs" dxfId="509" priority="858" operator="equal">
      <formula>"Alta"</formula>
    </cfRule>
    <cfRule type="cellIs" dxfId="508" priority="859" operator="equal">
      <formula>"Media"</formula>
    </cfRule>
    <cfRule type="cellIs" dxfId="507" priority="860" operator="equal">
      <formula>"Baja"</formula>
    </cfRule>
    <cfRule type="cellIs" dxfId="506" priority="861" operator="equal">
      <formula>"Muy Baja"</formula>
    </cfRule>
  </conditionalFormatting>
  <conditionalFormatting sqref="AE79:AE84">
    <cfRule type="cellIs" dxfId="505" priority="852" operator="equal">
      <formula>"Catastrófico"</formula>
    </cfRule>
    <cfRule type="cellIs" dxfId="504" priority="853" operator="equal">
      <formula>"Mayor"</formula>
    </cfRule>
    <cfRule type="cellIs" dxfId="503" priority="854" operator="equal">
      <formula>"Moderado"</formula>
    </cfRule>
    <cfRule type="cellIs" dxfId="502" priority="855" operator="equal">
      <formula>"Menor"</formula>
    </cfRule>
    <cfRule type="cellIs" dxfId="501" priority="856" operator="equal">
      <formula>"Leve"</formula>
    </cfRule>
  </conditionalFormatting>
  <conditionalFormatting sqref="AG79:AG84">
    <cfRule type="cellIs" dxfId="500" priority="848" operator="equal">
      <formula>"Extremo"</formula>
    </cfRule>
    <cfRule type="cellIs" dxfId="499" priority="849" operator="equal">
      <formula>"Alto"</formula>
    </cfRule>
    <cfRule type="cellIs" dxfId="498" priority="850" operator="equal">
      <formula>"Moderado"</formula>
    </cfRule>
    <cfRule type="cellIs" dxfId="497" priority="851" operator="equal">
      <formula>"Bajo"</formula>
    </cfRule>
  </conditionalFormatting>
  <conditionalFormatting sqref="AC85:AC90">
    <cfRule type="cellIs" dxfId="496" priority="839" operator="equal">
      <formula>"Muy Alta"</formula>
    </cfRule>
    <cfRule type="cellIs" dxfId="495" priority="840" operator="equal">
      <formula>"Alta"</formula>
    </cfRule>
    <cfRule type="cellIs" dxfId="494" priority="841" operator="equal">
      <formula>"Media"</formula>
    </cfRule>
    <cfRule type="cellIs" dxfId="493" priority="842" operator="equal">
      <formula>"Baja"</formula>
    </cfRule>
    <cfRule type="cellIs" dxfId="492" priority="843" operator="equal">
      <formula>"Muy Baja"</formula>
    </cfRule>
  </conditionalFormatting>
  <conditionalFormatting sqref="AE85:AE90">
    <cfRule type="cellIs" dxfId="491" priority="834" operator="equal">
      <formula>"Catastrófico"</formula>
    </cfRule>
    <cfRule type="cellIs" dxfId="490" priority="835" operator="equal">
      <formula>"Mayor"</formula>
    </cfRule>
    <cfRule type="cellIs" dxfId="489" priority="836" operator="equal">
      <formula>"Moderado"</formula>
    </cfRule>
    <cfRule type="cellIs" dxfId="488" priority="837" operator="equal">
      <formula>"Menor"</formula>
    </cfRule>
    <cfRule type="cellIs" dxfId="487" priority="838" operator="equal">
      <formula>"Leve"</formula>
    </cfRule>
  </conditionalFormatting>
  <conditionalFormatting sqref="AG85:AG90">
    <cfRule type="cellIs" dxfId="486" priority="830" operator="equal">
      <formula>"Extremo"</formula>
    </cfRule>
    <cfRule type="cellIs" dxfId="485" priority="831" operator="equal">
      <formula>"Alto"</formula>
    </cfRule>
    <cfRule type="cellIs" dxfId="484" priority="832" operator="equal">
      <formula>"Moderado"</formula>
    </cfRule>
    <cfRule type="cellIs" dxfId="483" priority="833" operator="equal">
      <formula>"Bajo"</formula>
    </cfRule>
  </conditionalFormatting>
  <conditionalFormatting sqref="AC91:AC96">
    <cfRule type="cellIs" dxfId="482" priority="803" operator="equal">
      <formula>"Muy Alta"</formula>
    </cfRule>
    <cfRule type="cellIs" dxfId="481" priority="804" operator="equal">
      <formula>"Alta"</formula>
    </cfRule>
    <cfRule type="cellIs" dxfId="480" priority="805" operator="equal">
      <formula>"Media"</formula>
    </cfRule>
    <cfRule type="cellIs" dxfId="479" priority="806" operator="equal">
      <formula>"Baja"</formula>
    </cfRule>
    <cfRule type="cellIs" dxfId="478" priority="807" operator="equal">
      <formula>"Muy Baja"</formula>
    </cfRule>
  </conditionalFormatting>
  <conditionalFormatting sqref="AE91:AE96">
    <cfRule type="cellIs" dxfId="477" priority="798" operator="equal">
      <formula>"Catastrófico"</formula>
    </cfRule>
    <cfRule type="cellIs" dxfId="476" priority="799" operator="equal">
      <formula>"Mayor"</formula>
    </cfRule>
    <cfRule type="cellIs" dxfId="475" priority="800" operator="equal">
      <formula>"Moderado"</formula>
    </cfRule>
    <cfRule type="cellIs" dxfId="474" priority="801" operator="equal">
      <formula>"Menor"</formula>
    </cfRule>
    <cfRule type="cellIs" dxfId="473" priority="802" operator="equal">
      <formula>"Leve"</formula>
    </cfRule>
  </conditionalFormatting>
  <conditionalFormatting sqref="AG91:AG96">
    <cfRule type="cellIs" dxfId="472" priority="794" operator="equal">
      <formula>"Extremo"</formula>
    </cfRule>
    <cfRule type="cellIs" dxfId="471" priority="795" operator="equal">
      <formula>"Alto"</formula>
    </cfRule>
    <cfRule type="cellIs" dxfId="470" priority="796" operator="equal">
      <formula>"Moderado"</formula>
    </cfRule>
    <cfRule type="cellIs" dxfId="469" priority="797" operator="equal">
      <formula>"Bajo"</formula>
    </cfRule>
  </conditionalFormatting>
  <conditionalFormatting sqref="AC97:AC102">
    <cfRule type="cellIs" dxfId="468" priority="785" operator="equal">
      <formula>"Muy Alta"</formula>
    </cfRule>
    <cfRule type="cellIs" dxfId="467" priority="786" operator="equal">
      <formula>"Alta"</formula>
    </cfRule>
    <cfRule type="cellIs" dxfId="466" priority="787" operator="equal">
      <formula>"Media"</formula>
    </cfRule>
    <cfRule type="cellIs" dxfId="465" priority="788" operator="equal">
      <formula>"Baja"</formula>
    </cfRule>
    <cfRule type="cellIs" dxfId="464" priority="789" operator="equal">
      <formula>"Muy Baja"</formula>
    </cfRule>
  </conditionalFormatting>
  <conditionalFormatting sqref="AE97:AE102">
    <cfRule type="cellIs" dxfId="463" priority="780" operator="equal">
      <formula>"Catastrófico"</formula>
    </cfRule>
    <cfRule type="cellIs" dxfId="462" priority="781" operator="equal">
      <formula>"Mayor"</formula>
    </cfRule>
    <cfRule type="cellIs" dxfId="461" priority="782" operator="equal">
      <formula>"Moderado"</formula>
    </cfRule>
    <cfRule type="cellIs" dxfId="460" priority="783" operator="equal">
      <formula>"Menor"</formula>
    </cfRule>
    <cfRule type="cellIs" dxfId="459" priority="784" operator="equal">
      <formula>"Leve"</formula>
    </cfRule>
  </conditionalFormatting>
  <conditionalFormatting sqref="AG97:AG102">
    <cfRule type="cellIs" dxfId="458" priority="776" operator="equal">
      <formula>"Extremo"</formula>
    </cfRule>
    <cfRule type="cellIs" dxfId="457" priority="777" operator="equal">
      <formula>"Alto"</formula>
    </cfRule>
    <cfRule type="cellIs" dxfId="456" priority="778" operator="equal">
      <formula>"Moderado"</formula>
    </cfRule>
    <cfRule type="cellIs" dxfId="455" priority="779" operator="equal">
      <formula>"Bajo"</formula>
    </cfRule>
  </conditionalFormatting>
  <conditionalFormatting sqref="AC73:AC78">
    <cfRule type="cellIs" dxfId="454" priority="693" operator="equal">
      <formula>"Muy Alta"</formula>
    </cfRule>
    <cfRule type="cellIs" dxfId="453" priority="694" operator="equal">
      <formula>"Alta"</formula>
    </cfRule>
    <cfRule type="cellIs" dxfId="452" priority="695" operator="equal">
      <formula>"Media"</formula>
    </cfRule>
    <cfRule type="cellIs" dxfId="451" priority="696" operator="equal">
      <formula>"Baja"</formula>
    </cfRule>
    <cfRule type="cellIs" dxfId="450" priority="697" operator="equal">
      <formula>"Muy Baja"</formula>
    </cfRule>
  </conditionalFormatting>
  <conditionalFormatting sqref="AE73:AE78">
    <cfRule type="cellIs" dxfId="449" priority="688" operator="equal">
      <formula>"Catastrófico"</formula>
    </cfRule>
    <cfRule type="cellIs" dxfId="448" priority="689" operator="equal">
      <formula>"Mayor"</formula>
    </cfRule>
    <cfRule type="cellIs" dxfId="447" priority="690" operator="equal">
      <formula>"Moderado"</formula>
    </cfRule>
    <cfRule type="cellIs" dxfId="446" priority="691" operator="equal">
      <formula>"Menor"</formula>
    </cfRule>
    <cfRule type="cellIs" dxfId="445" priority="692" operator="equal">
      <formula>"Leve"</formula>
    </cfRule>
  </conditionalFormatting>
  <conditionalFormatting sqref="AG73:AG78">
    <cfRule type="cellIs" dxfId="444" priority="684" operator="equal">
      <formula>"Extremo"</formula>
    </cfRule>
    <cfRule type="cellIs" dxfId="443" priority="685" operator="equal">
      <formula>"Alto"</formula>
    </cfRule>
    <cfRule type="cellIs" dxfId="442" priority="686" operator="equal">
      <formula>"Moderado"</formula>
    </cfRule>
    <cfRule type="cellIs" dxfId="441" priority="687" operator="equal">
      <formula>"Bajo"</formula>
    </cfRule>
  </conditionalFormatting>
  <conditionalFormatting sqref="AC67:AC72">
    <cfRule type="cellIs" dxfId="440" priority="646" operator="equal">
      <formula>"Muy Alta"</formula>
    </cfRule>
    <cfRule type="cellIs" dxfId="439" priority="647" operator="equal">
      <formula>"Alta"</formula>
    </cfRule>
    <cfRule type="cellIs" dxfId="438" priority="648" operator="equal">
      <formula>"Media"</formula>
    </cfRule>
    <cfRule type="cellIs" dxfId="437" priority="649" operator="equal">
      <formula>"Baja"</formula>
    </cfRule>
    <cfRule type="cellIs" dxfId="436" priority="650" operator="equal">
      <formula>"Muy Baja"</formula>
    </cfRule>
  </conditionalFormatting>
  <conditionalFormatting sqref="AE67:AE72">
    <cfRule type="cellIs" dxfId="435" priority="641" operator="equal">
      <formula>"Catastrófico"</formula>
    </cfRule>
    <cfRule type="cellIs" dxfId="434" priority="642" operator="equal">
      <formula>"Mayor"</formula>
    </cfRule>
    <cfRule type="cellIs" dxfId="433" priority="643" operator="equal">
      <formula>"Moderado"</formula>
    </cfRule>
    <cfRule type="cellIs" dxfId="432" priority="644" operator="equal">
      <formula>"Menor"</formula>
    </cfRule>
    <cfRule type="cellIs" dxfId="431" priority="645" operator="equal">
      <formula>"Leve"</formula>
    </cfRule>
  </conditionalFormatting>
  <conditionalFormatting sqref="AG67:AG72">
    <cfRule type="cellIs" dxfId="430" priority="637" operator="equal">
      <formula>"Extremo"</formula>
    </cfRule>
    <cfRule type="cellIs" dxfId="429" priority="638" operator="equal">
      <formula>"Alto"</formula>
    </cfRule>
    <cfRule type="cellIs" dxfId="428" priority="639" operator="equal">
      <formula>"Moderado"</formula>
    </cfRule>
    <cfRule type="cellIs" dxfId="427" priority="640" operator="equal">
      <formula>"Bajo"</formula>
    </cfRule>
  </conditionalFormatting>
  <conditionalFormatting sqref="AC61:AC66">
    <cfRule type="cellIs" dxfId="426" priority="599" operator="equal">
      <formula>"Muy Alta"</formula>
    </cfRule>
    <cfRule type="cellIs" dxfId="425" priority="600" operator="equal">
      <formula>"Alta"</formula>
    </cfRule>
    <cfRule type="cellIs" dxfId="424" priority="601" operator="equal">
      <formula>"Media"</formula>
    </cfRule>
    <cfRule type="cellIs" dxfId="423" priority="602" operator="equal">
      <formula>"Baja"</formula>
    </cfRule>
    <cfRule type="cellIs" dxfId="422" priority="603" operator="equal">
      <formula>"Muy Baja"</formula>
    </cfRule>
  </conditionalFormatting>
  <conditionalFormatting sqref="AE61:AE66">
    <cfRule type="cellIs" dxfId="421" priority="594" operator="equal">
      <formula>"Catastrófico"</formula>
    </cfRule>
    <cfRule type="cellIs" dxfId="420" priority="595" operator="equal">
      <formula>"Mayor"</formula>
    </cfRule>
    <cfRule type="cellIs" dxfId="419" priority="596" operator="equal">
      <formula>"Moderado"</formula>
    </cfRule>
    <cfRule type="cellIs" dxfId="418" priority="597" operator="equal">
      <formula>"Menor"</formula>
    </cfRule>
    <cfRule type="cellIs" dxfId="417" priority="598" operator="equal">
      <formula>"Leve"</formula>
    </cfRule>
  </conditionalFormatting>
  <conditionalFormatting sqref="AG61:AG66">
    <cfRule type="cellIs" dxfId="416" priority="590" operator="equal">
      <formula>"Extremo"</formula>
    </cfRule>
    <cfRule type="cellIs" dxfId="415" priority="591" operator="equal">
      <formula>"Alto"</formula>
    </cfRule>
    <cfRule type="cellIs" dxfId="414" priority="592" operator="equal">
      <formula>"Moderado"</formula>
    </cfRule>
    <cfRule type="cellIs" dxfId="413" priority="593" operator="equal">
      <formula>"Bajo"</formula>
    </cfRule>
  </conditionalFormatting>
  <conditionalFormatting sqref="K7 K61 K67 K73 K79 K85 K91 K97">
    <cfRule type="cellIs" dxfId="412" priority="566" operator="equal">
      <formula>"Muy Alta"</formula>
    </cfRule>
    <cfRule type="cellIs" dxfId="411" priority="567" operator="equal">
      <formula>"Alta"</formula>
    </cfRule>
    <cfRule type="cellIs" dxfId="410" priority="568" operator="equal">
      <formula>"Media"</formula>
    </cfRule>
    <cfRule type="cellIs" dxfId="409" priority="569" operator="equal">
      <formula>"Baja"</formula>
    </cfRule>
    <cfRule type="cellIs" dxfId="408" priority="570" operator="equal">
      <formula>"Muy Baja"</formula>
    </cfRule>
  </conditionalFormatting>
  <conditionalFormatting sqref="M7 M61 M73 M79 M85 M91 M97 M67">
    <cfRule type="cellIs" dxfId="407" priority="561" operator="equal">
      <formula>"Catastrófico"</formula>
    </cfRule>
    <cfRule type="cellIs" dxfId="406" priority="562" operator="equal">
      <formula>"Mayor"</formula>
    </cfRule>
    <cfRule type="cellIs" dxfId="405" priority="563" operator="equal">
      <formula>"Moderado"</formula>
    </cfRule>
    <cfRule type="cellIs" dxfId="404" priority="564" operator="equal">
      <formula>"Menor"</formula>
    </cfRule>
    <cfRule type="cellIs" dxfId="403" priority="565" operator="equal">
      <formula>"Leve"</formula>
    </cfRule>
  </conditionalFormatting>
  <conditionalFormatting sqref="P7 P61 P67 P73 P79 P85 P91 P97">
    <cfRule type="cellIs" dxfId="402" priority="557" operator="equal">
      <formula>"Extremo"</formula>
    </cfRule>
    <cfRule type="cellIs" dxfId="401" priority="558" operator="equal">
      <formula>"Alto"</formula>
    </cfRule>
    <cfRule type="cellIs" dxfId="400" priority="559" operator="equal">
      <formula>"Moderado"</formula>
    </cfRule>
    <cfRule type="cellIs" dxfId="399" priority="560" operator="equal">
      <formula>"Bajo"</formula>
    </cfRule>
  </conditionalFormatting>
  <conditionalFormatting sqref="AC7:AC12">
    <cfRule type="cellIs" dxfId="398" priority="552" operator="equal">
      <formula>"Muy Alta"</formula>
    </cfRule>
    <cfRule type="cellIs" dxfId="397" priority="553" operator="equal">
      <formula>"Alta"</formula>
    </cfRule>
    <cfRule type="cellIs" dxfId="396" priority="554" operator="equal">
      <formula>"Media"</formula>
    </cfRule>
    <cfRule type="cellIs" dxfId="395" priority="555" operator="equal">
      <formula>"Baja"</formula>
    </cfRule>
    <cfRule type="cellIs" dxfId="394" priority="556" operator="equal">
      <formula>"Muy Baja"</formula>
    </cfRule>
  </conditionalFormatting>
  <conditionalFormatting sqref="AE7:AE12">
    <cfRule type="cellIs" dxfId="393" priority="547" operator="equal">
      <formula>"Catastrófico"</formula>
    </cfRule>
    <cfRule type="cellIs" dxfId="392" priority="548" operator="equal">
      <formula>"Mayor"</formula>
    </cfRule>
    <cfRule type="cellIs" dxfId="391" priority="549" operator="equal">
      <formula>"Moderado"</formula>
    </cfRule>
    <cfRule type="cellIs" dxfId="390" priority="550" operator="equal">
      <formula>"Menor"</formula>
    </cfRule>
    <cfRule type="cellIs" dxfId="389" priority="551" operator="equal">
      <formula>"Leve"</formula>
    </cfRule>
  </conditionalFormatting>
  <conditionalFormatting sqref="AG7:AG12">
    <cfRule type="cellIs" dxfId="388" priority="543" operator="equal">
      <formula>"Extremo"</formula>
    </cfRule>
    <cfRule type="cellIs" dxfId="387" priority="544" operator="equal">
      <formula>"Alto"</formula>
    </cfRule>
    <cfRule type="cellIs" dxfId="386" priority="545" operator="equal">
      <formula>"Moderado"</formula>
    </cfRule>
    <cfRule type="cellIs" dxfId="385" priority="546" operator="equal">
      <formula>"Bajo"</formula>
    </cfRule>
  </conditionalFormatting>
  <conditionalFormatting sqref="C67 C73 C79 C85 C91 C97 C7 C61">
    <cfRule type="cellIs" dxfId="384" priority="524" operator="equal">
      <formula>#REF!</formula>
    </cfRule>
    <cfRule type="cellIs" dxfId="383" priority="525" operator="equal">
      <formula>#REF!</formula>
    </cfRule>
    <cfRule type="cellIs" dxfId="382" priority="526" operator="equal">
      <formula>#REF!</formula>
    </cfRule>
    <cfRule type="cellIs" dxfId="381" priority="527" operator="equal">
      <formula>#REF!</formula>
    </cfRule>
    <cfRule type="cellIs" dxfId="380" priority="528" operator="equal">
      <formula>#REF!</formula>
    </cfRule>
    <cfRule type="cellIs" dxfId="379" priority="529" operator="equal">
      <formula>#REF!</formula>
    </cfRule>
    <cfRule type="cellIs" dxfId="378" priority="530" operator="equal">
      <formula>#REF!</formula>
    </cfRule>
    <cfRule type="cellIs" dxfId="377" priority="531" operator="equal">
      <formula>#REF!</formula>
    </cfRule>
    <cfRule type="cellIs" dxfId="376" priority="532" operator="equal">
      <formula>#REF!</formula>
    </cfRule>
    <cfRule type="cellIs" dxfId="375" priority="533" operator="equal">
      <formula>#REF!</formula>
    </cfRule>
    <cfRule type="cellIs" dxfId="374" priority="534" operator="equal">
      <formula>#REF!</formula>
    </cfRule>
    <cfRule type="cellIs" dxfId="373" priority="535" operator="equal">
      <formula>#REF!</formula>
    </cfRule>
    <cfRule type="cellIs" dxfId="372" priority="536" operator="equal">
      <formula>#REF!</formula>
    </cfRule>
    <cfRule type="cellIs" dxfId="371" priority="537" operator="equal">
      <formula>#REF!</formula>
    </cfRule>
    <cfRule type="cellIs" dxfId="370" priority="538" operator="equal">
      <formula>#REF!</formula>
    </cfRule>
    <cfRule type="cellIs" dxfId="369" priority="539" operator="equal">
      <formula>#REF!</formula>
    </cfRule>
    <cfRule type="cellIs" dxfId="368" priority="540" operator="equal">
      <formula>#REF!</formula>
    </cfRule>
    <cfRule type="cellIs" dxfId="367" priority="541" operator="equal">
      <formula>#REF!</formula>
    </cfRule>
  </conditionalFormatting>
  <conditionalFormatting sqref="AC25:AC30">
    <cfRule type="cellIs" dxfId="366" priority="473" operator="equal">
      <formula>"Muy Alta"</formula>
    </cfRule>
    <cfRule type="cellIs" dxfId="365" priority="474" operator="equal">
      <formula>"Alta"</formula>
    </cfRule>
    <cfRule type="cellIs" dxfId="364" priority="475" operator="equal">
      <formula>"Media"</formula>
    </cfRule>
    <cfRule type="cellIs" dxfId="363" priority="476" operator="equal">
      <formula>"Baja"</formula>
    </cfRule>
    <cfRule type="cellIs" dxfId="362" priority="477" operator="equal">
      <formula>"Muy Baja"</formula>
    </cfRule>
  </conditionalFormatting>
  <conditionalFormatting sqref="AE25:AE30">
    <cfRule type="cellIs" dxfId="361" priority="468" operator="equal">
      <formula>"Catastrófico"</formula>
    </cfRule>
    <cfRule type="cellIs" dxfId="360" priority="469" operator="equal">
      <formula>"Mayor"</formula>
    </cfRule>
    <cfRule type="cellIs" dxfId="359" priority="470" operator="equal">
      <formula>"Moderado"</formula>
    </cfRule>
    <cfRule type="cellIs" dxfId="358" priority="471" operator="equal">
      <formula>"Menor"</formula>
    </cfRule>
    <cfRule type="cellIs" dxfId="357" priority="472" operator="equal">
      <formula>"Leve"</formula>
    </cfRule>
  </conditionalFormatting>
  <conditionalFormatting sqref="AG25:AG30">
    <cfRule type="cellIs" dxfId="356" priority="464" operator="equal">
      <formula>"Extremo"</formula>
    </cfRule>
    <cfRule type="cellIs" dxfId="355" priority="465" operator="equal">
      <formula>"Alto"</formula>
    </cfRule>
    <cfRule type="cellIs" dxfId="354" priority="466" operator="equal">
      <formula>"Moderado"</formula>
    </cfRule>
    <cfRule type="cellIs" dxfId="353" priority="467" operator="equal">
      <formula>"Bajo"</formula>
    </cfRule>
  </conditionalFormatting>
  <conditionalFormatting sqref="K25">
    <cfRule type="cellIs" dxfId="352" priority="459" operator="equal">
      <formula>"Muy Alta"</formula>
    </cfRule>
    <cfRule type="cellIs" dxfId="351" priority="460" operator="equal">
      <formula>"Alta"</formula>
    </cfRule>
    <cfRule type="cellIs" dxfId="350" priority="461" operator="equal">
      <formula>"Media"</formula>
    </cfRule>
    <cfRule type="cellIs" dxfId="349" priority="462" operator="equal">
      <formula>"Baja"</formula>
    </cfRule>
    <cfRule type="cellIs" dxfId="348" priority="463" operator="equal">
      <formula>"Muy Baja"</formula>
    </cfRule>
  </conditionalFormatting>
  <conditionalFormatting sqref="M25">
    <cfRule type="cellIs" dxfId="347" priority="454" operator="equal">
      <formula>"Catastrófico"</formula>
    </cfRule>
    <cfRule type="cellIs" dxfId="346" priority="455" operator="equal">
      <formula>"Mayor"</formula>
    </cfRule>
    <cfRule type="cellIs" dxfId="345" priority="456" operator="equal">
      <formula>"Moderado"</formula>
    </cfRule>
    <cfRule type="cellIs" dxfId="344" priority="457" operator="equal">
      <formula>"Menor"</formula>
    </cfRule>
    <cfRule type="cellIs" dxfId="343" priority="458" operator="equal">
      <formula>"Leve"</formula>
    </cfRule>
  </conditionalFormatting>
  <conditionalFormatting sqref="P25">
    <cfRule type="cellIs" dxfId="342" priority="450" operator="equal">
      <formula>"Extremo"</formula>
    </cfRule>
    <cfRule type="cellIs" dxfId="341" priority="451" operator="equal">
      <formula>"Alto"</formula>
    </cfRule>
    <cfRule type="cellIs" dxfId="340" priority="452" operator="equal">
      <formula>"Moderado"</formula>
    </cfRule>
    <cfRule type="cellIs" dxfId="339" priority="453" operator="equal">
      <formula>"Bajo"</formula>
    </cfRule>
  </conditionalFormatting>
  <conditionalFormatting sqref="C25">
    <cfRule type="cellIs" dxfId="338" priority="432" operator="equal">
      <formula>#REF!</formula>
    </cfRule>
    <cfRule type="cellIs" dxfId="337" priority="433" operator="equal">
      <formula>#REF!</formula>
    </cfRule>
    <cfRule type="cellIs" dxfId="336" priority="434" operator="equal">
      <formula>#REF!</formula>
    </cfRule>
    <cfRule type="cellIs" dxfId="335" priority="435" operator="equal">
      <formula>#REF!</formula>
    </cfRule>
    <cfRule type="cellIs" dxfId="334" priority="436" operator="equal">
      <formula>#REF!</formula>
    </cfRule>
    <cfRule type="cellIs" dxfId="333" priority="437" operator="equal">
      <formula>#REF!</formula>
    </cfRule>
    <cfRule type="cellIs" dxfId="332" priority="438" operator="equal">
      <formula>#REF!</formula>
    </cfRule>
    <cfRule type="cellIs" dxfId="331" priority="439" operator="equal">
      <formula>#REF!</formula>
    </cfRule>
    <cfRule type="cellIs" dxfId="330" priority="440" operator="equal">
      <formula>#REF!</formula>
    </cfRule>
    <cfRule type="cellIs" dxfId="329" priority="441" operator="equal">
      <formula>#REF!</formula>
    </cfRule>
    <cfRule type="cellIs" dxfId="328" priority="442" operator="equal">
      <formula>#REF!</formula>
    </cfRule>
    <cfRule type="cellIs" dxfId="327" priority="443" operator="equal">
      <formula>#REF!</formula>
    </cfRule>
    <cfRule type="cellIs" dxfId="326" priority="444" operator="equal">
      <formula>#REF!</formula>
    </cfRule>
    <cfRule type="cellIs" dxfId="325" priority="445" operator="equal">
      <formula>#REF!</formula>
    </cfRule>
    <cfRule type="cellIs" dxfId="324" priority="446" operator="equal">
      <formula>#REF!</formula>
    </cfRule>
    <cfRule type="cellIs" dxfId="323" priority="447" operator="equal">
      <formula>#REF!</formula>
    </cfRule>
    <cfRule type="cellIs" dxfId="322" priority="448" operator="equal">
      <formula>#REF!</formula>
    </cfRule>
    <cfRule type="cellIs" dxfId="321" priority="449" operator="equal">
      <formula>#REF!</formula>
    </cfRule>
  </conditionalFormatting>
  <conditionalFormatting sqref="AC19:AC24">
    <cfRule type="cellIs" dxfId="320" priority="427" operator="equal">
      <formula>"Muy Alta"</formula>
    </cfRule>
    <cfRule type="cellIs" dxfId="319" priority="428" operator="equal">
      <formula>"Alta"</formula>
    </cfRule>
    <cfRule type="cellIs" dxfId="318" priority="429" operator="equal">
      <formula>"Media"</formula>
    </cfRule>
    <cfRule type="cellIs" dxfId="317" priority="430" operator="equal">
      <formula>"Baja"</formula>
    </cfRule>
    <cfRule type="cellIs" dxfId="316" priority="431" operator="equal">
      <formula>"Muy Baja"</formula>
    </cfRule>
  </conditionalFormatting>
  <conditionalFormatting sqref="AE19:AE24">
    <cfRule type="cellIs" dxfId="315" priority="422" operator="equal">
      <formula>"Catastrófico"</formula>
    </cfRule>
    <cfRule type="cellIs" dxfId="314" priority="423" operator="equal">
      <formula>"Mayor"</formula>
    </cfRule>
    <cfRule type="cellIs" dxfId="313" priority="424" operator="equal">
      <formula>"Moderado"</formula>
    </cfRule>
    <cfRule type="cellIs" dxfId="312" priority="425" operator="equal">
      <formula>"Menor"</formula>
    </cfRule>
    <cfRule type="cellIs" dxfId="311" priority="426" operator="equal">
      <formula>"Leve"</formula>
    </cfRule>
  </conditionalFormatting>
  <conditionalFormatting sqref="AG19:AG24">
    <cfRule type="cellIs" dxfId="310" priority="418" operator="equal">
      <formula>"Extremo"</formula>
    </cfRule>
    <cfRule type="cellIs" dxfId="309" priority="419" operator="equal">
      <formula>"Alto"</formula>
    </cfRule>
    <cfRule type="cellIs" dxfId="308" priority="420" operator="equal">
      <formula>"Moderado"</formula>
    </cfRule>
    <cfRule type="cellIs" dxfId="307" priority="421" operator="equal">
      <formula>"Bajo"</formula>
    </cfRule>
  </conditionalFormatting>
  <conditionalFormatting sqref="K19">
    <cfRule type="cellIs" dxfId="306" priority="413" operator="equal">
      <formula>"Muy Alta"</formula>
    </cfRule>
    <cfRule type="cellIs" dxfId="305" priority="414" operator="equal">
      <formula>"Alta"</formula>
    </cfRule>
    <cfRule type="cellIs" dxfId="304" priority="415" operator="equal">
      <formula>"Media"</formula>
    </cfRule>
    <cfRule type="cellIs" dxfId="303" priority="416" operator="equal">
      <formula>"Baja"</formula>
    </cfRule>
    <cfRule type="cellIs" dxfId="302" priority="417" operator="equal">
      <formula>"Muy Baja"</formula>
    </cfRule>
  </conditionalFormatting>
  <conditionalFormatting sqref="M19">
    <cfRule type="cellIs" dxfId="301" priority="408" operator="equal">
      <formula>"Catastrófico"</formula>
    </cfRule>
    <cfRule type="cellIs" dxfId="300" priority="409" operator="equal">
      <formula>"Mayor"</formula>
    </cfRule>
    <cfRule type="cellIs" dxfId="299" priority="410" operator="equal">
      <formula>"Moderado"</formula>
    </cfRule>
    <cfRule type="cellIs" dxfId="298" priority="411" operator="equal">
      <formula>"Menor"</formula>
    </cfRule>
    <cfRule type="cellIs" dxfId="297" priority="412" operator="equal">
      <formula>"Leve"</formula>
    </cfRule>
  </conditionalFormatting>
  <conditionalFormatting sqref="P19">
    <cfRule type="cellIs" dxfId="296" priority="404" operator="equal">
      <formula>"Extremo"</formula>
    </cfRule>
    <cfRule type="cellIs" dxfId="295" priority="405" operator="equal">
      <formula>"Alto"</formula>
    </cfRule>
    <cfRule type="cellIs" dxfId="294" priority="406" operator="equal">
      <formula>"Moderado"</formula>
    </cfRule>
    <cfRule type="cellIs" dxfId="293" priority="407" operator="equal">
      <formula>"Bajo"</formula>
    </cfRule>
  </conditionalFormatting>
  <conditionalFormatting sqref="AC43:AC48">
    <cfRule type="cellIs" dxfId="292" priority="335" operator="equal">
      <formula>"Muy Alta"</formula>
    </cfRule>
    <cfRule type="cellIs" dxfId="291" priority="336" operator="equal">
      <formula>"Alta"</formula>
    </cfRule>
    <cfRule type="cellIs" dxfId="290" priority="337" operator="equal">
      <formula>"Media"</formula>
    </cfRule>
    <cfRule type="cellIs" dxfId="289" priority="338" operator="equal">
      <formula>"Baja"</formula>
    </cfRule>
    <cfRule type="cellIs" dxfId="288" priority="339" operator="equal">
      <formula>"Muy Baja"</formula>
    </cfRule>
  </conditionalFormatting>
  <conditionalFormatting sqref="AE43:AE48">
    <cfRule type="cellIs" dxfId="287" priority="330" operator="equal">
      <formula>"Catastrófico"</formula>
    </cfRule>
    <cfRule type="cellIs" dxfId="286" priority="331" operator="equal">
      <formula>"Mayor"</formula>
    </cfRule>
    <cfRule type="cellIs" dxfId="285" priority="332" operator="equal">
      <formula>"Moderado"</formula>
    </cfRule>
    <cfRule type="cellIs" dxfId="284" priority="333" operator="equal">
      <formula>"Menor"</formula>
    </cfRule>
    <cfRule type="cellIs" dxfId="283" priority="334" operator="equal">
      <formula>"Leve"</formula>
    </cfRule>
  </conditionalFormatting>
  <conditionalFormatting sqref="AG43:AG48">
    <cfRule type="cellIs" dxfId="282" priority="326" operator="equal">
      <formula>"Extremo"</formula>
    </cfRule>
    <cfRule type="cellIs" dxfId="281" priority="327" operator="equal">
      <formula>"Alto"</formula>
    </cfRule>
    <cfRule type="cellIs" dxfId="280" priority="328" operator="equal">
      <formula>"Moderado"</formula>
    </cfRule>
    <cfRule type="cellIs" dxfId="279" priority="329" operator="equal">
      <formula>"Bajo"</formula>
    </cfRule>
  </conditionalFormatting>
  <conditionalFormatting sqref="K43">
    <cfRule type="cellIs" dxfId="278" priority="321" operator="equal">
      <formula>"Muy Alta"</formula>
    </cfRule>
    <cfRule type="cellIs" dxfId="277" priority="322" operator="equal">
      <formula>"Alta"</formula>
    </cfRule>
    <cfRule type="cellIs" dxfId="276" priority="323" operator="equal">
      <formula>"Media"</formula>
    </cfRule>
    <cfRule type="cellIs" dxfId="275" priority="324" operator="equal">
      <formula>"Baja"</formula>
    </cfRule>
    <cfRule type="cellIs" dxfId="274" priority="325" operator="equal">
      <formula>"Muy Baja"</formula>
    </cfRule>
  </conditionalFormatting>
  <conditionalFormatting sqref="M43">
    <cfRule type="cellIs" dxfId="273" priority="316" operator="equal">
      <formula>"Catastrófico"</formula>
    </cfRule>
    <cfRule type="cellIs" dxfId="272" priority="317" operator="equal">
      <formula>"Mayor"</formula>
    </cfRule>
    <cfRule type="cellIs" dxfId="271" priority="318" operator="equal">
      <formula>"Moderado"</formula>
    </cfRule>
    <cfRule type="cellIs" dxfId="270" priority="319" operator="equal">
      <formula>"Menor"</formula>
    </cfRule>
    <cfRule type="cellIs" dxfId="269" priority="320" operator="equal">
      <formula>"Leve"</formula>
    </cfRule>
  </conditionalFormatting>
  <conditionalFormatting sqref="P43">
    <cfRule type="cellIs" dxfId="268" priority="312" operator="equal">
      <formula>"Extremo"</formula>
    </cfRule>
    <cfRule type="cellIs" dxfId="267" priority="313" operator="equal">
      <formula>"Alto"</formula>
    </cfRule>
    <cfRule type="cellIs" dxfId="266" priority="314" operator="equal">
      <formula>"Moderado"</formula>
    </cfRule>
    <cfRule type="cellIs" dxfId="265" priority="315" operator="equal">
      <formula>"Bajo"</formula>
    </cfRule>
  </conditionalFormatting>
  <conditionalFormatting sqref="C43">
    <cfRule type="cellIs" dxfId="264" priority="294" operator="equal">
      <formula>#REF!</formula>
    </cfRule>
    <cfRule type="cellIs" dxfId="263" priority="295" operator="equal">
      <formula>#REF!</formula>
    </cfRule>
    <cfRule type="cellIs" dxfId="262" priority="296" operator="equal">
      <formula>#REF!</formula>
    </cfRule>
    <cfRule type="cellIs" dxfId="261" priority="297" operator="equal">
      <formula>#REF!</formula>
    </cfRule>
    <cfRule type="cellIs" dxfId="260" priority="298" operator="equal">
      <formula>#REF!</formula>
    </cfRule>
    <cfRule type="cellIs" dxfId="259" priority="299" operator="equal">
      <formula>#REF!</formula>
    </cfRule>
    <cfRule type="cellIs" dxfId="258" priority="300" operator="equal">
      <formula>#REF!</formula>
    </cfRule>
    <cfRule type="cellIs" dxfId="257" priority="301" operator="equal">
      <formula>#REF!</formula>
    </cfRule>
    <cfRule type="cellIs" dxfId="256" priority="302" operator="equal">
      <formula>#REF!</formula>
    </cfRule>
    <cfRule type="cellIs" dxfId="255" priority="303" operator="equal">
      <formula>#REF!</formula>
    </cfRule>
    <cfRule type="cellIs" dxfId="254" priority="304" operator="equal">
      <formula>#REF!</formula>
    </cfRule>
    <cfRule type="cellIs" dxfId="253" priority="305" operator="equal">
      <formula>#REF!</formula>
    </cfRule>
    <cfRule type="cellIs" dxfId="252" priority="306" operator="equal">
      <formula>#REF!</formula>
    </cfRule>
    <cfRule type="cellIs" dxfId="251" priority="307" operator="equal">
      <formula>#REF!</formula>
    </cfRule>
    <cfRule type="cellIs" dxfId="250" priority="308" operator="equal">
      <formula>#REF!</formula>
    </cfRule>
    <cfRule type="cellIs" dxfId="249" priority="309" operator="equal">
      <formula>#REF!</formula>
    </cfRule>
    <cfRule type="cellIs" dxfId="248" priority="310" operator="equal">
      <formula>#REF!</formula>
    </cfRule>
    <cfRule type="cellIs" dxfId="247" priority="311" operator="equal">
      <formula>#REF!</formula>
    </cfRule>
  </conditionalFormatting>
  <conditionalFormatting sqref="AC37:AC42">
    <cfRule type="cellIs" dxfId="246" priority="289" operator="equal">
      <formula>"Muy Alta"</formula>
    </cfRule>
    <cfRule type="cellIs" dxfId="245" priority="290" operator="equal">
      <formula>"Alta"</formula>
    </cfRule>
    <cfRule type="cellIs" dxfId="244" priority="291" operator="equal">
      <formula>"Media"</formula>
    </cfRule>
    <cfRule type="cellIs" dxfId="243" priority="292" operator="equal">
      <formula>"Baja"</formula>
    </cfRule>
    <cfRule type="cellIs" dxfId="242" priority="293" operator="equal">
      <formula>"Muy Baja"</formula>
    </cfRule>
  </conditionalFormatting>
  <conditionalFormatting sqref="AE37:AE42">
    <cfRule type="cellIs" dxfId="241" priority="284" operator="equal">
      <formula>"Catastrófico"</formula>
    </cfRule>
    <cfRule type="cellIs" dxfId="240" priority="285" operator="equal">
      <formula>"Mayor"</formula>
    </cfRule>
    <cfRule type="cellIs" dxfId="239" priority="286" operator="equal">
      <formula>"Moderado"</formula>
    </cfRule>
    <cfRule type="cellIs" dxfId="238" priority="287" operator="equal">
      <formula>"Menor"</formula>
    </cfRule>
    <cfRule type="cellIs" dxfId="237" priority="288" operator="equal">
      <formula>"Leve"</formula>
    </cfRule>
  </conditionalFormatting>
  <conditionalFormatting sqref="AG37:AG42">
    <cfRule type="cellIs" dxfId="236" priority="280" operator="equal">
      <formula>"Extremo"</formula>
    </cfRule>
    <cfRule type="cellIs" dxfId="235" priority="281" operator="equal">
      <formula>"Alto"</formula>
    </cfRule>
    <cfRule type="cellIs" dxfId="234" priority="282" operator="equal">
      <formula>"Moderado"</formula>
    </cfRule>
    <cfRule type="cellIs" dxfId="233" priority="283" operator="equal">
      <formula>"Bajo"</formula>
    </cfRule>
  </conditionalFormatting>
  <conditionalFormatting sqref="K37">
    <cfRule type="cellIs" dxfId="232" priority="275" operator="equal">
      <formula>"Muy Alta"</formula>
    </cfRule>
    <cfRule type="cellIs" dxfId="231" priority="276" operator="equal">
      <formula>"Alta"</formula>
    </cfRule>
    <cfRule type="cellIs" dxfId="230" priority="277" operator="equal">
      <formula>"Media"</formula>
    </cfRule>
    <cfRule type="cellIs" dxfId="229" priority="278" operator="equal">
      <formula>"Baja"</formula>
    </cfRule>
    <cfRule type="cellIs" dxfId="228" priority="279" operator="equal">
      <formula>"Muy Baja"</formula>
    </cfRule>
  </conditionalFormatting>
  <conditionalFormatting sqref="M37">
    <cfRule type="cellIs" dxfId="227" priority="270" operator="equal">
      <formula>"Catastrófico"</formula>
    </cfRule>
    <cfRule type="cellIs" dxfId="226" priority="271" operator="equal">
      <formula>"Mayor"</formula>
    </cfRule>
    <cfRule type="cellIs" dxfId="225" priority="272" operator="equal">
      <formula>"Moderado"</formula>
    </cfRule>
    <cfRule type="cellIs" dxfId="224" priority="273" operator="equal">
      <formula>"Menor"</formula>
    </cfRule>
    <cfRule type="cellIs" dxfId="223" priority="274" operator="equal">
      <formula>"Leve"</formula>
    </cfRule>
  </conditionalFormatting>
  <conditionalFormatting sqref="P37">
    <cfRule type="cellIs" dxfId="222" priority="266" operator="equal">
      <formula>"Extremo"</formula>
    </cfRule>
    <cfRule type="cellIs" dxfId="221" priority="267" operator="equal">
      <formula>"Alto"</formula>
    </cfRule>
    <cfRule type="cellIs" dxfId="220" priority="268" operator="equal">
      <formula>"Moderado"</formula>
    </cfRule>
    <cfRule type="cellIs" dxfId="219" priority="269" operator="equal">
      <formula>"Bajo"</formula>
    </cfRule>
  </conditionalFormatting>
  <conditionalFormatting sqref="C37">
    <cfRule type="cellIs" dxfId="218" priority="248" operator="equal">
      <formula>#REF!</formula>
    </cfRule>
    <cfRule type="cellIs" dxfId="217" priority="249" operator="equal">
      <formula>#REF!</formula>
    </cfRule>
    <cfRule type="cellIs" dxfId="216" priority="250" operator="equal">
      <formula>#REF!</formula>
    </cfRule>
    <cfRule type="cellIs" dxfId="215" priority="251" operator="equal">
      <formula>#REF!</formula>
    </cfRule>
    <cfRule type="cellIs" dxfId="214" priority="252" operator="equal">
      <formula>#REF!</formula>
    </cfRule>
    <cfRule type="cellIs" dxfId="213" priority="253" operator="equal">
      <formula>#REF!</formula>
    </cfRule>
    <cfRule type="cellIs" dxfId="212" priority="254" operator="equal">
      <formula>#REF!</formula>
    </cfRule>
    <cfRule type="cellIs" dxfId="211" priority="255" operator="equal">
      <formula>#REF!</formula>
    </cfRule>
    <cfRule type="cellIs" dxfId="210" priority="256" operator="equal">
      <formula>#REF!</formula>
    </cfRule>
    <cfRule type="cellIs" dxfId="209" priority="257" operator="equal">
      <formula>#REF!</formula>
    </cfRule>
    <cfRule type="cellIs" dxfId="208" priority="258" operator="equal">
      <formula>#REF!</formula>
    </cfRule>
    <cfRule type="cellIs" dxfId="207" priority="259" operator="equal">
      <formula>#REF!</formula>
    </cfRule>
    <cfRule type="cellIs" dxfId="206" priority="260" operator="equal">
      <formula>#REF!</formula>
    </cfRule>
    <cfRule type="cellIs" dxfId="205" priority="261" operator="equal">
      <formula>#REF!</formula>
    </cfRule>
    <cfRule type="cellIs" dxfId="204" priority="262" operator="equal">
      <formula>#REF!</formula>
    </cfRule>
    <cfRule type="cellIs" dxfId="203" priority="263" operator="equal">
      <formula>#REF!</formula>
    </cfRule>
    <cfRule type="cellIs" dxfId="202" priority="264" operator="equal">
      <formula>#REF!</formula>
    </cfRule>
    <cfRule type="cellIs" dxfId="201" priority="265" operator="equal">
      <formula>#REF!</formula>
    </cfRule>
  </conditionalFormatting>
  <conditionalFormatting sqref="AC31:AC36">
    <cfRule type="cellIs" dxfId="200" priority="243" operator="equal">
      <formula>"Muy Alta"</formula>
    </cfRule>
    <cfRule type="cellIs" dxfId="199" priority="244" operator="equal">
      <formula>"Alta"</formula>
    </cfRule>
    <cfRule type="cellIs" dxfId="198" priority="245" operator="equal">
      <formula>"Media"</formula>
    </cfRule>
    <cfRule type="cellIs" dxfId="197" priority="246" operator="equal">
      <formula>"Baja"</formula>
    </cfRule>
    <cfRule type="cellIs" dxfId="196" priority="247" operator="equal">
      <formula>"Muy Baja"</formula>
    </cfRule>
  </conditionalFormatting>
  <conditionalFormatting sqref="AE31:AE36">
    <cfRule type="cellIs" dxfId="195" priority="238" operator="equal">
      <formula>"Catastrófico"</formula>
    </cfRule>
    <cfRule type="cellIs" dxfId="194" priority="239" operator="equal">
      <formula>"Mayor"</formula>
    </cfRule>
    <cfRule type="cellIs" dxfId="193" priority="240" operator="equal">
      <formula>"Moderado"</formula>
    </cfRule>
    <cfRule type="cellIs" dxfId="192" priority="241" operator="equal">
      <formula>"Menor"</formula>
    </cfRule>
    <cfRule type="cellIs" dxfId="191" priority="242" operator="equal">
      <formula>"Leve"</formula>
    </cfRule>
  </conditionalFormatting>
  <conditionalFormatting sqref="AG31:AG36">
    <cfRule type="cellIs" dxfId="190" priority="234" operator="equal">
      <formula>"Extremo"</formula>
    </cfRule>
    <cfRule type="cellIs" dxfId="189" priority="235" operator="equal">
      <formula>"Alto"</formula>
    </cfRule>
    <cfRule type="cellIs" dxfId="188" priority="236" operator="equal">
      <formula>"Moderado"</formula>
    </cfRule>
    <cfRule type="cellIs" dxfId="187" priority="237" operator="equal">
      <formula>"Bajo"</formula>
    </cfRule>
  </conditionalFormatting>
  <conditionalFormatting sqref="K31">
    <cfRule type="cellIs" dxfId="186" priority="229" operator="equal">
      <formula>"Muy Alta"</formula>
    </cfRule>
    <cfRule type="cellIs" dxfId="185" priority="230" operator="equal">
      <formula>"Alta"</formula>
    </cfRule>
    <cfRule type="cellIs" dxfId="184" priority="231" operator="equal">
      <formula>"Media"</formula>
    </cfRule>
    <cfRule type="cellIs" dxfId="183" priority="232" operator="equal">
      <formula>"Baja"</formula>
    </cfRule>
    <cfRule type="cellIs" dxfId="182" priority="233" operator="equal">
      <formula>"Muy Baja"</formula>
    </cfRule>
  </conditionalFormatting>
  <conditionalFormatting sqref="M31">
    <cfRule type="cellIs" dxfId="181" priority="224" operator="equal">
      <formula>"Catastrófico"</formula>
    </cfRule>
    <cfRule type="cellIs" dxfId="180" priority="225" operator="equal">
      <formula>"Mayor"</formula>
    </cfRule>
    <cfRule type="cellIs" dxfId="179" priority="226" operator="equal">
      <formula>"Moderado"</formula>
    </cfRule>
    <cfRule type="cellIs" dxfId="178" priority="227" operator="equal">
      <formula>"Menor"</formula>
    </cfRule>
    <cfRule type="cellIs" dxfId="177" priority="228" operator="equal">
      <formula>"Leve"</formula>
    </cfRule>
  </conditionalFormatting>
  <conditionalFormatting sqref="P31">
    <cfRule type="cellIs" dxfId="176" priority="220" operator="equal">
      <formula>"Extremo"</formula>
    </cfRule>
    <cfRule type="cellIs" dxfId="175" priority="221" operator="equal">
      <formula>"Alto"</formula>
    </cfRule>
    <cfRule type="cellIs" dxfId="174" priority="222" operator="equal">
      <formula>"Moderado"</formula>
    </cfRule>
    <cfRule type="cellIs" dxfId="173" priority="223" operator="equal">
      <formula>"Bajo"</formula>
    </cfRule>
  </conditionalFormatting>
  <conditionalFormatting sqref="C31">
    <cfRule type="cellIs" dxfId="172" priority="202" operator="equal">
      <formula>#REF!</formula>
    </cfRule>
    <cfRule type="cellIs" dxfId="171" priority="203" operator="equal">
      <formula>#REF!</formula>
    </cfRule>
    <cfRule type="cellIs" dxfId="170" priority="204" operator="equal">
      <formula>#REF!</formula>
    </cfRule>
    <cfRule type="cellIs" dxfId="169" priority="205" operator="equal">
      <formula>#REF!</formula>
    </cfRule>
    <cfRule type="cellIs" dxfId="168" priority="206" operator="equal">
      <formula>#REF!</formula>
    </cfRule>
    <cfRule type="cellIs" dxfId="167" priority="207" operator="equal">
      <formula>#REF!</formula>
    </cfRule>
    <cfRule type="cellIs" dxfId="166" priority="208" operator="equal">
      <formula>#REF!</formula>
    </cfRule>
    <cfRule type="cellIs" dxfId="165" priority="209" operator="equal">
      <formula>#REF!</formula>
    </cfRule>
    <cfRule type="cellIs" dxfId="164" priority="210" operator="equal">
      <formula>#REF!</formula>
    </cfRule>
    <cfRule type="cellIs" dxfId="163" priority="211" operator="equal">
      <formula>#REF!</formula>
    </cfRule>
    <cfRule type="cellIs" dxfId="162" priority="212" operator="equal">
      <formula>#REF!</formula>
    </cfRule>
    <cfRule type="cellIs" dxfId="161" priority="213" operator="equal">
      <formula>#REF!</formula>
    </cfRule>
    <cfRule type="cellIs" dxfId="160" priority="214" operator="equal">
      <formula>#REF!</formula>
    </cfRule>
    <cfRule type="cellIs" dxfId="159" priority="215" operator="equal">
      <formula>#REF!</formula>
    </cfRule>
    <cfRule type="cellIs" dxfId="158" priority="216" operator="equal">
      <formula>#REF!</formula>
    </cfRule>
    <cfRule type="cellIs" dxfId="157" priority="217" operator="equal">
      <formula>#REF!</formula>
    </cfRule>
    <cfRule type="cellIs" dxfId="156" priority="218" operator="equal">
      <formula>#REF!</formula>
    </cfRule>
    <cfRule type="cellIs" dxfId="155" priority="219" operator="equal">
      <formula>#REF!</formula>
    </cfRule>
  </conditionalFormatting>
  <conditionalFormatting sqref="AC55:AC60">
    <cfRule type="cellIs" dxfId="154" priority="197" operator="equal">
      <formula>"Muy Alta"</formula>
    </cfRule>
    <cfRule type="cellIs" dxfId="153" priority="198" operator="equal">
      <formula>"Alta"</formula>
    </cfRule>
    <cfRule type="cellIs" dxfId="152" priority="199" operator="equal">
      <formula>"Media"</formula>
    </cfRule>
    <cfRule type="cellIs" dxfId="151" priority="200" operator="equal">
      <formula>"Baja"</formula>
    </cfRule>
    <cfRule type="cellIs" dxfId="150" priority="201" operator="equal">
      <formula>"Muy Baja"</formula>
    </cfRule>
  </conditionalFormatting>
  <conditionalFormatting sqref="AE55:AE60">
    <cfRule type="cellIs" dxfId="149" priority="192" operator="equal">
      <formula>"Catastrófico"</formula>
    </cfRule>
    <cfRule type="cellIs" dxfId="148" priority="193" operator="equal">
      <formula>"Mayor"</formula>
    </cfRule>
    <cfRule type="cellIs" dxfId="147" priority="194" operator="equal">
      <formula>"Moderado"</formula>
    </cfRule>
    <cfRule type="cellIs" dxfId="146" priority="195" operator="equal">
      <formula>"Menor"</formula>
    </cfRule>
    <cfRule type="cellIs" dxfId="145" priority="196" operator="equal">
      <formula>"Leve"</formula>
    </cfRule>
  </conditionalFormatting>
  <conditionalFormatting sqref="AG55:AG60">
    <cfRule type="cellIs" dxfId="144" priority="188" operator="equal">
      <formula>"Extremo"</formula>
    </cfRule>
    <cfRule type="cellIs" dxfId="143" priority="189" operator="equal">
      <formula>"Alto"</formula>
    </cfRule>
    <cfRule type="cellIs" dxfId="142" priority="190" operator="equal">
      <formula>"Moderado"</formula>
    </cfRule>
    <cfRule type="cellIs" dxfId="141" priority="191" operator="equal">
      <formula>"Bajo"</formula>
    </cfRule>
  </conditionalFormatting>
  <conditionalFormatting sqref="K55">
    <cfRule type="cellIs" dxfId="140" priority="183" operator="equal">
      <formula>"Muy Alta"</formula>
    </cfRule>
    <cfRule type="cellIs" dxfId="139" priority="184" operator="equal">
      <formula>"Alta"</formula>
    </cfRule>
    <cfRule type="cellIs" dxfId="138" priority="185" operator="equal">
      <formula>"Media"</formula>
    </cfRule>
    <cfRule type="cellIs" dxfId="137" priority="186" operator="equal">
      <formula>"Baja"</formula>
    </cfRule>
    <cfRule type="cellIs" dxfId="136" priority="187" operator="equal">
      <formula>"Muy Baja"</formula>
    </cfRule>
  </conditionalFormatting>
  <conditionalFormatting sqref="M55">
    <cfRule type="cellIs" dxfId="135" priority="178" operator="equal">
      <formula>"Catastrófico"</formula>
    </cfRule>
    <cfRule type="cellIs" dxfId="134" priority="179" operator="equal">
      <formula>"Mayor"</formula>
    </cfRule>
    <cfRule type="cellIs" dxfId="133" priority="180" operator="equal">
      <formula>"Moderado"</formula>
    </cfRule>
    <cfRule type="cellIs" dxfId="132" priority="181" operator="equal">
      <formula>"Menor"</formula>
    </cfRule>
    <cfRule type="cellIs" dxfId="131" priority="182" operator="equal">
      <formula>"Leve"</formula>
    </cfRule>
  </conditionalFormatting>
  <conditionalFormatting sqref="P55">
    <cfRule type="cellIs" dxfId="130" priority="174" operator="equal">
      <formula>"Extremo"</formula>
    </cfRule>
    <cfRule type="cellIs" dxfId="129" priority="175" operator="equal">
      <formula>"Alto"</formula>
    </cfRule>
    <cfRule type="cellIs" dxfId="128" priority="176" operator="equal">
      <formula>"Moderado"</formula>
    </cfRule>
    <cfRule type="cellIs" dxfId="127" priority="177" operator="equal">
      <formula>"Bajo"</formula>
    </cfRule>
  </conditionalFormatting>
  <conditionalFormatting sqref="C55">
    <cfRule type="cellIs" dxfId="126" priority="156" operator="equal">
      <formula>#REF!</formula>
    </cfRule>
    <cfRule type="cellIs" dxfId="125" priority="157" operator="equal">
      <formula>#REF!</formula>
    </cfRule>
    <cfRule type="cellIs" dxfId="124" priority="158" operator="equal">
      <formula>#REF!</formula>
    </cfRule>
    <cfRule type="cellIs" dxfId="123" priority="159" operator="equal">
      <formula>#REF!</formula>
    </cfRule>
    <cfRule type="cellIs" dxfId="122" priority="160" operator="equal">
      <formula>#REF!</formula>
    </cfRule>
    <cfRule type="cellIs" dxfId="121" priority="161" operator="equal">
      <formula>#REF!</formula>
    </cfRule>
    <cfRule type="cellIs" dxfId="120" priority="162" operator="equal">
      <formula>#REF!</formula>
    </cfRule>
    <cfRule type="cellIs" dxfId="119" priority="163" operator="equal">
      <formula>#REF!</formula>
    </cfRule>
    <cfRule type="cellIs" dxfId="118" priority="164" operator="equal">
      <formula>#REF!</formula>
    </cfRule>
    <cfRule type="cellIs" dxfId="117" priority="165" operator="equal">
      <formula>#REF!</formula>
    </cfRule>
    <cfRule type="cellIs" dxfId="116" priority="166" operator="equal">
      <formula>#REF!</formula>
    </cfRule>
    <cfRule type="cellIs" dxfId="115" priority="167" operator="equal">
      <formula>#REF!</formula>
    </cfRule>
    <cfRule type="cellIs" dxfId="114" priority="168" operator="equal">
      <formula>#REF!</formula>
    </cfRule>
    <cfRule type="cellIs" dxfId="113" priority="169" operator="equal">
      <formula>#REF!</formula>
    </cfRule>
    <cfRule type="cellIs" dxfId="112" priority="170" operator="equal">
      <formula>#REF!</formula>
    </cfRule>
    <cfRule type="cellIs" dxfId="111" priority="171" operator="equal">
      <formula>#REF!</formula>
    </cfRule>
    <cfRule type="cellIs" dxfId="110" priority="172" operator="equal">
      <formula>#REF!</formula>
    </cfRule>
    <cfRule type="cellIs" dxfId="109" priority="173" operator="equal">
      <formula>#REF!</formula>
    </cfRule>
  </conditionalFormatting>
  <conditionalFormatting sqref="AC49:AC54">
    <cfRule type="cellIs" dxfId="108" priority="151" operator="equal">
      <formula>"Muy Alta"</formula>
    </cfRule>
    <cfRule type="cellIs" dxfId="107" priority="152" operator="equal">
      <formula>"Alta"</formula>
    </cfRule>
    <cfRule type="cellIs" dxfId="106" priority="153" operator="equal">
      <formula>"Media"</formula>
    </cfRule>
    <cfRule type="cellIs" dxfId="105" priority="154" operator="equal">
      <formula>"Baja"</formula>
    </cfRule>
    <cfRule type="cellIs" dxfId="104" priority="155" operator="equal">
      <formula>"Muy Baja"</formula>
    </cfRule>
  </conditionalFormatting>
  <conditionalFormatting sqref="AE49:AE54">
    <cfRule type="cellIs" dxfId="103" priority="146" operator="equal">
      <formula>"Catastrófico"</formula>
    </cfRule>
    <cfRule type="cellIs" dxfId="102" priority="147" operator="equal">
      <formula>"Mayor"</formula>
    </cfRule>
    <cfRule type="cellIs" dxfId="101" priority="148" operator="equal">
      <formula>"Moderado"</formula>
    </cfRule>
    <cfRule type="cellIs" dxfId="100" priority="149" operator="equal">
      <formula>"Menor"</formula>
    </cfRule>
    <cfRule type="cellIs" dxfId="99" priority="150" operator="equal">
      <formula>"Leve"</formula>
    </cfRule>
  </conditionalFormatting>
  <conditionalFormatting sqref="AG49:AG54">
    <cfRule type="cellIs" dxfId="98" priority="142" operator="equal">
      <formula>"Extremo"</formula>
    </cfRule>
    <cfRule type="cellIs" dxfId="97" priority="143" operator="equal">
      <formula>"Alto"</formula>
    </cfRule>
    <cfRule type="cellIs" dxfId="96" priority="144" operator="equal">
      <formula>"Moderado"</formula>
    </cfRule>
    <cfRule type="cellIs" dxfId="95" priority="145" operator="equal">
      <formula>"Bajo"</formula>
    </cfRule>
  </conditionalFormatting>
  <conditionalFormatting sqref="K49">
    <cfRule type="cellIs" dxfId="94" priority="137" operator="equal">
      <formula>"Muy Alta"</formula>
    </cfRule>
    <cfRule type="cellIs" dxfId="93" priority="138" operator="equal">
      <formula>"Alta"</formula>
    </cfRule>
    <cfRule type="cellIs" dxfId="92" priority="139" operator="equal">
      <formula>"Media"</formula>
    </cfRule>
    <cfRule type="cellIs" dxfId="91" priority="140" operator="equal">
      <formula>"Baja"</formula>
    </cfRule>
    <cfRule type="cellIs" dxfId="90" priority="141" operator="equal">
      <formula>"Muy Baja"</formula>
    </cfRule>
  </conditionalFormatting>
  <conditionalFormatting sqref="M49">
    <cfRule type="cellIs" dxfId="89" priority="132" operator="equal">
      <formula>"Catastrófico"</formula>
    </cfRule>
    <cfRule type="cellIs" dxfId="88" priority="133" operator="equal">
      <formula>"Mayor"</formula>
    </cfRule>
    <cfRule type="cellIs" dxfId="87" priority="134" operator="equal">
      <formula>"Moderado"</formula>
    </cfRule>
    <cfRule type="cellIs" dxfId="86" priority="135" operator="equal">
      <formula>"Menor"</formula>
    </cfRule>
    <cfRule type="cellIs" dxfId="85" priority="136" operator="equal">
      <formula>"Leve"</formula>
    </cfRule>
  </conditionalFormatting>
  <conditionalFormatting sqref="P49">
    <cfRule type="cellIs" dxfId="84" priority="128" operator="equal">
      <formula>"Extremo"</formula>
    </cfRule>
    <cfRule type="cellIs" dxfId="83" priority="129" operator="equal">
      <formula>"Alto"</formula>
    </cfRule>
    <cfRule type="cellIs" dxfId="82" priority="130" operator="equal">
      <formula>"Moderado"</formula>
    </cfRule>
    <cfRule type="cellIs" dxfId="81" priority="131" operator="equal">
      <formula>"Bajo"</formula>
    </cfRule>
  </conditionalFormatting>
  <conditionalFormatting sqref="C49">
    <cfRule type="cellIs" dxfId="80" priority="110" operator="equal">
      <formula>#REF!</formula>
    </cfRule>
    <cfRule type="cellIs" dxfId="79" priority="111" operator="equal">
      <formula>#REF!</formula>
    </cfRule>
    <cfRule type="cellIs" dxfId="78" priority="112" operator="equal">
      <formula>#REF!</formula>
    </cfRule>
    <cfRule type="cellIs" dxfId="77" priority="113" operator="equal">
      <formula>#REF!</formula>
    </cfRule>
    <cfRule type="cellIs" dxfId="76" priority="114" operator="equal">
      <formula>#REF!</formula>
    </cfRule>
    <cfRule type="cellIs" dxfId="75" priority="115" operator="equal">
      <formula>#REF!</formula>
    </cfRule>
    <cfRule type="cellIs" dxfId="74" priority="116" operator="equal">
      <formula>#REF!</formula>
    </cfRule>
    <cfRule type="cellIs" dxfId="73" priority="117" operator="equal">
      <formula>#REF!</formula>
    </cfRule>
    <cfRule type="cellIs" dxfId="72" priority="118" operator="equal">
      <formula>#REF!</formula>
    </cfRule>
    <cfRule type="cellIs" dxfId="71" priority="119" operator="equal">
      <formula>#REF!</formula>
    </cfRule>
    <cfRule type="cellIs" dxfId="70" priority="120" operator="equal">
      <formula>#REF!</formula>
    </cfRule>
    <cfRule type="cellIs" dxfId="69" priority="121" operator="equal">
      <formula>#REF!</formula>
    </cfRule>
    <cfRule type="cellIs" dxfId="68" priority="122" operator="equal">
      <formula>#REF!</formula>
    </cfRule>
    <cfRule type="cellIs" dxfId="67" priority="123" operator="equal">
      <formula>#REF!</formula>
    </cfRule>
    <cfRule type="cellIs" dxfId="66" priority="124" operator="equal">
      <formula>#REF!</formula>
    </cfRule>
    <cfRule type="cellIs" dxfId="65" priority="125" operator="equal">
      <formula>#REF!</formula>
    </cfRule>
    <cfRule type="cellIs" dxfId="64" priority="126" operator="equal">
      <formula>#REF!</formula>
    </cfRule>
    <cfRule type="cellIs" dxfId="63" priority="127" operator="equal">
      <formula>#REF!</formula>
    </cfRule>
  </conditionalFormatting>
  <conditionalFormatting sqref="N37">
    <cfRule type="cellIs" dxfId="62" priority="106" operator="equal">
      <formula>"Extremo"</formula>
    </cfRule>
    <cfRule type="cellIs" dxfId="61" priority="107" operator="equal">
      <formula>"Alto"</formula>
    </cfRule>
    <cfRule type="cellIs" dxfId="60" priority="108" operator="equal">
      <formula>"Moderado"</formula>
    </cfRule>
    <cfRule type="cellIs" dxfId="59" priority="109" operator="equal">
      <formula>"Bajo"</formula>
    </cfRule>
  </conditionalFormatting>
  <conditionalFormatting sqref="N37:N42">
    <cfRule type="containsText" dxfId="58" priority="105" operator="containsText" text="Catastrófico">
      <formula>NOT(ISERROR(SEARCH("Catastrófico",N37)))</formula>
    </cfRule>
  </conditionalFormatting>
  <conditionalFormatting sqref="N7:N12 N19:N102">
    <cfRule type="containsText" dxfId="57" priority="101" operator="containsText" text="Moderado">
      <formula>NOT(ISERROR(SEARCH("Moderado",N7)))</formula>
    </cfRule>
    <cfRule type="containsText" dxfId="56" priority="102" operator="containsText" text="Mayor">
      <formula>NOT(ISERROR(SEARCH("Mayor",N7)))</formula>
    </cfRule>
    <cfRule type="containsText" dxfId="55" priority="103" operator="containsText" text="Mayor">
      <formula>NOT(ISERROR(SEARCH("Mayor",N7)))</formula>
    </cfRule>
    <cfRule type="containsText" dxfId="54" priority="104" operator="containsText" text="Catastrófico">
      <formula>NOT(ISERROR(SEARCH("Catastrófico",N7)))</formula>
    </cfRule>
  </conditionalFormatting>
  <conditionalFormatting sqref="K13">
    <cfRule type="cellIs" dxfId="53" priority="96" operator="equal">
      <formula>"Muy Alta"</formula>
    </cfRule>
    <cfRule type="cellIs" dxfId="52" priority="97" operator="equal">
      <formula>"Alta"</formula>
    </cfRule>
    <cfRule type="cellIs" dxfId="51" priority="98" operator="equal">
      <formula>"Media"</formula>
    </cfRule>
    <cfRule type="cellIs" dxfId="50" priority="99" operator="equal">
      <formula>"Baja"</formula>
    </cfRule>
    <cfRule type="cellIs" dxfId="49" priority="100" operator="equal">
      <formula>"Muy Baja"</formula>
    </cfRule>
  </conditionalFormatting>
  <conditionalFormatting sqref="M13">
    <cfRule type="cellIs" dxfId="48" priority="91" operator="equal">
      <formula>"Catastrófico"</formula>
    </cfRule>
    <cfRule type="cellIs" dxfId="47" priority="92" operator="equal">
      <formula>"Mayor"</formula>
    </cfRule>
    <cfRule type="cellIs" dxfId="46" priority="93" operator="equal">
      <formula>"Moderado"</formula>
    </cfRule>
    <cfRule type="cellIs" dxfId="45" priority="94" operator="equal">
      <formula>"Menor"</formula>
    </cfRule>
    <cfRule type="cellIs" dxfId="44" priority="95" operator="equal">
      <formula>"Leve"</formula>
    </cfRule>
  </conditionalFormatting>
  <conditionalFormatting sqref="P13">
    <cfRule type="cellIs" dxfId="43" priority="87" operator="equal">
      <formula>"Extremo"</formula>
    </cfRule>
    <cfRule type="cellIs" dxfId="42" priority="88" operator="equal">
      <formula>"Alto"</formula>
    </cfRule>
    <cfRule type="cellIs" dxfId="41" priority="89" operator="equal">
      <formula>"Moderado"</formula>
    </cfRule>
    <cfRule type="cellIs" dxfId="40" priority="90" operator="equal">
      <formula>"Bajo"</formula>
    </cfRule>
  </conditionalFormatting>
  <conditionalFormatting sqref="AC13:AC18">
    <cfRule type="cellIs" dxfId="39" priority="82" operator="equal">
      <formula>"Muy Alta"</formula>
    </cfRule>
    <cfRule type="cellIs" dxfId="38" priority="83" operator="equal">
      <formula>"Alta"</formula>
    </cfRule>
    <cfRule type="cellIs" dxfId="37" priority="84" operator="equal">
      <formula>"Media"</formula>
    </cfRule>
    <cfRule type="cellIs" dxfId="36" priority="85" operator="equal">
      <formula>"Baja"</formula>
    </cfRule>
    <cfRule type="cellIs" dxfId="35" priority="86" operator="equal">
      <formula>"Muy Baja"</formula>
    </cfRule>
  </conditionalFormatting>
  <conditionalFormatting sqref="AE13:AE18">
    <cfRule type="cellIs" dxfId="34" priority="77" operator="equal">
      <formula>"Catastrófico"</formula>
    </cfRule>
    <cfRule type="cellIs" dxfId="33" priority="78" operator="equal">
      <formula>"Mayor"</formula>
    </cfRule>
    <cfRule type="cellIs" dxfId="32" priority="79" operator="equal">
      <formula>"Moderado"</formula>
    </cfRule>
    <cfRule type="cellIs" dxfId="31" priority="80" operator="equal">
      <formula>"Menor"</formula>
    </cfRule>
    <cfRule type="cellIs" dxfId="30" priority="81" operator="equal">
      <formula>"Leve"</formula>
    </cfRule>
  </conditionalFormatting>
  <conditionalFormatting sqref="AG13:AG18">
    <cfRule type="cellIs" dxfId="29" priority="73" operator="equal">
      <formula>"Extremo"</formula>
    </cfRule>
    <cfRule type="cellIs" dxfId="28" priority="74" operator="equal">
      <formula>"Alto"</formula>
    </cfRule>
    <cfRule type="cellIs" dxfId="27" priority="75" operator="equal">
      <formula>"Moderado"</formula>
    </cfRule>
    <cfRule type="cellIs" dxfId="26" priority="76" operator="equal">
      <formula>"Bajo"</formula>
    </cfRule>
  </conditionalFormatting>
  <conditionalFormatting sqref="C13 C19">
    <cfRule type="cellIs" dxfId="25" priority="55" operator="equal">
      <formula>#REF!</formula>
    </cfRule>
    <cfRule type="cellIs" dxfId="24" priority="56" operator="equal">
      <formula>#REF!</formula>
    </cfRule>
    <cfRule type="cellIs" dxfId="23" priority="57" operator="equal">
      <formula>#REF!</formula>
    </cfRule>
    <cfRule type="cellIs" dxfId="22" priority="58" operator="equal">
      <formula>#REF!</formula>
    </cfRule>
    <cfRule type="cellIs" dxfId="21" priority="59" operator="equal">
      <formula>#REF!</formula>
    </cfRule>
    <cfRule type="cellIs" dxfId="20" priority="60" operator="equal">
      <formula>#REF!</formula>
    </cfRule>
    <cfRule type="cellIs" dxfId="19" priority="61" operator="equal">
      <formula>#REF!</formula>
    </cfRule>
    <cfRule type="cellIs" dxfId="18" priority="62" operator="equal">
      <formula>#REF!</formula>
    </cfRule>
    <cfRule type="cellIs" dxfId="17" priority="63" operator="equal">
      <formula>#REF!</formula>
    </cfRule>
    <cfRule type="cellIs" dxfId="16" priority="64" operator="equal">
      <formula>#REF!</formula>
    </cfRule>
    <cfRule type="cellIs" dxfId="15" priority="65" operator="equal">
      <formula>#REF!</formula>
    </cfRule>
    <cfRule type="cellIs" dxfId="14" priority="66" operator="equal">
      <formula>#REF!</formula>
    </cfRule>
    <cfRule type="cellIs" dxfId="13" priority="67" operator="equal">
      <formula>#REF!</formula>
    </cfRule>
    <cfRule type="cellIs" dxfId="12" priority="68" operator="equal">
      <formula>#REF!</formula>
    </cfRule>
    <cfRule type="cellIs" dxfId="11" priority="69" operator="equal">
      <formula>#REF!</formula>
    </cfRule>
    <cfRule type="cellIs" dxfId="10" priority="70" operator="equal">
      <formula>#REF!</formula>
    </cfRule>
    <cfRule type="cellIs" dxfId="9" priority="71" operator="equal">
      <formula>#REF!</formula>
    </cfRule>
    <cfRule type="cellIs" dxfId="8" priority="72" operator="equal">
      <formula>#REF!</formula>
    </cfRule>
  </conditionalFormatting>
  <conditionalFormatting sqref="N13:N18">
    <cfRule type="containsText" dxfId="7" priority="51" operator="containsText" text="Moderado">
      <formula>NOT(ISERROR(SEARCH("Moderado",N13)))</formula>
    </cfRule>
    <cfRule type="containsText" dxfId="6" priority="52" operator="containsText" text="Mayor">
      <formula>NOT(ISERROR(SEARCH("Mayor",N13)))</formula>
    </cfRule>
    <cfRule type="containsText" dxfId="5" priority="53" operator="containsText" text="Mayor">
      <formula>NOT(ISERROR(SEARCH("Mayor",N13)))</formula>
    </cfRule>
    <cfRule type="containsText" dxfId="4" priority="54" operator="containsText" text="Catastrófico">
      <formula>NOT(ISERROR(SEARCH("Catastrófico",N13)))</formula>
    </cfRule>
  </conditionalFormatting>
  <dataValidations count="1">
    <dataValidation type="list" allowBlank="1" showInputMessage="1" showErrorMessage="1" sqref="C25:C36 C55:C102">
      <formula1>$B$5:$B$34</formula1>
    </dataValidation>
  </dataValidations>
  <pageMargins left="0.7" right="0.7" top="0.75" bottom="0.75" header="0.3" footer="0.3"/>
  <pageSetup paperSize="9" scale="12" orientation="portrait" r:id="rId1"/>
  <colBreaks count="1" manualBreakCount="1">
    <brk id="41" max="1048575" man="1"/>
  </colBreaks>
  <drawing r:id="rId2"/>
  <legacyDrawing r:id="rId3"/>
  <extLst>
    <ext xmlns:x14="http://schemas.microsoft.com/office/spreadsheetml/2009/9/main" uri="{CCE6A557-97BC-4b89-ADB6-D9C93CAAB3DF}">
      <x14:dataValidations xmlns:xm="http://schemas.microsoft.com/office/excel/2006/main" count="15">
        <x14:dataValidation type="custom" allowBlank="1" showInputMessage="1" showErrorMessage="1" error="Recuerde que las acciones se generan bajo la medida de mitigar el riesgo">
          <x14:formula1>
            <xm:f>IF(OR(AH11='Opciones Tratamiento'!$B$2,AH11='Opciones Tratamiento'!$B$3,AH11='Opciones Tratamiento'!$B$4),ISBLANK(AH11),ISTEXT(AH11))</xm:f>
          </x14:formula1>
          <xm:sqref>AO77:AO78 AO83:AO102 AO53:AO54 AO47:AO48 AO59:AO60 AO29:AO30 AO41:AO42 AO35:AO36 AO11:AO12 AO23:AO24 AO17:AO18 AO65:AO66 AO71:AO72</xm:sqref>
        </x14:dataValidation>
        <x14:dataValidation type="custom" allowBlank="1" showInputMessage="1" showErrorMessage="1" error="Recuerde que las acciones se generan bajo la medida de mitigar el riesgo">
          <x14:formula1>
            <xm:f>IF(OR(AH11='Opciones Tratamiento'!$B$2,AH11='Opciones Tratamiento'!$B$3,AH11='Opciones Tratamiento'!$B$4),ISBLANK(AH11),ISTEXT(AH11))</xm:f>
          </x14:formula1>
          <xm:sqref>AM77:AN78 AM83:AN102 AM53:AN54 AM47:AN48 AM59:AN60 AM29:AN30 AM41:AN42 AM35:AN36 AM11:AN12 AM23:AN24 AM17:AN18 AM65:AN66 AM71:AN72</xm:sqref>
        </x14:dataValidation>
        <x14:dataValidation type="list" allowBlank="1" showInputMessage="1" showErrorMessage="1">
          <x14:formula1>
            <xm:f>Listas!$B$5:$B$34</xm:f>
          </x14:formula1>
          <xm:sqref>C7:C12</xm:sqref>
        </x14:dataValidation>
        <x14:dataValidation type="list" allowBlank="1" showInputMessage="1" showErrorMessage="1">
          <x14:formula1>
            <xm:f>'Opciones Tratamiento'!$E$9:$E$10</xm:f>
          </x14:formula1>
          <xm:sqref>S7:S102</xm:sqref>
        </x14:dataValidation>
        <x14:dataValidation type="list" allowBlank="1" showInputMessage="1" showErrorMessage="1">
          <x14:formula1>
            <xm:f>Listas!$B$5:$B$35</xm:f>
          </x14:formula1>
          <xm:sqref>C13:C54</xm:sqref>
        </x14:dataValidation>
        <x14:dataValidation type="list" allowBlank="1" showInputMessage="1" showErrorMessage="1">
          <x14:formula1>
            <xm:f>'Opciones Tratamiento'!$B$2:$B$5</xm:f>
          </x14:formula1>
          <xm:sqref>AH7:AH102</xm:sqref>
        </x14:dataValidation>
        <x14:dataValidation type="list" allowBlank="1" showInputMessage="1" showErrorMessage="1">
          <x14:formula1>
            <xm:f>'Opciones Tratamiento'!$B$15:$B$24</xm:f>
          </x14:formula1>
          <xm:sqref>H7:H102</xm:sqref>
        </x14:dataValidation>
        <x14:dataValidation type="list" allowBlank="1" showInputMessage="1" showErrorMessage="1">
          <x14:formula1>
            <xm:f>Listas!$K$5:$K$11</xm:f>
          </x14:formula1>
          <xm:sqref>D7:D102</xm:sqref>
        </x14:dataValidation>
        <x14:dataValidation type="list" allowBlank="1" showInputMessage="1" showErrorMessage="1">
          <x14:formula1>
            <xm:f>'Tabla Valoración controles'!$D$13:$D$14</xm:f>
          </x14:formula1>
          <xm:sqref>AA7:AA102</xm:sqref>
        </x14:dataValidation>
        <x14:dataValidation type="list" allowBlank="1" showInputMessage="1" showErrorMessage="1">
          <x14:formula1>
            <xm:f>'Tabla Valoración controles'!$D$11:$D$12</xm:f>
          </x14:formula1>
          <xm:sqref>Z7:Z102</xm:sqref>
        </x14:dataValidation>
        <x14:dataValidation type="list" allowBlank="1" showInputMessage="1" showErrorMessage="1">
          <x14:formula1>
            <xm:f>'Tabla Valoración controles'!$D$9:$D$10</xm:f>
          </x14:formula1>
          <xm:sqref>Y7:Y102</xm:sqref>
        </x14:dataValidation>
        <x14:dataValidation type="list" allowBlank="1" showInputMessage="1" showErrorMessage="1">
          <x14:formula1>
            <xm:f>'Tabla Valoración controles'!$D$7:$D$8</xm:f>
          </x14:formula1>
          <xm:sqref>W7:W102</xm:sqref>
        </x14:dataValidation>
        <x14:dataValidation type="list" allowBlank="1" showInputMessage="1" showErrorMessage="1">
          <x14:formula1>
            <xm:f>'Tabla Valoración controles'!$D$4:$D$6</xm:f>
          </x14:formula1>
          <xm:sqref>V7:V102</xm:sqref>
        </x14:dataValidation>
        <x14:dataValidation type="list" allowBlank="1" showInputMessage="1" showErrorMessage="1">
          <x14:formula1>
            <xm:f>'Impacto Corrupción'!$A$31:$A$33</xm:f>
          </x14:formula1>
          <xm:sqref>M7:M102</xm:sqref>
        </x14:dataValidation>
        <x14:dataValidation type="list" allowBlank="1" showInputMessage="1" showErrorMessage="1">
          <x14:formula1>
            <xm:f>Listas!$L$5:$L$6</xm:f>
          </x14:formula1>
          <xm:sqref>B7:B102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35"/>
  <sheetViews>
    <sheetView zoomScale="85" zoomScaleNormal="85" workbookViewId="0">
      <selection activeCell="A37" sqref="A37"/>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c r="D9" s="600"/>
    </row>
    <row r="10" spans="1:4" ht="15.75" thickBot="1" x14ac:dyDescent="0.3">
      <c r="A10" s="182">
        <v>2</v>
      </c>
      <c r="B10" s="183" t="s">
        <v>210</v>
      </c>
      <c r="C10" s="599"/>
      <c r="D10" s="600"/>
    </row>
    <row r="11" spans="1:4" ht="15.75" thickBot="1" x14ac:dyDescent="0.3">
      <c r="A11" s="182">
        <v>3</v>
      </c>
      <c r="B11" s="183" t="s">
        <v>209</v>
      </c>
      <c r="C11" s="599"/>
      <c r="D11" s="600"/>
    </row>
    <row r="12" spans="1:4" ht="15.75" thickBot="1" x14ac:dyDescent="0.3">
      <c r="A12" s="182">
        <v>4</v>
      </c>
      <c r="B12" s="183" t="s">
        <v>208</v>
      </c>
      <c r="C12" s="599"/>
      <c r="D12" s="600"/>
    </row>
    <row r="13" spans="1:4" ht="15.75" thickBot="1" x14ac:dyDescent="0.3">
      <c r="A13" s="182">
        <v>5</v>
      </c>
      <c r="B13" s="183" t="s">
        <v>207</v>
      </c>
      <c r="C13" s="599"/>
      <c r="D13" s="600"/>
    </row>
    <row r="14" spans="1:4" ht="15.75" thickBot="1" x14ac:dyDescent="0.3">
      <c r="A14" s="182">
        <v>6</v>
      </c>
      <c r="B14" s="183" t="s">
        <v>206</v>
      </c>
      <c r="C14" s="599"/>
      <c r="D14" s="600"/>
    </row>
    <row r="15" spans="1:4" ht="15.75" thickBot="1" x14ac:dyDescent="0.3">
      <c r="A15" s="182">
        <v>7</v>
      </c>
      <c r="B15" s="183" t="s">
        <v>205</v>
      </c>
      <c r="C15" s="599"/>
      <c r="D15" s="600"/>
    </row>
    <row r="16" spans="1:4" ht="15.75" thickBot="1" x14ac:dyDescent="0.3">
      <c r="A16" s="182">
        <v>8</v>
      </c>
      <c r="B16" s="183" t="s">
        <v>204</v>
      </c>
      <c r="C16" s="599"/>
      <c r="D16" s="600"/>
    </row>
    <row r="17" spans="1:4" ht="15.75" thickBot="1" x14ac:dyDescent="0.3">
      <c r="A17" s="182">
        <v>9</v>
      </c>
      <c r="B17" s="183" t="s">
        <v>203</v>
      </c>
      <c r="C17" s="599"/>
      <c r="D17" s="600"/>
    </row>
    <row r="18" spans="1:4" ht="15.75" thickBot="1" x14ac:dyDescent="0.3">
      <c r="A18" s="182">
        <v>10</v>
      </c>
      <c r="B18" s="183" t="s">
        <v>202</v>
      </c>
      <c r="C18" s="599"/>
      <c r="D18" s="600"/>
    </row>
    <row r="19" spans="1:4" ht="15.75" thickBot="1" x14ac:dyDescent="0.3">
      <c r="A19" s="182">
        <v>11</v>
      </c>
      <c r="B19" s="183" t="s">
        <v>201</v>
      </c>
      <c r="C19" s="599"/>
      <c r="D19" s="600"/>
    </row>
    <row r="20" spans="1:4" ht="15.75" thickBot="1" x14ac:dyDescent="0.3">
      <c r="A20" s="182">
        <v>12</v>
      </c>
      <c r="B20" s="183" t="s">
        <v>200</v>
      </c>
      <c r="C20" s="599"/>
      <c r="D20" s="600"/>
    </row>
    <row r="21" spans="1:4" ht="15.75" thickBot="1" x14ac:dyDescent="0.3">
      <c r="A21" s="182">
        <v>13</v>
      </c>
      <c r="B21" s="183" t="s">
        <v>199</v>
      </c>
      <c r="C21" s="599"/>
      <c r="D21" s="600"/>
    </row>
    <row r="22" spans="1:4" ht="15.75" thickBot="1" x14ac:dyDescent="0.3">
      <c r="A22" s="182">
        <v>14</v>
      </c>
      <c r="B22" s="183" t="s">
        <v>198</v>
      </c>
      <c r="C22" s="599"/>
      <c r="D22" s="600"/>
    </row>
    <row r="23" spans="1:4" ht="15.75" thickBot="1" x14ac:dyDescent="0.3">
      <c r="A23" s="182">
        <v>15</v>
      </c>
      <c r="B23" s="183" t="s">
        <v>197</v>
      </c>
      <c r="C23" s="599"/>
      <c r="D23" s="600"/>
    </row>
    <row r="24" spans="1:4" ht="15.75" thickBot="1" x14ac:dyDescent="0.3">
      <c r="A24" s="182">
        <v>16</v>
      </c>
      <c r="B24" s="183" t="s">
        <v>196</v>
      </c>
      <c r="C24" s="599"/>
      <c r="D24" s="600"/>
    </row>
    <row r="25" spans="1:4" ht="15.75" thickBot="1" x14ac:dyDescent="0.3">
      <c r="A25" s="182">
        <v>17</v>
      </c>
      <c r="B25" s="183" t="s">
        <v>195</v>
      </c>
      <c r="C25" s="599"/>
      <c r="D25" s="600"/>
    </row>
    <row r="26" spans="1:4" ht="15.75" thickBot="1" x14ac:dyDescent="0.3">
      <c r="A26" s="182">
        <v>18</v>
      </c>
      <c r="B26" s="183" t="s">
        <v>194</v>
      </c>
      <c r="C26" s="599"/>
      <c r="D26" s="600"/>
    </row>
    <row r="27" spans="1:4" ht="15.75" thickBot="1" x14ac:dyDescent="0.3">
      <c r="A27" s="182">
        <v>19</v>
      </c>
      <c r="B27" s="183" t="s">
        <v>193</v>
      </c>
      <c r="C27" s="599"/>
      <c r="D27" s="600"/>
    </row>
    <row r="28" spans="1:4" ht="15.75" customHeight="1" thickBot="1" x14ac:dyDescent="0.3">
      <c r="A28" s="184"/>
      <c r="B28" s="184"/>
      <c r="C28" s="184"/>
      <c r="D28" s="184"/>
    </row>
    <row r="29" spans="1:4" ht="15.75" thickBot="1" x14ac:dyDescent="0.3">
      <c r="A29" s="609" t="s">
        <v>190</v>
      </c>
      <c r="B29" s="610"/>
      <c r="C29" s="613"/>
      <c r="D29" s="614"/>
    </row>
    <row r="30" spans="1:4" x14ac:dyDescent="0.25">
      <c r="A30" s="185" t="s">
        <v>192</v>
      </c>
      <c r="B30" s="185" t="s">
        <v>191</v>
      </c>
      <c r="C30" s="184"/>
      <c r="D30" s="184"/>
    </row>
    <row r="31" spans="1:4" x14ac:dyDescent="0.25">
      <c r="A31" s="186">
        <v>3</v>
      </c>
      <c r="B31" s="187" t="s">
        <v>189</v>
      </c>
      <c r="C31" s="184"/>
      <c r="D31" s="184"/>
    </row>
    <row r="32" spans="1:4" x14ac:dyDescent="0.25">
      <c r="A32" s="186">
        <v>4</v>
      </c>
      <c r="B32" s="187" t="s">
        <v>188</v>
      </c>
      <c r="C32" s="184"/>
      <c r="D32" s="184"/>
    </row>
    <row r="33" spans="1:7" ht="16.5" x14ac:dyDescent="0.25">
      <c r="A33" s="186">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A29:B29"/>
    <mergeCell ref="C29:D29"/>
    <mergeCell ref="C23:D23"/>
    <mergeCell ref="C24:D24"/>
    <mergeCell ref="C25:D25"/>
    <mergeCell ref="C26:D26"/>
    <mergeCell ref="C27:D27"/>
    <mergeCell ref="C17:D17"/>
    <mergeCell ref="C18:D18"/>
    <mergeCell ref="C19:D19"/>
    <mergeCell ref="C20:D20"/>
    <mergeCell ref="C22:D22"/>
    <mergeCell ref="C21:D21"/>
    <mergeCell ref="C12:D12"/>
    <mergeCell ref="C13:D13"/>
    <mergeCell ref="C14:D14"/>
    <mergeCell ref="C15:D15"/>
    <mergeCell ref="C16:D16"/>
    <mergeCell ref="C10:D10"/>
    <mergeCell ref="C11:D11"/>
    <mergeCell ref="A1:A3"/>
    <mergeCell ref="B1:D1"/>
    <mergeCell ref="B2:D2"/>
    <mergeCell ref="C9:D9"/>
    <mergeCell ref="A5:D5"/>
    <mergeCell ref="A6:D6"/>
    <mergeCell ref="C7:D7"/>
    <mergeCell ref="A8:B8"/>
    <mergeCell ref="C8:D8"/>
  </mergeCells>
  <pageMargins left="0.7" right="0.7" top="0.75" bottom="0.75" header="0.3" footer="0.3"/>
  <pageSetup scale="43" orientation="portrait" horizontalDpi="300" verticalDpi="300" r:id="rId1"/>
  <colBreaks count="1" manualBreakCount="1">
    <brk id="1" min="4" max="30"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workbookViewId="0">
      <selection sqref="A1:XFD1048576"/>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293</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293</v>
      </c>
      <c r="D16" s="600"/>
    </row>
    <row r="17" spans="1:4" ht="15.75" thickBot="1" x14ac:dyDescent="0.3">
      <c r="A17" s="182">
        <v>9</v>
      </c>
      <c r="B17" s="183" t="s">
        <v>203</v>
      </c>
      <c r="C17" s="599" t="s">
        <v>293</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293</v>
      </c>
      <c r="D23" s="600"/>
    </row>
    <row r="24" spans="1:4" ht="15.75" thickBot="1" x14ac:dyDescent="0.3">
      <c r="A24" s="182">
        <v>16</v>
      </c>
      <c r="B24" s="183" t="s">
        <v>196</v>
      </c>
      <c r="C24" s="599" t="s">
        <v>293</v>
      </c>
      <c r="D24" s="600"/>
    </row>
    <row r="25" spans="1:4" ht="15.75" thickBot="1" x14ac:dyDescent="0.3">
      <c r="A25" s="182">
        <v>17</v>
      </c>
      <c r="B25" s="183" t="s">
        <v>195</v>
      </c>
      <c r="C25" s="599" t="s">
        <v>293</v>
      </c>
      <c r="D25" s="600"/>
    </row>
    <row r="26" spans="1:4" ht="15.75" thickBot="1" x14ac:dyDescent="0.3">
      <c r="A26" s="182">
        <v>18</v>
      </c>
      <c r="B26" s="183" t="s">
        <v>194</v>
      </c>
      <c r="C26" s="599" t="s">
        <v>293</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11</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18" workbookViewId="0">
      <selection activeCell="B35" sqref="B35"/>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292</v>
      </c>
      <c r="D11" s="600"/>
    </row>
    <row r="12" spans="1:4" ht="15.75" thickBot="1" x14ac:dyDescent="0.3">
      <c r="A12" s="182">
        <v>4</v>
      </c>
      <c r="B12" s="183" t="s">
        <v>208</v>
      </c>
      <c r="C12" s="599" t="s">
        <v>292</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292</v>
      </c>
      <c r="D15" s="600"/>
    </row>
    <row r="16" spans="1:4" ht="15.75" thickBot="1" x14ac:dyDescent="0.3">
      <c r="A16" s="182">
        <v>8</v>
      </c>
      <c r="B16" s="183" t="s">
        <v>204</v>
      </c>
      <c r="C16" s="599" t="s">
        <v>292</v>
      </c>
      <c r="D16" s="600"/>
    </row>
    <row r="17" spans="1:4" ht="15.75" thickBot="1" x14ac:dyDescent="0.3">
      <c r="A17" s="182">
        <v>9</v>
      </c>
      <c r="B17" s="183" t="s">
        <v>203</v>
      </c>
      <c r="C17" s="599" t="s">
        <v>293</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292</v>
      </c>
      <c r="D23" s="600"/>
    </row>
    <row r="24" spans="1:4" ht="15.75" thickBot="1" x14ac:dyDescent="0.3">
      <c r="A24" s="182">
        <v>16</v>
      </c>
      <c r="B24" s="183" t="s">
        <v>196</v>
      </c>
      <c r="C24" s="599" t="s">
        <v>293</v>
      </c>
      <c r="D24" s="600"/>
    </row>
    <row r="25" spans="1:4" ht="15.75" thickBot="1" x14ac:dyDescent="0.3">
      <c r="A25" s="182">
        <v>17</v>
      </c>
      <c r="B25" s="183" t="s">
        <v>195</v>
      </c>
      <c r="C25" s="599" t="s">
        <v>293</v>
      </c>
      <c r="D25" s="600"/>
    </row>
    <row r="26" spans="1:4" ht="15.75" thickBot="1" x14ac:dyDescent="0.3">
      <c r="A26" s="182">
        <v>18</v>
      </c>
      <c r="B26" s="183" t="s">
        <v>194</v>
      </c>
      <c r="C26" s="599" t="s">
        <v>292</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15</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12:D12"/>
    <mergeCell ref="A1:A3"/>
    <mergeCell ref="B1:D1"/>
    <mergeCell ref="B2:D2"/>
    <mergeCell ref="A5:D5"/>
    <mergeCell ref="A6:D6"/>
    <mergeCell ref="C7:D7"/>
    <mergeCell ref="A8:B8"/>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C25:D25"/>
    <mergeCell ref="C26:D26"/>
    <mergeCell ref="C27:D27"/>
    <mergeCell ref="A29:B29"/>
    <mergeCell ref="C29:D29"/>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workbookViewId="0">
      <selection activeCell="B32" sqref="B32"/>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601"/>
      <c r="B1" s="410" t="s">
        <v>274</v>
      </c>
      <c r="C1" s="410"/>
      <c r="D1" s="411"/>
    </row>
    <row r="2" spans="1:4" x14ac:dyDescent="0.25">
      <c r="A2" s="602"/>
      <c r="B2" s="412" t="s">
        <v>588</v>
      </c>
      <c r="C2" s="412"/>
      <c r="D2" s="413"/>
    </row>
    <row r="3" spans="1:4" ht="15.75" thickBot="1" x14ac:dyDescent="0.3">
      <c r="A3" s="603"/>
      <c r="B3" s="203"/>
      <c r="C3" s="203"/>
      <c r="D3" s="202"/>
    </row>
    <row r="4" spans="1:4" ht="16.5" thickTop="1" thickBot="1" x14ac:dyDescent="0.3">
      <c r="A4" s="222"/>
      <c r="B4" s="179"/>
      <c r="C4" s="134"/>
      <c r="D4" s="179"/>
    </row>
    <row r="5" spans="1:4" ht="24.75" customHeight="1" thickBot="1" x14ac:dyDescent="0.3">
      <c r="A5" s="604" t="s">
        <v>217</v>
      </c>
      <c r="B5" s="605"/>
      <c r="C5" s="605"/>
      <c r="D5" s="605"/>
    </row>
    <row r="6" spans="1:4" ht="23.25" customHeight="1" thickBot="1" x14ac:dyDescent="0.3">
      <c r="A6" s="606" t="s">
        <v>216</v>
      </c>
      <c r="B6" s="607"/>
      <c r="C6" s="607"/>
      <c r="D6" s="608"/>
    </row>
    <row r="7" spans="1:4" ht="15.75" thickBot="1" x14ac:dyDescent="0.3">
      <c r="A7" s="180" t="s">
        <v>212</v>
      </c>
      <c r="B7" s="181" t="s">
        <v>215</v>
      </c>
      <c r="C7" s="609" t="s">
        <v>214</v>
      </c>
      <c r="D7" s="610"/>
    </row>
    <row r="8" spans="1:4" ht="33.75" customHeight="1" thickBot="1" x14ac:dyDescent="0.3">
      <c r="A8" s="599" t="s">
        <v>213</v>
      </c>
      <c r="B8" s="600"/>
      <c r="C8" s="611" t="s">
        <v>291</v>
      </c>
      <c r="D8" s="612"/>
    </row>
    <row r="9" spans="1:4" ht="15.75" thickBot="1" x14ac:dyDescent="0.3">
      <c r="A9" s="182">
        <v>1</v>
      </c>
      <c r="B9" s="183" t="s">
        <v>211</v>
      </c>
      <c r="C9" s="599" t="s">
        <v>292</v>
      </c>
      <c r="D9" s="600"/>
    </row>
    <row r="10" spans="1:4" ht="15.75" thickBot="1" x14ac:dyDescent="0.3">
      <c r="A10" s="182">
        <v>2</v>
      </c>
      <c r="B10" s="183" t="s">
        <v>210</v>
      </c>
      <c r="C10" s="599" t="s">
        <v>292</v>
      </c>
      <c r="D10" s="600"/>
    </row>
    <row r="11" spans="1:4" ht="15.75" thickBot="1" x14ac:dyDescent="0.3">
      <c r="A11" s="182">
        <v>3</v>
      </c>
      <c r="B11" s="183" t="s">
        <v>209</v>
      </c>
      <c r="C11" s="599" t="s">
        <v>293</v>
      </c>
      <c r="D11" s="600"/>
    </row>
    <row r="12" spans="1:4" ht="15.75" thickBot="1" x14ac:dyDescent="0.3">
      <c r="A12" s="182">
        <v>4</v>
      </c>
      <c r="B12" s="183" t="s">
        <v>208</v>
      </c>
      <c r="C12" s="599" t="s">
        <v>293</v>
      </c>
      <c r="D12" s="600"/>
    </row>
    <row r="13" spans="1:4" ht="15.75" thickBot="1" x14ac:dyDescent="0.3">
      <c r="A13" s="182">
        <v>5</v>
      </c>
      <c r="B13" s="183" t="s">
        <v>207</v>
      </c>
      <c r="C13" s="599" t="s">
        <v>292</v>
      </c>
      <c r="D13" s="600"/>
    </row>
    <row r="14" spans="1:4" ht="15.75" thickBot="1" x14ac:dyDescent="0.3">
      <c r="A14" s="182">
        <v>6</v>
      </c>
      <c r="B14" s="183" t="s">
        <v>206</v>
      </c>
      <c r="C14" s="599" t="s">
        <v>292</v>
      </c>
      <c r="D14" s="600"/>
    </row>
    <row r="15" spans="1:4" ht="15.75" thickBot="1" x14ac:dyDescent="0.3">
      <c r="A15" s="182">
        <v>7</v>
      </c>
      <c r="B15" s="183" t="s">
        <v>205</v>
      </c>
      <c r="C15" s="599" t="s">
        <v>293</v>
      </c>
      <c r="D15" s="600"/>
    </row>
    <row r="16" spans="1:4" ht="15.75" thickBot="1" x14ac:dyDescent="0.3">
      <c r="A16" s="182">
        <v>8</v>
      </c>
      <c r="B16" s="183" t="s">
        <v>204</v>
      </c>
      <c r="C16" s="599" t="s">
        <v>292</v>
      </c>
      <c r="D16" s="600"/>
    </row>
    <row r="17" spans="1:4" ht="15.75" thickBot="1" x14ac:dyDescent="0.3">
      <c r="A17" s="182">
        <v>9</v>
      </c>
      <c r="B17" s="183" t="s">
        <v>203</v>
      </c>
      <c r="C17" s="599" t="s">
        <v>293</v>
      </c>
      <c r="D17" s="600"/>
    </row>
    <row r="18" spans="1:4" ht="15.75" thickBot="1" x14ac:dyDescent="0.3">
      <c r="A18" s="182">
        <v>10</v>
      </c>
      <c r="B18" s="183" t="s">
        <v>202</v>
      </c>
      <c r="C18" s="599" t="s">
        <v>292</v>
      </c>
      <c r="D18" s="600"/>
    </row>
    <row r="19" spans="1:4" ht="15.75" thickBot="1" x14ac:dyDescent="0.3">
      <c r="A19" s="182">
        <v>11</v>
      </c>
      <c r="B19" s="183" t="s">
        <v>201</v>
      </c>
      <c r="C19" s="599" t="s">
        <v>292</v>
      </c>
      <c r="D19" s="600"/>
    </row>
    <row r="20" spans="1:4" ht="15.75" thickBot="1" x14ac:dyDescent="0.3">
      <c r="A20" s="182">
        <v>12</v>
      </c>
      <c r="B20" s="183" t="s">
        <v>200</v>
      </c>
      <c r="C20" s="599" t="s">
        <v>292</v>
      </c>
      <c r="D20" s="600"/>
    </row>
    <row r="21" spans="1:4" ht="15.75" thickBot="1" x14ac:dyDescent="0.3">
      <c r="A21" s="182">
        <v>13</v>
      </c>
      <c r="B21" s="183" t="s">
        <v>199</v>
      </c>
      <c r="C21" s="599" t="s">
        <v>292</v>
      </c>
      <c r="D21" s="600"/>
    </row>
    <row r="22" spans="1:4" ht="15.75" thickBot="1" x14ac:dyDescent="0.3">
      <c r="A22" s="182">
        <v>14</v>
      </c>
      <c r="B22" s="183" t="s">
        <v>198</v>
      </c>
      <c r="C22" s="599" t="s">
        <v>292</v>
      </c>
      <c r="D22" s="600"/>
    </row>
    <row r="23" spans="1:4" ht="15.75" thickBot="1" x14ac:dyDescent="0.3">
      <c r="A23" s="182">
        <v>15</v>
      </c>
      <c r="B23" s="183" t="s">
        <v>197</v>
      </c>
      <c r="C23" s="599" t="s">
        <v>293</v>
      </c>
      <c r="D23" s="600"/>
    </row>
    <row r="24" spans="1:4" ht="15.75" thickBot="1" x14ac:dyDescent="0.3">
      <c r="A24" s="182">
        <v>16</v>
      </c>
      <c r="B24" s="183" t="s">
        <v>196</v>
      </c>
      <c r="C24" s="599" t="s">
        <v>293</v>
      </c>
      <c r="D24" s="600"/>
    </row>
    <row r="25" spans="1:4" ht="15.75" thickBot="1" x14ac:dyDescent="0.3">
      <c r="A25" s="182">
        <v>17</v>
      </c>
      <c r="B25" s="183" t="s">
        <v>195</v>
      </c>
      <c r="C25" s="599" t="s">
        <v>293</v>
      </c>
      <c r="D25" s="600"/>
    </row>
    <row r="26" spans="1:4" ht="15.75" thickBot="1" x14ac:dyDescent="0.3">
      <c r="A26" s="182">
        <v>18</v>
      </c>
      <c r="B26" s="183" t="s">
        <v>194</v>
      </c>
      <c r="C26" s="599" t="s">
        <v>293</v>
      </c>
      <c r="D26" s="600"/>
    </row>
    <row r="27" spans="1:4" ht="15.75" thickBot="1" x14ac:dyDescent="0.3">
      <c r="A27" s="182">
        <v>19</v>
      </c>
      <c r="B27" s="183" t="s">
        <v>193</v>
      </c>
      <c r="C27" s="599" t="s">
        <v>293</v>
      </c>
      <c r="D27" s="600"/>
    </row>
    <row r="28" spans="1:4" ht="15.75" customHeight="1" thickBot="1" x14ac:dyDescent="0.3">
      <c r="A28" s="184"/>
      <c r="B28" s="184"/>
      <c r="C28" s="184"/>
      <c r="D28" s="184"/>
    </row>
    <row r="29" spans="1:4" ht="15.75" thickBot="1" x14ac:dyDescent="0.3">
      <c r="A29" s="609" t="s">
        <v>190</v>
      </c>
      <c r="B29" s="610"/>
      <c r="C29" s="613">
        <f>COUNTIF(C9:D27,"SI")</f>
        <v>10</v>
      </c>
      <c r="D29" s="614"/>
    </row>
    <row r="30" spans="1:4" x14ac:dyDescent="0.25">
      <c r="A30" s="185" t="s">
        <v>192</v>
      </c>
      <c r="B30" s="185" t="s">
        <v>191</v>
      </c>
      <c r="C30" s="184"/>
      <c r="D30" s="184"/>
    </row>
    <row r="31" spans="1:4" x14ac:dyDescent="0.25">
      <c r="A31" s="244">
        <v>3</v>
      </c>
      <c r="B31" s="187" t="s">
        <v>189</v>
      </c>
      <c r="C31" s="184"/>
      <c r="D31" s="184"/>
    </row>
    <row r="32" spans="1:4" x14ac:dyDescent="0.25">
      <c r="A32" s="244">
        <v>4</v>
      </c>
      <c r="B32" s="187" t="s">
        <v>188</v>
      </c>
      <c r="C32" s="184"/>
      <c r="D32" s="184"/>
    </row>
    <row r="33" spans="1:7" ht="16.5" x14ac:dyDescent="0.25">
      <c r="A33" s="244">
        <v>5</v>
      </c>
      <c r="B33" s="187" t="s">
        <v>187</v>
      </c>
      <c r="C33" s="184"/>
      <c r="D33" s="184"/>
      <c r="F33" s="2"/>
    </row>
    <row r="34" spans="1:7" ht="16.5" x14ac:dyDescent="0.25">
      <c r="B34" s="2"/>
      <c r="F34" s="2"/>
      <c r="G34" s="132"/>
    </row>
    <row r="35" spans="1:7" ht="16.5" x14ac:dyDescent="0.25">
      <c r="A35" s="17" t="s">
        <v>292</v>
      </c>
      <c r="B35" s="2"/>
      <c r="F35" s="2"/>
      <c r="G35" s="132"/>
    </row>
  </sheetData>
  <mergeCells count="29">
    <mergeCell ref="C25:D25"/>
    <mergeCell ref="C26:D26"/>
    <mergeCell ref="C27:D27"/>
    <mergeCell ref="A29:B29"/>
    <mergeCell ref="C29:D29"/>
    <mergeCell ref="C24:D24"/>
    <mergeCell ref="C13:D13"/>
    <mergeCell ref="C14:D14"/>
    <mergeCell ref="C15:D15"/>
    <mergeCell ref="C16:D16"/>
    <mergeCell ref="C17:D17"/>
    <mergeCell ref="C18:D18"/>
    <mergeCell ref="C19:D19"/>
    <mergeCell ref="C20:D20"/>
    <mergeCell ref="C21:D21"/>
    <mergeCell ref="C22:D22"/>
    <mergeCell ref="C23:D23"/>
    <mergeCell ref="C12:D12"/>
    <mergeCell ref="A1:A3"/>
    <mergeCell ref="B1:D1"/>
    <mergeCell ref="B2:D2"/>
    <mergeCell ref="A5:D5"/>
    <mergeCell ref="A6:D6"/>
    <mergeCell ref="C7:D7"/>
    <mergeCell ref="A8:B8"/>
    <mergeCell ref="C8:D8"/>
    <mergeCell ref="C9:D9"/>
    <mergeCell ref="C10:D10"/>
    <mergeCell ref="C11:D11"/>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Listas!$B$48:$B$49</xm:f>
          </x14:formula1>
          <xm:sqref>C9:D27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18</vt:i4>
      </vt:variant>
    </vt:vector>
  </HeadingPairs>
  <TitlesOfParts>
    <vt:vector size="47" baseType="lpstr">
      <vt:lpstr>Instructivo</vt:lpstr>
      <vt:lpstr>Instructivo R. Gestión</vt:lpstr>
      <vt:lpstr>R. Gestión </vt:lpstr>
      <vt:lpstr>Instructivo R. Corrupción</vt:lpstr>
      <vt:lpstr>R. Corrupción</vt:lpstr>
      <vt:lpstr>Impacto Corrupción</vt:lpstr>
      <vt:lpstr>Impacto Corrupcion Contractual</vt:lpstr>
      <vt:lpstr>Impacto Servicios Tecnologicos</vt:lpstr>
      <vt:lpstr>Impacto Corrup Financiera</vt:lpstr>
      <vt:lpstr>Hoja1</vt:lpstr>
      <vt:lpstr>Impacto Corrupcion Ciudadano</vt:lpstr>
      <vt:lpstr>Impacto Corrupcion Bienes y Ser</vt:lpstr>
      <vt:lpstr>Impacto Corrupción Disciplinari</vt:lpstr>
      <vt:lpstr>Impacto Corrupcion Habilitacion</vt:lpstr>
      <vt:lpstr>Impacto Corrupcion Agrologia</vt:lpstr>
      <vt:lpstr>Corrupcion Documental</vt:lpstr>
      <vt:lpstr>Corrupcion Cartografia</vt:lpstr>
      <vt:lpstr>Corrupcion Evaluacion y Seguim</vt:lpstr>
      <vt:lpstr>Corrupción Geografica R30</vt:lpstr>
      <vt:lpstr>Corrupción Geografica R31</vt:lpstr>
      <vt:lpstr>Corrupción Catastro</vt:lpstr>
      <vt:lpstr>Matriz Calor Inherente</vt:lpstr>
      <vt:lpstr>Matriz Calor Residual</vt:lpstr>
      <vt:lpstr>Tabla probabilidad</vt:lpstr>
      <vt:lpstr>Tabla Impacto</vt:lpstr>
      <vt:lpstr>Tabla Valoración controles</vt:lpstr>
      <vt:lpstr>Opciones Tratamiento</vt:lpstr>
      <vt:lpstr>ListasRSec</vt:lpstr>
      <vt:lpstr>Listas</vt:lpstr>
      <vt:lpstr>_rc</vt:lpstr>
      <vt:lpstr>amenazas</vt:lpstr>
      <vt:lpstr>'R. Corrupción'!Área_de_impresión</vt:lpstr>
      <vt:lpstr>'R. Gestión '!Área_de_impresión</vt:lpstr>
      <vt:lpstr>bd</vt:lpstr>
      <vt:lpstr>ClasificacionRSEG</vt:lpstr>
      <vt:lpstr>di</vt:lpstr>
      <vt:lpstr>ea</vt:lpstr>
      <vt:lpstr>ListasRSec!hw</vt:lpstr>
      <vt:lpstr>hw</vt:lpstr>
      <vt:lpstr>ip</vt:lpstr>
      <vt:lpstr>ListasRSec!nada</vt:lpstr>
      <vt:lpstr>ProcesosSEG</vt:lpstr>
      <vt:lpstr>sa</vt:lpstr>
      <vt:lpstr>si</vt:lpstr>
      <vt:lpstr>sw</vt:lpstr>
      <vt:lpstr>Tipo_Activo</vt:lpstr>
      <vt:lpstr>Tipo_riesgoseg</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2024-05-02T12:46:45Z</cp:lastPrinted>
  <dcterms:created xsi:type="dcterms:W3CDTF">2020-03-24T23:12:47Z</dcterms:created>
  <dcterms:modified xsi:type="dcterms:W3CDTF">2024-05-22T13:39:06Z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2022-11-03T17:28:54Z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99df4c21-7bee-45bd-b4cd-b464291b7020</vt:lpwstr>
  </property>
  <property fmtid="{D5CDD505-2E9C-101B-9397-08002B2CF9AE}" pid="8" name="MSIP_Label_5fac521f-e930-485b-97f4-efbe7db8e98f_ContentBits">
    <vt:lpwstr>0</vt:lpwstr>
  </property>
</Properties>
</file>