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IGAC\EJECUCIÓN CONTRATO 2024\"/>
    </mc:Choice>
  </mc:AlternateContent>
  <bookViews>
    <workbookView xWindow="0" yWindow="0" windowWidth="20490" windowHeight="7065" tabRatio="882" firstSheet="2" activeTab="2"/>
  </bookViews>
  <sheets>
    <sheet name="Instructivo" sheetId="20" state="hidden" r:id="rId1"/>
    <sheet name="Instructivo R. Gestión" sheetId="44" state="hidden" r:id="rId2"/>
    <sheet name="R. Gestión " sheetId="1" r:id="rId3"/>
    <sheet name="Instructivo R. Corrupción" sheetId="45" state="hidden" r:id="rId4"/>
    <sheet name="R. Corrupción" sheetId="52" r:id="rId5"/>
    <sheet name="Impacto Corrupción" sheetId="43" state="hidden"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Opciones Tratamiento" sheetId="16" state="hidden" r:id="rId12"/>
    <sheet name="ListasRSec" sheetId="51" state="hidden" r:id="rId13"/>
    <sheet name="Listas" sheetId="39" state="hidden" r:id="rId14"/>
  </sheets>
  <externalReferences>
    <externalReference r:id="rId15"/>
    <externalReference r:id="rId16"/>
    <externalReference r:id="rId17"/>
  </externalReferences>
  <definedNames>
    <definedName name="_xlnm._FilterDatabase" localSheetId="4" hidden="1">'R. Corrupción'!$A$1:$AS$108</definedName>
    <definedName name="_xlnm._FilterDatabase" localSheetId="2" hidden="1">'R. Gestión '!$A$1:$AR$336</definedName>
    <definedName name="_rc">ListasRSec!$G$216:$G$233</definedName>
    <definedName name="amenazas">ListasRSec!$B$55:$B$89</definedName>
    <definedName name="bd">ListasRSec!$G$239:$G$252</definedName>
    <definedName name="CANAL_DE_DISTRIBUCION">[1]DATOS!$C$16:$C$27</definedName>
    <definedName name="CAUSAS">[2]CAUSAS!$C$6:$O$11</definedName>
    <definedName name="ClasificacionRSEG">ListasRSec!$F$15:$F$22</definedName>
    <definedName name="CLAVECAUSA">[2]CAUSAS!$C$12:$O$12</definedName>
    <definedName name="CLAVECONTROL">'[2]NO BORRAR'!$B$41:$B$57</definedName>
    <definedName name="CLAVEPOLITICA">'[2]NO BORRAR'!$B$3:$B$17</definedName>
    <definedName name="CLAVEPROCEDIMIENTO">'[2]NO BORRAR'!$B$22:$B$38</definedName>
    <definedName name="CONTROL">'[2]NO BORRAR'!$C$41:$C$53</definedName>
    <definedName name="di">ListasRSec!$G$193:$G$210</definedName>
    <definedName name="ea">ListasRSec!$G$147:$G$154</definedName>
    <definedName name="FACTOR">[1]DATOS!$A$16:$E$16</definedName>
    <definedName name="hw" localSheetId="12">ListasRSec!$G$78:$G$92</definedName>
    <definedName name="hw">ListasRSec!$G$78:$G$92</definedName>
    <definedName name="ip">ListasRSec!$G$170:$G$183</definedName>
    <definedName name="nada" localSheetId="12">ListasRSec!$C$268:$C$273</definedName>
    <definedName name="OPERACIÓN">[1]DATOS!$E$16:$E$27</definedName>
    <definedName name="POLITICA">'[2]NO BORRAR'!$C$3:$C$17</definedName>
    <definedName name="PROCESOS">[1]DATOS!$A$4:$A$7</definedName>
    <definedName name="ProcesosSEG">ListasRSec!$B$35:$B$52</definedName>
    <definedName name="PRODUCTO">[1]DATOS!$D$16:$D$27</definedName>
    <definedName name="RESPUESTA">'[2]NO BORRAR'!$G$1:$G$5</definedName>
    <definedName name="sa">ListasRSec!$G$124:$G$134</definedName>
    <definedName name="si">ListasRSec!$G$101:$G$115</definedName>
    <definedName name="SI_NO">'[3]NO BORRAR'!$F$1:$F$2</definedName>
    <definedName name="sw">ListasRSec!$G$55:$G$72</definedName>
    <definedName name="Tipo_Activo">ListasRSec!$F$36:$F$45</definedName>
    <definedName name="Tipo_riesgoseg">ListasRSec!$F$10:$F$12</definedName>
    <definedName name="TIPOACCION">'[2]NO BORRAR'!$I$1:$I$9</definedName>
    <definedName name="TRATAMIENTO_RIESGO">'[3]NO BORRAR'!$G$1:$G$5</definedName>
  </definedNames>
  <calcPr calcId="152511"/>
  <pivotCaches>
    <pivotCache cacheId="1"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1" i="1" l="1"/>
  <c r="X246" i="1"/>
  <c r="U246" i="1"/>
  <c r="X245" i="1"/>
  <c r="U245" i="1"/>
  <c r="AF246" i="1" s="1"/>
  <c r="AE246" i="1" s="1"/>
  <c r="X244" i="1"/>
  <c r="U244" i="1"/>
  <c r="X243" i="1"/>
  <c r="U243" i="1"/>
  <c r="X242" i="1"/>
  <c r="U242" i="1"/>
  <c r="X241" i="1"/>
  <c r="K241" i="1"/>
  <c r="X265" i="1"/>
  <c r="N246" i="1"/>
  <c r="N245" i="1"/>
  <c r="N244" i="1"/>
  <c r="N243" i="1"/>
  <c r="N242" i="1"/>
  <c r="AF243" i="1" l="1"/>
  <c r="AE243" i="1" s="1"/>
  <c r="AB245" i="1"/>
  <c r="AD245" i="1" s="1"/>
  <c r="AB244" i="1"/>
  <c r="AC244" i="1" s="1"/>
  <c r="AF244" i="1"/>
  <c r="AE244" i="1" s="1"/>
  <c r="AG244" i="1" s="1"/>
  <c r="AF245" i="1"/>
  <c r="AE245" i="1" s="1"/>
  <c r="AB242" i="1"/>
  <c r="AD242" i="1" s="1"/>
  <c r="AF242" i="1"/>
  <c r="AD244" i="1"/>
  <c r="AC245" i="1"/>
  <c r="AB246" i="1"/>
  <c r="L241" i="1"/>
  <c r="AB241" i="1" s="1"/>
  <c r="AB243" i="1"/>
  <c r="AG245" i="1" l="1"/>
  <c r="AC242" i="1"/>
  <c r="AG242" i="1" s="1"/>
  <c r="AC241" i="1"/>
  <c r="AD241" i="1"/>
  <c r="AC246" i="1"/>
  <c r="AG246" i="1" s="1"/>
  <c r="AD246" i="1"/>
  <c r="AD243" i="1"/>
  <c r="AC243" i="1"/>
  <c r="AG243" i="1" s="1"/>
  <c r="X306" i="1" l="1"/>
  <c r="U306" i="1"/>
  <c r="X305" i="1"/>
  <c r="U305" i="1"/>
  <c r="AF306" i="1" s="1"/>
  <c r="AE306" i="1" s="1"/>
  <c r="X304" i="1"/>
  <c r="U304" i="1"/>
  <c r="X303" i="1"/>
  <c r="U303" i="1"/>
  <c r="AB304" i="1" s="1"/>
  <c r="AC304" i="1" s="1"/>
  <c r="X302" i="1"/>
  <c r="U302" i="1"/>
  <c r="X301" i="1"/>
  <c r="U301" i="1"/>
  <c r="AF302" i="1" s="1"/>
  <c r="AE302" i="1" s="1"/>
  <c r="K301" i="1"/>
  <c r="X312" i="1"/>
  <c r="U312" i="1"/>
  <c r="X311" i="1"/>
  <c r="U311" i="1"/>
  <c r="X310" i="1"/>
  <c r="U310" i="1"/>
  <c r="X309" i="1"/>
  <c r="U309" i="1"/>
  <c r="X308" i="1"/>
  <c r="U308" i="1"/>
  <c r="X307" i="1"/>
  <c r="U307" i="1"/>
  <c r="K307" i="1"/>
  <c r="X318" i="1"/>
  <c r="U318" i="1"/>
  <c r="X317" i="1"/>
  <c r="U317" i="1"/>
  <c r="X316" i="1"/>
  <c r="U316" i="1"/>
  <c r="X315" i="1"/>
  <c r="U315" i="1"/>
  <c r="X314" i="1"/>
  <c r="U314" i="1"/>
  <c r="X313" i="1"/>
  <c r="U313" i="1"/>
  <c r="K313" i="1"/>
  <c r="X324" i="1"/>
  <c r="U324" i="1"/>
  <c r="X323" i="1"/>
  <c r="U323" i="1"/>
  <c r="X322" i="1"/>
  <c r="U322" i="1"/>
  <c r="X321" i="1"/>
  <c r="U321" i="1"/>
  <c r="X320" i="1"/>
  <c r="U320" i="1"/>
  <c r="X319" i="1"/>
  <c r="U319" i="1"/>
  <c r="K319" i="1"/>
  <c r="X282" i="1"/>
  <c r="U282" i="1"/>
  <c r="X281" i="1"/>
  <c r="U281" i="1"/>
  <c r="X280" i="1"/>
  <c r="U280" i="1"/>
  <c r="X279" i="1"/>
  <c r="U279" i="1"/>
  <c r="X278" i="1"/>
  <c r="U278" i="1"/>
  <c r="X277" i="1"/>
  <c r="U277" i="1"/>
  <c r="K277" i="1"/>
  <c r="X288" i="1"/>
  <c r="U288" i="1"/>
  <c r="X287" i="1"/>
  <c r="U287" i="1"/>
  <c r="X286" i="1"/>
  <c r="U286" i="1"/>
  <c r="X285" i="1"/>
  <c r="U285" i="1"/>
  <c r="X284" i="1"/>
  <c r="U284" i="1"/>
  <c r="X283" i="1"/>
  <c r="U283" i="1"/>
  <c r="K283" i="1"/>
  <c r="X234" i="1"/>
  <c r="U234" i="1"/>
  <c r="X233" i="1"/>
  <c r="U233" i="1"/>
  <c r="X232" i="1"/>
  <c r="U232" i="1"/>
  <c r="X231" i="1"/>
  <c r="U231" i="1"/>
  <c r="X230" i="1"/>
  <c r="U230" i="1"/>
  <c r="X229" i="1"/>
  <c r="U229" i="1"/>
  <c r="K229" i="1"/>
  <c r="X240" i="1"/>
  <c r="U240" i="1"/>
  <c r="X239" i="1"/>
  <c r="U239" i="1"/>
  <c r="X238" i="1"/>
  <c r="U238" i="1"/>
  <c r="X237" i="1"/>
  <c r="U237" i="1"/>
  <c r="X236" i="1"/>
  <c r="U236" i="1"/>
  <c r="X235" i="1"/>
  <c r="U235" i="1"/>
  <c r="K235" i="1"/>
  <c r="W54" i="52"/>
  <c r="T54" i="52"/>
  <c r="W53" i="52"/>
  <c r="T53" i="52"/>
  <c r="AE54" i="52" s="1"/>
  <c r="AD54" i="52" s="1"/>
  <c r="W52" i="52"/>
  <c r="T52" i="52"/>
  <c r="W51" i="52"/>
  <c r="T51" i="52"/>
  <c r="W50" i="52"/>
  <c r="T50" i="52"/>
  <c r="W49" i="52"/>
  <c r="T49" i="52"/>
  <c r="M49" i="52"/>
  <c r="N49" i="52" s="1"/>
  <c r="J49" i="52"/>
  <c r="W60" i="52"/>
  <c r="T60" i="52"/>
  <c r="W59" i="52"/>
  <c r="T59" i="52"/>
  <c r="W58" i="52"/>
  <c r="T58" i="52"/>
  <c r="AE59" i="52" s="1"/>
  <c r="AD59" i="52" s="1"/>
  <c r="W57" i="52"/>
  <c r="T57" i="52"/>
  <c r="W56" i="52"/>
  <c r="T56" i="52"/>
  <c r="W55" i="52"/>
  <c r="T55" i="52"/>
  <c r="M55" i="52"/>
  <c r="N55" i="52" s="1"/>
  <c r="J55" i="52"/>
  <c r="X222" i="1"/>
  <c r="U222" i="1"/>
  <c r="X221" i="1"/>
  <c r="U221" i="1"/>
  <c r="X220" i="1"/>
  <c r="U220" i="1"/>
  <c r="X219" i="1"/>
  <c r="U219" i="1"/>
  <c r="X218" i="1"/>
  <c r="U218" i="1"/>
  <c r="X217" i="1"/>
  <c r="U217" i="1"/>
  <c r="K217" i="1"/>
  <c r="X228" i="1"/>
  <c r="U228" i="1"/>
  <c r="X227" i="1"/>
  <c r="U227" i="1"/>
  <c r="X226" i="1"/>
  <c r="U226" i="1"/>
  <c r="X225" i="1"/>
  <c r="U225" i="1"/>
  <c r="X224" i="1"/>
  <c r="U224" i="1"/>
  <c r="X223" i="1"/>
  <c r="U223" i="1"/>
  <c r="K223" i="1"/>
  <c r="X216" i="1"/>
  <c r="U216" i="1"/>
  <c r="X215" i="1"/>
  <c r="U215" i="1"/>
  <c r="X214" i="1"/>
  <c r="U214" i="1"/>
  <c r="X213" i="1"/>
  <c r="U213" i="1"/>
  <c r="X212" i="1"/>
  <c r="U212" i="1"/>
  <c r="X211" i="1"/>
  <c r="U211" i="1"/>
  <c r="K211" i="1"/>
  <c r="N239" i="1"/>
  <c r="N280" i="1"/>
  <c r="N219" i="1"/>
  <c r="N218" i="1"/>
  <c r="N216" i="1"/>
  <c r="N304" i="1"/>
  <c r="N316" i="1"/>
  <c r="N324" i="1"/>
  <c r="N279" i="1"/>
  <c r="N317" i="1"/>
  <c r="N233" i="1"/>
  <c r="N230" i="1"/>
  <c r="N309" i="1"/>
  <c r="N221" i="1"/>
  <c r="N225" i="1"/>
  <c r="N214" i="1"/>
  <c r="N240" i="1"/>
  <c r="N321" i="1"/>
  <c r="N318" i="1"/>
  <c r="N286" i="1"/>
  <c r="N236" i="1"/>
  <c r="N310" i="1"/>
  <c r="N213" i="1"/>
  <c r="N224" i="1"/>
  <c r="N284" i="1"/>
  <c r="N303" i="1"/>
  <c r="N312" i="1"/>
  <c r="N315" i="1"/>
  <c r="N222" i="1"/>
  <c r="N288" i="1"/>
  <c r="N305" i="1"/>
  <c r="N234" i="1"/>
  <c r="N226" i="1"/>
  <c r="N215" i="1"/>
  <c r="N302" i="1"/>
  <c r="N212" i="1"/>
  <c r="N227" i="1"/>
  <c r="N231" i="1"/>
  <c r="N228" i="1"/>
  <c r="N238" i="1"/>
  <c r="N281" i="1"/>
  <c r="N282" i="1"/>
  <c r="N311" i="1"/>
  <c r="N287" i="1"/>
  <c r="N314" i="1"/>
  <c r="N323" i="1"/>
  <c r="N322" i="1"/>
  <c r="N308" i="1"/>
  <c r="N306" i="1"/>
  <c r="N237" i="1"/>
  <c r="N320" i="1"/>
  <c r="N232" i="1"/>
  <c r="N220" i="1"/>
  <c r="N278" i="1"/>
  <c r="N285" i="1"/>
  <c r="O55" i="52" l="1"/>
  <c r="AE57" i="52"/>
  <c r="AD57" i="52" s="1"/>
  <c r="AF224" i="1"/>
  <c r="AE224" i="1" s="1"/>
  <c r="AF219" i="1"/>
  <c r="AE219" i="1" s="1"/>
  <c r="AF236" i="1"/>
  <c r="AE236" i="1" s="1"/>
  <c r="AF322" i="1"/>
  <c r="AE322" i="1" s="1"/>
  <c r="AF324" i="1"/>
  <c r="AE324" i="1" s="1"/>
  <c r="AF315" i="1"/>
  <c r="AE315" i="1" s="1"/>
  <c r="AB317" i="1"/>
  <c r="AD317" i="1" s="1"/>
  <c r="AF312" i="1"/>
  <c r="AE312" i="1" s="1"/>
  <c r="AF303" i="1"/>
  <c r="AE303" i="1" s="1"/>
  <c r="AB305" i="1"/>
  <c r="AD305" i="1" s="1"/>
  <c r="AF316" i="1"/>
  <c r="AE316" i="1" s="1"/>
  <c r="AF304" i="1"/>
  <c r="AE304" i="1" s="1"/>
  <c r="AG304" i="1" s="1"/>
  <c r="AF285" i="1"/>
  <c r="AE285" i="1" s="1"/>
  <c r="AB321" i="1"/>
  <c r="AD321" i="1" s="1"/>
  <c r="AF305" i="1"/>
  <c r="AE305" i="1" s="1"/>
  <c r="AF318" i="1"/>
  <c r="AE318" i="1" s="1"/>
  <c r="AF309" i="1"/>
  <c r="AE309" i="1" s="1"/>
  <c r="AF310" i="1"/>
  <c r="AE310" i="1" s="1"/>
  <c r="AF321" i="1"/>
  <c r="AE321" i="1" s="1"/>
  <c r="L301" i="1"/>
  <c r="AB301" i="1" s="1"/>
  <c r="AB302" i="1"/>
  <c r="AD304" i="1"/>
  <c r="AB306" i="1"/>
  <c r="AB303" i="1"/>
  <c r="AF317" i="1"/>
  <c r="AE317" i="1" s="1"/>
  <c r="AB311" i="1"/>
  <c r="AD311" i="1" s="1"/>
  <c r="AF311" i="1"/>
  <c r="AE311" i="1" s="1"/>
  <c r="AB310" i="1"/>
  <c r="AD310" i="1" s="1"/>
  <c r="AF238" i="1"/>
  <c r="AE238" i="1" s="1"/>
  <c r="AF233" i="1"/>
  <c r="AE233" i="1" s="1"/>
  <c r="AF323" i="1"/>
  <c r="AE323" i="1" s="1"/>
  <c r="AB316" i="1"/>
  <c r="AD316" i="1" s="1"/>
  <c r="L307" i="1"/>
  <c r="AB307" i="1" s="1"/>
  <c r="AD307" i="1" s="1"/>
  <c r="AB308" i="1" s="1"/>
  <c r="AB312" i="1"/>
  <c r="AB309" i="1"/>
  <c r="L313" i="1"/>
  <c r="AB313" i="1" s="1"/>
  <c r="AD313" i="1" s="1"/>
  <c r="AB314" i="1" s="1"/>
  <c r="AD314" i="1" s="1"/>
  <c r="AB318" i="1"/>
  <c r="AB315" i="1"/>
  <c r="AB322" i="1"/>
  <c r="AF287" i="1"/>
  <c r="AE287" i="1" s="1"/>
  <c r="AB280" i="1"/>
  <c r="AD280" i="1" s="1"/>
  <c r="AF282" i="1"/>
  <c r="AE282" i="1" s="1"/>
  <c r="AB323" i="1"/>
  <c r="L319" i="1"/>
  <c r="AB319" i="1" s="1"/>
  <c r="AB324" i="1"/>
  <c r="AF239" i="1"/>
  <c r="AE239" i="1" s="1"/>
  <c r="AF232" i="1"/>
  <c r="AE232" i="1" s="1"/>
  <c r="AF288" i="1"/>
  <c r="AE288" i="1" s="1"/>
  <c r="AB281" i="1"/>
  <c r="AD281" i="1" s="1"/>
  <c r="AB233" i="1"/>
  <c r="AD233" i="1" s="1"/>
  <c r="AB232" i="1"/>
  <c r="AD232" i="1" s="1"/>
  <c r="AB287" i="1"/>
  <c r="AD287" i="1" s="1"/>
  <c r="AF281" i="1"/>
  <c r="AE281" i="1" s="1"/>
  <c r="AF240" i="1"/>
  <c r="AE240" i="1" s="1"/>
  <c r="AF231" i="1"/>
  <c r="AE231" i="1" s="1"/>
  <c r="AF237" i="1"/>
  <c r="AE237" i="1" s="1"/>
  <c r="AF286" i="1"/>
  <c r="AE286" i="1" s="1"/>
  <c r="AF226" i="1"/>
  <c r="AE226" i="1" s="1"/>
  <c r="AF228" i="1"/>
  <c r="AE228" i="1" s="1"/>
  <c r="L277" i="1"/>
  <c r="AB277" i="1" s="1"/>
  <c r="AD277" i="1" s="1"/>
  <c r="AB278" i="1" s="1"/>
  <c r="AB282" i="1"/>
  <c r="AB238" i="1"/>
  <c r="AD238" i="1" s="1"/>
  <c r="AB239" i="1"/>
  <c r="AD239" i="1" s="1"/>
  <c r="AB286" i="1"/>
  <c r="AF234" i="1"/>
  <c r="AE234" i="1" s="1"/>
  <c r="L283" i="1"/>
  <c r="AB283" i="1" s="1"/>
  <c r="AD283" i="1" s="1"/>
  <c r="AB284" i="1"/>
  <c r="AB288" i="1"/>
  <c r="AB285" i="1"/>
  <c r="K55" i="52"/>
  <c r="AA55" i="52" s="1"/>
  <c r="AB220" i="1"/>
  <c r="AD220" i="1" s="1"/>
  <c r="AF222" i="1"/>
  <c r="AE222" i="1" s="1"/>
  <c r="L229" i="1"/>
  <c r="AB229" i="1" s="1"/>
  <c r="AD229" i="1" s="1"/>
  <c r="AB230" i="1" s="1"/>
  <c r="AB234" i="1"/>
  <c r="AB231" i="1"/>
  <c r="AC238" i="1"/>
  <c r="L235" i="1"/>
  <c r="AB235" i="1" s="1"/>
  <c r="AD235" i="1" s="1"/>
  <c r="AB236" i="1"/>
  <c r="AB240" i="1"/>
  <c r="AB237" i="1"/>
  <c r="AB221" i="1"/>
  <c r="AD221" i="1" s="1"/>
  <c r="AF214" i="1"/>
  <c r="AE214" i="1" s="1"/>
  <c r="AF227" i="1"/>
  <c r="AE227" i="1" s="1"/>
  <c r="AB227" i="1"/>
  <c r="AD227" i="1" s="1"/>
  <c r="AF220" i="1"/>
  <c r="AE220" i="1" s="1"/>
  <c r="AE56" i="52"/>
  <c r="AD56" i="52" s="1"/>
  <c r="AE58" i="52"/>
  <c r="AD58" i="52" s="1"/>
  <c r="AE60" i="52"/>
  <c r="AD60" i="52" s="1"/>
  <c r="O49" i="52"/>
  <c r="AE53" i="52"/>
  <c r="AD53" i="52" s="1"/>
  <c r="K49" i="52"/>
  <c r="AA49" i="52" s="1"/>
  <c r="AE49" i="52"/>
  <c r="AD49" i="52" s="1"/>
  <c r="AA53" i="52"/>
  <c r="AA54" i="52"/>
  <c r="AE55" i="52"/>
  <c r="AD55" i="52" s="1"/>
  <c r="AA56" i="52"/>
  <c r="AA57" i="52"/>
  <c r="AA58" i="52"/>
  <c r="AA59" i="52"/>
  <c r="AA60" i="52"/>
  <c r="AB226" i="1"/>
  <c r="AD226" i="1" s="1"/>
  <c r="AF221" i="1"/>
  <c r="AE221" i="1" s="1"/>
  <c r="AF225" i="1"/>
  <c r="AE225" i="1" s="1"/>
  <c r="AF213" i="1"/>
  <c r="AE213" i="1" s="1"/>
  <c r="AF215" i="1"/>
  <c r="AE215" i="1" s="1"/>
  <c r="AF216" i="1"/>
  <c r="AE216" i="1" s="1"/>
  <c r="L217" i="1"/>
  <c r="AB217" i="1" s="1"/>
  <c r="AB222" i="1"/>
  <c r="AB219" i="1"/>
  <c r="L223" i="1"/>
  <c r="AB223" i="1" s="1"/>
  <c r="AD223" i="1" s="1"/>
  <c r="AB224" i="1"/>
  <c r="AB228" i="1"/>
  <c r="AB214" i="1"/>
  <c r="AD214" i="1" s="1"/>
  <c r="AB225" i="1"/>
  <c r="AB215" i="1"/>
  <c r="L211" i="1"/>
  <c r="AB211" i="1" s="1"/>
  <c r="AB216" i="1"/>
  <c r="AB213" i="1"/>
  <c r="AC321" i="1" l="1"/>
  <c r="AG321" i="1" s="1"/>
  <c r="AC317" i="1"/>
  <c r="AG317" i="1" s="1"/>
  <c r="AC305" i="1"/>
  <c r="AG305" i="1" s="1"/>
  <c r="AD301" i="1"/>
  <c r="AC301" i="1"/>
  <c r="AC313" i="1"/>
  <c r="AC307" i="1"/>
  <c r="AD303" i="1"/>
  <c r="AC303" i="1"/>
  <c r="AG303" i="1" s="1"/>
  <c r="AC302" i="1"/>
  <c r="AG302" i="1" s="1"/>
  <c r="AD302" i="1"/>
  <c r="AC227" i="1"/>
  <c r="AG227" i="1" s="1"/>
  <c r="AC306" i="1"/>
  <c r="AG306" i="1" s="1"/>
  <c r="AD306" i="1"/>
  <c r="AC280" i="1"/>
  <c r="AG238" i="1"/>
  <c r="AC311" i="1"/>
  <c r="AG311" i="1" s="1"/>
  <c r="AC220" i="1"/>
  <c r="AG220" i="1" s="1"/>
  <c r="AC316" i="1"/>
  <c r="AG316" i="1" s="1"/>
  <c r="AC310" i="1"/>
  <c r="AG310" i="1" s="1"/>
  <c r="AD309" i="1"/>
  <c r="AC309" i="1"/>
  <c r="AG309" i="1" s="1"/>
  <c r="AC312" i="1"/>
  <c r="AG312" i="1" s="1"/>
  <c r="AD312" i="1"/>
  <c r="AC308" i="1"/>
  <c r="AD308" i="1"/>
  <c r="AC314" i="1"/>
  <c r="AD315" i="1"/>
  <c r="AC315" i="1"/>
  <c r="AG315" i="1" s="1"/>
  <c r="AC318" i="1"/>
  <c r="AG318" i="1" s="1"/>
  <c r="AD318" i="1"/>
  <c r="AC324" i="1"/>
  <c r="AG324" i="1" s="1"/>
  <c r="AD324" i="1"/>
  <c r="AC319" i="1"/>
  <c r="AD319" i="1"/>
  <c r="AB320" i="1" s="1"/>
  <c r="AD320" i="1" s="1"/>
  <c r="AD322" i="1"/>
  <c r="AC322" i="1"/>
  <c r="AG322" i="1" s="1"/>
  <c r="AC233" i="1"/>
  <c r="AG233" i="1" s="1"/>
  <c r="AD323" i="1"/>
  <c r="AC323" i="1"/>
  <c r="AG323" i="1" s="1"/>
  <c r="AC283" i="1"/>
  <c r="AC221" i="1"/>
  <c r="AG221" i="1" s="1"/>
  <c r="AC232" i="1"/>
  <c r="AG232" i="1" s="1"/>
  <c r="AC281" i="1"/>
  <c r="AG281" i="1" s="1"/>
  <c r="AD211" i="1"/>
  <c r="AB212" i="1" s="1"/>
  <c r="AC212" i="1" s="1"/>
  <c r="AC211" i="1"/>
  <c r="AD217" i="1"/>
  <c r="AB218" i="1" s="1"/>
  <c r="AC218" i="1" s="1"/>
  <c r="AC217" i="1"/>
  <c r="AC239" i="1"/>
  <c r="AG239" i="1" s="1"/>
  <c r="AC229" i="1"/>
  <c r="AC287" i="1"/>
  <c r="AG287" i="1" s="1"/>
  <c r="AC277" i="1"/>
  <c r="AC282" i="1"/>
  <c r="AG282" i="1" s="1"/>
  <c r="AD282" i="1"/>
  <c r="AC278" i="1"/>
  <c r="AD278" i="1"/>
  <c r="AB279" i="1" s="1"/>
  <c r="AD279" i="1" s="1"/>
  <c r="AC284" i="1"/>
  <c r="AD284" i="1"/>
  <c r="AC285" i="1"/>
  <c r="AG285" i="1" s="1"/>
  <c r="AD285" i="1"/>
  <c r="AD286" i="1"/>
  <c r="AC286" i="1"/>
  <c r="AG286" i="1" s="1"/>
  <c r="AC288" i="1"/>
  <c r="AG288" i="1" s="1"/>
  <c r="AD288" i="1"/>
  <c r="AC235" i="1"/>
  <c r="AC230" i="1"/>
  <c r="AD230" i="1"/>
  <c r="AD231" i="1"/>
  <c r="AC231" i="1"/>
  <c r="AG231" i="1" s="1"/>
  <c r="AC234" i="1"/>
  <c r="AG234" i="1" s="1"/>
  <c r="AD234" i="1"/>
  <c r="AD237" i="1"/>
  <c r="AC237" i="1"/>
  <c r="AG237" i="1" s="1"/>
  <c r="AC240" i="1"/>
  <c r="AG240" i="1" s="1"/>
  <c r="AD240" i="1"/>
  <c r="AC236" i="1"/>
  <c r="AG236" i="1" s="1"/>
  <c r="AD236" i="1"/>
  <c r="AC226" i="1"/>
  <c r="AG226" i="1" s="1"/>
  <c r="AC223" i="1"/>
  <c r="AE50" i="52"/>
  <c r="AB53" i="52"/>
  <c r="AF53" i="52" s="1"/>
  <c r="AC53" i="52"/>
  <c r="AB54" i="52"/>
  <c r="AF54" i="52" s="1"/>
  <c r="AC54" i="52"/>
  <c r="AB49" i="52"/>
  <c r="AF49" i="52" s="1"/>
  <c r="AC49" i="52"/>
  <c r="AA50" i="52" s="1"/>
  <c r="AC50" i="52" s="1"/>
  <c r="AA51" i="52" s="1"/>
  <c r="AB57" i="52"/>
  <c r="AF57" i="52" s="1"/>
  <c r="AC57" i="52"/>
  <c r="AB60" i="52"/>
  <c r="AF60" i="52" s="1"/>
  <c r="AC60" i="52"/>
  <c r="AB59" i="52"/>
  <c r="AF59" i="52" s="1"/>
  <c r="AC59" i="52"/>
  <c r="AB56" i="52"/>
  <c r="AF56" i="52" s="1"/>
  <c r="AC56" i="52"/>
  <c r="AB58" i="52"/>
  <c r="AF58" i="52" s="1"/>
  <c r="AC58" i="52"/>
  <c r="AB55" i="52"/>
  <c r="AF55" i="52" s="1"/>
  <c r="AC55" i="52"/>
  <c r="AC222" i="1"/>
  <c r="AG222" i="1" s="1"/>
  <c r="AD222" i="1"/>
  <c r="AC219" i="1"/>
  <c r="AG219" i="1" s="1"/>
  <c r="AD219" i="1"/>
  <c r="AC224" i="1"/>
  <c r="AG224" i="1" s="1"/>
  <c r="AD224" i="1"/>
  <c r="AC214" i="1"/>
  <c r="AG214" i="1" s="1"/>
  <c r="AC228" i="1"/>
  <c r="AG228" i="1" s="1"/>
  <c r="AD228" i="1"/>
  <c r="AC225" i="1"/>
  <c r="AG225" i="1" s="1"/>
  <c r="AD225" i="1"/>
  <c r="AC216" i="1"/>
  <c r="AG216" i="1" s="1"/>
  <c r="AD216" i="1"/>
  <c r="AD215" i="1"/>
  <c r="AC215" i="1"/>
  <c r="AG215" i="1" s="1"/>
  <c r="AC213" i="1"/>
  <c r="AG213" i="1" s="1"/>
  <c r="AD213" i="1"/>
  <c r="AC320" i="1" l="1"/>
  <c r="AC279" i="1"/>
  <c r="AD212" i="1"/>
  <c r="AD218" i="1"/>
  <c r="AB51" i="52"/>
  <c r="AC51" i="52"/>
  <c r="AA52" i="52" s="1"/>
  <c r="AB50" i="52"/>
  <c r="AD50" i="52"/>
  <c r="AE51" i="52"/>
  <c r="AC52" i="52" l="1"/>
  <c r="AB52" i="52"/>
  <c r="AD51" i="52"/>
  <c r="AF51" i="52" s="1"/>
  <c r="AE52" i="52"/>
  <c r="AD52" i="52" s="1"/>
  <c r="AF50" i="52"/>
  <c r="AF52" i="52" l="1"/>
  <c r="X198" i="1" l="1"/>
  <c r="U198" i="1"/>
  <c r="X197" i="1"/>
  <c r="U197" i="1"/>
  <c r="X196" i="1"/>
  <c r="U196" i="1"/>
  <c r="X195" i="1"/>
  <c r="U195" i="1"/>
  <c r="X194" i="1"/>
  <c r="U194" i="1"/>
  <c r="X193" i="1"/>
  <c r="U193" i="1"/>
  <c r="K193" i="1"/>
  <c r="X204" i="1"/>
  <c r="U204" i="1"/>
  <c r="X203" i="1"/>
  <c r="U203" i="1"/>
  <c r="X202" i="1"/>
  <c r="U202" i="1"/>
  <c r="X201" i="1"/>
  <c r="U201" i="1"/>
  <c r="X200" i="1"/>
  <c r="U200" i="1"/>
  <c r="X199" i="1"/>
  <c r="U199" i="1"/>
  <c r="K199" i="1"/>
  <c r="X210" i="1"/>
  <c r="U210" i="1"/>
  <c r="X209" i="1"/>
  <c r="U209" i="1"/>
  <c r="X208" i="1"/>
  <c r="U208" i="1"/>
  <c r="X207" i="1"/>
  <c r="U207" i="1"/>
  <c r="X206" i="1"/>
  <c r="U206" i="1"/>
  <c r="X205" i="1"/>
  <c r="U205" i="1"/>
  <c r="K205" i="1"/>
  <c r="X174" i="1"/>
  <c r="U174" i="1"/>
  <c r="X173" i="1"/>
  <c r="U173" i="1"/>
  <c r="X172" i="1"/>
  <c r="U172" i="1"/>
  <c r="X171" i="1"/>
  <c r="U171" i="1"/>
  <c r="X170" i="1"/>
  <c r="U170" i="1"/>
  <c r="X169" i="1"/>
  <c r="U169" i="1"/>
  <c r="K169" i="1"/>
  <c r="X180" i="1"/>
  <c r="U180" i="1"/>
  <c r="X179" i="1"/>
  <c r="U179" i="1"/>
  <c r="X178" i="1"/>
  <c r="U178" i="1"/>
  <c r="X177" i="1"/>
  <c r="U177" i="1"/>
  <c r="X176" i="1"/>
  <c r="U176" i="1"/>
  <c r="X175" i="1"/>
  <c r="U175" i="1"/>
  <c r="K175" i="1"/>
  <c r="W36" i="52"/>
  <c r="T36" i="52"/>
  <c r="W35" i="52"/>
  <c r="T35" i="52"/>
  <c r="W34" i="52"/>
  <c r="T34" i="52"/>
  <c r="AE35" i="52" s="1"/>
  <c r="AD35" i="52" s="1"/>
  <c r="W33" i="52"/>
  <c r="T33" i="52"/>
  <c r="W32" i="52"/>
  <c r="T32" i="52"/>
  <c r="AE33" i="52" s="1"/>
  <c r="AD33" i="52" s="1"/>
  <c r="W31" i="52"/>
  <c r="T31" i="52"/>
  <c r="M31" i="52"/>
  <c r="N31" i="52" s="1"/>
  <c r="J31" i="52"/>
  <c r="O31" i="52" s="1"/>
  <c r="W42" i="52"/>
  <c r="T42" i="52"/>
  <c r="W41" i="52"/>
  <c r="T41" i="52"/>
  <c r="W40" i="52"/>
  <c r="T40" i="52"/>
  <c r="W39" i="52"/>
  <c r="T39" i="52"/>
  <c r="AE40" i="52" s="1"/>
  <c r="AD40" i="52" s="1"/>
  <c r="W38" i="52"/>
  <c r="T38" i="52"/>
  <c r="W37" i="52"/>
  <c r="T37" i="52"/>
  <c r="M37" i="52"/>
  <c r="N37" i="52" s="1"/>
  <c r="J37" i="52"/>
  <c r="K37" i="52" s="1"/>
  <c r="W48" i="52"/>
  <c r="T48" i="52"/>
  <c r="W47" i="52"/>
  <c r="T47" i="52"/>
  <c r="W46" i="52"/>
  <c r="T46" i="52"/>
  <c r="AE47" i="52" s="1"/>
  <c r="AD47" i="52" s="1"/>
  <c r="W45" i="52"/>
  <c r="T45" i="52"/>
  <c r="W44" i="52"/>
  <c r="T44" i="52"/>
  <c r="W43" i="52"/>
  <c r="T43" i="52"/>
  <c r="M43" i="52"/>
  <c r="N43" i="52" s="1"/>
  <c r="J43" i="52"/>
  <c r="X162" i="1"/>
  <c r="U162" i="1"/>
  <c r="X161" i="1"/>
  <c r="U161" i="1"/>
  <c r="X160" i="1"/>
  <c r="U160" i="1"/>
  <c r="X159" i="1"/>
  <c r="U159" i="1"/>
  <c r="X158" i="1"/>
  <c r="U158" i="1"/>
  <c r="X157" i="1"/>
  <c r="U157" i="1"/>
  <c r="K157" i="1"/>
  <c r="X168" i="1"/>
  <c r="U168" i="1"/>
  <c r="X167" i="1"/>
  <c r="U167" i="1"/>
  <c r="X166" i="1"/>
  <c r="U166" i="1"/>
  <c r="X165" i="1"/>
  <c r="U165" i="1"/>
  <c r="X164" i="1"/>
  <c r="U164" i="1"/>
  <c r="X163" i="1"/>
  <c r="U163" i="1"/>
  <c r="K163" i="1"/>
  <c r="X192" i="1"/>
  <c r="U192" i="1"/>
  <c r="X191" i="1"/>
  <c r="U191" i="1"/>
  <c r="X190" i="1"/>
  <c r="U190" i="1"/>
  <c r="X189" i="1"/>
  <c r="U189" i="1"/>
  <c r="X188" i="1"/>
  <c r="U188" i="1"/>
  <c r="X187" i="1"/>
  <c r="U187" i="1"/>
  <c r="K187" i="1"/>
  <c r="L187" i="1" s="1"/>
  <c r="X186" i="1"/>
  <c r="U186" i="1"/>
  <c r="X185" i="1"/>
  <c r="U185" i="1"/>
  <c r="X184" i="1"/>
  <c r="U184" i="1"/>
  <c r="X183" i="1"/>
  <c r="U183" i="1"/>
  <c r="X182" i="1"/>
  <c r="U182" i="1"/>
  <c r="AF183" i="1" s="1"/>
  <c r="AE183" i="1" s="1"/>
  <c r="X181" i="1"/>
  <c r="U181" i="1"/>
  <c r="K181" i="1"/>
  <c r="X156" i="1"/>
  <c r="U156" i="1"/>
  <c r="X155" i="1"/>
  <c r="U155" i="1"/>
  <c r="X154" i="1"/>
  <c r="U154" i="1"/>
  <c r="X153" i="1"/>
  <c r="U153" i="1"/>
  <c r="X152" i="1"/>
  <c r="U152" i="1"/>
  <c r="X151" i="1"/>
  <c r="U151" i="1"/>
  <c r="AF152" i="1" s="1"/>
  <c r="AE152" i="1" s="1"/>
  <c r="K151" i="1"/>
  <c r="X144" i="1"/>
  <c r="U144" i="1"/>
  <c r="X143" i="1"/>
  <c r="U143" i="1"/>
  <c r="X142" i="1"/>
  <c r="U142" i="1"/>
  <c r="X141" i="1"/>
  <c r="U141" i="1"/>
  <c r="X140" i="1"/>
  <c r="U140" i="1"/>
  <c r="AF141" i="1" s="1"/>
  <c r="X139" i="1"/>
  <c r="U139" i="1"/>
  <c r="K139" i="1"/>
  <c r="X150" i="1"/>
  <c r="U150" i="1"/>
  <c r="X149" i="1"/>
  <c r="U149" i="1"/>
  <c r="X148" i="1"/>
  <c r="U148" i="1"/>
  <c r="X147" i="1"/>
  <c r="U147" i="1"/>
  <c r="X146" i="1"/>
  <c r="U146" i="1"/>
  <c r="X145" i="1"/>
  <c r="U145" i="1"/>
  <c r="AF146" i="1" s="1"/>
  <c r="AE146" i="1" s="1"/>
  <c r="K145" i="1"/>
  <c r="N200" i="1"/>
  <c r="N182" i="1"/>
  <c r="N203" i="1"/>
  <c r="N167" i="1"/>
  <c r="N206" i="1"/>
  <c r="N191" i="1"/>
  <c r="N196" i="1"/>
  <c r="N202" i="1"/>
  <c r="N209" i="1"/>
  <c r="N201" i="1"/>
  <c r="N141" i="1"/>
  <c r="N168" i="1"/>
  <c r="N176" i="1"/>
  <c r="N159" i="1"/>
  <c r="N207" i="1"/>
  <c r="N174" i="1"/>
  <c r="N146" i="1"/>
  <c r="N183" i="1"/>
  <c r="N189" i="1"/>
  <c r="N154" i="1"/>
  <c r="N179" i="1"/>
  <c r="N194" i="1"/>
  <c r="N165" i="1"/>
  <c r="N155" i="1"/>
  <c r="N153" i="1"/>
  <c r="N204" i="1"/>
  <c r="N150" i="1"/>
  <c r="N185" i="1"/>
  <c r="N188" i="1"/>
  <c r="N195" i="1"/>
  <c r="N156" i="1"/>
  <c r="N177" i="1"/>
  <c r="N164" i="1"/>
  <c r="N170" i="1"/>
  <c r="N184" i="1"/>
  <c r="N158" i="1"/>
  <c r="N210" i="1"/>
  <c r="N160" i="1"/>
  <c r="N178" i="1"/>
  <c r="N166" i="1"/>
  <c r="N149" i="1"/>
  <c r="N143" i="1"/>
  <c r="N198" i="1"/>
  <c r="N162" i="1"/>
  <c r="N142" i="1"/>
  <c r="N152" i="1"/>
  <c r="N147" i="1"/>
  <c r="N173" i="1"/>
  <c r="N148" i="1"/>
  <c r="N186" i="1"/>
  <c r="N171" i="1"/>
  <c r="N172" i="1"/>
  <c r="N208" i="1"/>
  <c r="N144" i="1"/>
  <c r="N190" i="1"/>
  <c r="N197" i="1"/>
  <c r="N180" i="1"/>
  <c r="N161" i="1"/>
  <c r="N192" i="1"/>
  <c r="N140" i="1"/>
  <c r="AE42" i="52" l="1"/>
  <c r="AD42" i="52" s="1"/>
  <c r="AF165" i="1"/>
  <c r="AE165" i="1" s="1"/>
  <c r="AB207" i="1"/>
  <c r="AD207" i="1" s="1"/>
  <c r="AE39" i="52"/>
  <c r="AD39" i="52" s="1"/>
  <c r="AE32" i="52"/>
  <c r="AD32" i="52" s="1"/>
  <c r="AE46" i="52"/>
  <c r="AD46" i="52" s="1"/>
  <c r="AE48" i="52"/>
  <c r="AD48" i="52" s="1"/>
  <c r="AE41" i="52"/>
  <c r="AD41" i="52" s="1"/>
  <c r="AE34" i="52"/>
  <c r="AD34" i="52" s="1"/>
  <c r="AE36" i="52"/>
  <c r="AD36" i="52" s="1"/>
  <c r="AF207" i="1"/>
  <c r="AE207" i="1" s="1"/>
  <c r="AF147" i="1"/>
  <c r="AE147" i="1" s="1"/>
  <c r="AF153" i="1"/>
  <c r="AE153" i="1" s="1"/>
  <c r="AF182" i="1"/>
  <c r="AE182" i="1" s="1"/>
  <c r="AF189" i="1"/>
  <c r="AE189" i="1" s="1"/>
  <c r="AF159" i="1"/>
  <c r="AE159" i="1" s="1"/>
  <c r="AF201" i="1"/>
  <c r="AE201" i="1" s="1"/>
  <c r="AF203" i="1"/>
  <c r="AE203" i="1" s="1"/>
  <c r="O43" i="52"/>
  <c r="K43" i="52"/>
  <c r="AA43" i="52" s="1"/>
  <c r="AF208" i="1"/>
  <c r="AE208" i="1" s="1"/>
  <c r="AB197" i="1"/>
  <c r="AD197" i="1" s="1"/>
  <c r="AF202" i="1"/>
  <c r="AE202" i="1" s="1"/>
  <c r="AF185" i="1"/>
  <c r="AE185" i="1" s="1"/>
  <c r="AF210" i="1"/>
  <c r="AE210" i="1" s="1"/>
  <c r="AF204" i="1"/>
  <c r="AE204" i="1" s="1"/>
  <c r="AF196" i="1"/>
  <c r="AE196" i="1" s="1"/>
  <c r="AF198" i="1"/>
  <c r="AE198" i="1" s="1"/>
  <c r="AF197" i="1"/>
  <c r="AE197" i="1" s="1"/>
  <c r="AF191" i="1"/>
  <c r="AE191" i="1" s="1"/>
  <c r="AF161" i="1"/>
  <c r="AE161" i="1" s="1"/>
  <c r="AF173" i="1"/>
  <c r="AE173" i="1" s="1"/>
  <c r="AF209" i="1"/>
  <c r="AE209" i="1" s="1"/>
  <c r="AB202" i="1"/>
  <c r="AD202" i="1" s="1"/>
  <c r="AB196" i="1"/>
  <c r="AD196" i="1" s="1"/>
  <c r="AF184" i="1"/>
  <c r="AE184" i="1" s="1"/>
  <c r="AB192" i="1"/>
  <c r="AD192" i="1" s="1"/>
  <c r="AF160" i="1"/>
  <c r="AE160" i="1" s="1"/>
  <c r="L193" i="1"/>
  <c r="AB193" i="1" s="1"/>
  <c r="AD193" i="1" s="1"/>
  <c r="AB194" i="1" s="1"/>
  <c r="AB198" i="1"/>
  <c r="AB184" i="1"/>
  <c r="AD184" i="1" s="1"/>
  <c r="AB185" i="1"/>
  <c r="AD185" i="1" s="1"/>
  <c r="AF179" i="1"/>
  <c r="AE179" i="1" s="1"/>
  <c r="AB203" i="1"/>
  <c r="AF168" i="1"/>
  <c r="AE168" i="1" s="1"/>
  <c r="L199" i="1"/>
  <c r="AB199" i="1" s="1"/>
  <c r="AB204" i="1"/>
  <c r="AF192" i="1"/>
  <c r="AE192" i="1" s="1"/>
  <c r="AB201" i="1"/>
  <c r="AF167" i="1"/>
  <c r="AE167" i="1" s="1"/>
  <c r="AF180" i="1"/>
  <c r="AE180" i="1" s="1"/>
  <c r="AB173" i="1"/>
  <c r="AD173" i="1" s="1"/>
  <c r="AB208" i="1"/>
  <c r="AB172" i="1"/>
  <c r="AD172" i="1" s="1"/>
  <c r="AF172" i="1"/>
  <c r="AE172" i="1" s="1"/>
  <c r="AB209" i="1"/>
  <c r="AB167" i="1"/>
  <c r="AD167" i="1" s="1"/>
  <c r="AF190" i="1"/>
  <c r="AE190" i="1" s="1"/>
  <c r="AB166" i="1"/>
  <c r="AD166" i="1" s="1"/>
  <c r="AF174" i="1"/>
  <c r="AE174" i="1" s="1"/>
  <c r="L205" i="1"/>
  <c r="AB205" i="1" s="1"/>
  <c r="AB210" i="1"/>
  <c r="AB189" i="1"/>
  <c r="AD189" i="1" s="1"/>
  <c r="AB179" i="1"/>
  <c r="AD179" i="1" s="1"/>
  <c r="AF162" i="1"/>
  <c r="AE162" i="1" s="1"/>
  <c r="AF144" i="1"/>
  <c r="AE144" i="1" s="1"/>
  <c r="AF166" i="1"/>
  <c r="AE166" i="1" s="1"/>
  <c r="L169" i="1"/>
  <c r="AB169" i="1" s="1"/>
  <c r="AB174" i="1"/>
  <c r="AB160" i="1"/>
  <c r="AC160" i="1" s="1"/>
  <c r="AB161" i="1"/>
  <c r="AD161" i="1" s="1"/>
  <c r="L175" i="1"/>
  <c r="AB175" i="1" s="1"/>
  <c r="AB180" i="1"/>
  <c r="O37" i="52"/>
  <c r="K31" i="52"/>
  <c r="AA31" i="52" s="1"/>
  <c r="AE31" i="52"/>
  <c r="AD31" i="52" s="1"/>
  <c r="AA32" i="52"/>
  <c r="AA33" i="52"/>
  <c r="AA34" i="52"/>
  <c r="AA35" i="52"/>
  <c r="AA36" i="52"/>
  <c r="AA37" i="52"/>
  <c r="AE37" i="52"/>
  <c r="AD37" i="52" s="1"/>
  <c r="AA39" i="52"/>
  <c r="AA40" i="52"/>
  <c r="AA41" i="52"/>
  <c r="AA42" i="52"/>
  <c r="AE43" i="52"/>
  <c r="AD43" i="52" s="1"/>
  <c r="AA46" i="52"/>
  <c r="AA47" i="52"/>
  <c r="AA48" i="52"/>
  <c r="L157" i="1"/>
  <c r="AB157" i="1" s="1"/>
  <c r="AD157" i="1" s="1"/>
  <c r="AB158" i="1" s="1"/>
  <c r="AB162" i="1"/>
  <c r="AF155" i="1"/>
  <c r="AE155" i="1" s="1"/>
  <c r="AE141" i="1"/>
  <c r="AF154" i="1"/>
  <c r="AE154" i="1" s="1"/>
  <c r="AB159" i="1"/>
  <c r="AF143" i="1"/>
  <c r="AE143" i="1" s="1"/>
  <c r="L163" i="1"/>
  <c r="AB163" i="1" s="1"/>
  <c r="AD163" i="1" s="1"/>
  <c r="AB164" i="1" s="1"/>
  <c r="AB168" i="1"/>
  <c r="AB154" i="1"/>
  <c r="AD154" i="1" s="1"/>
  <c r="AB165" i="1"/>
  <c r="AF142" i="1"/>
  <c r="AE142" i="1" s="1"/>
  <c r="AB190" i="1"/>
  <c r="AF186" i="1"/>
  <c r="AE186" i="1" s="1"/>
  <c r="AB187" i="1"/>
  <c r="AB191" i="1"/>
  <c r="AF156" i="1"/>
  <c r="AE156" i="1" s="1"/>
  <c r="AF149" i="1"/>
  <c r="AE149" i="1" s="1"/>
  <c r="AB142" i="1"/>
  <c r="AD142" i="1" s="1"/>
  <c r="AB143" i="1"/>
  <c r="AD143" i="1" s="1"/>
  <c r="L181" i="1"/>
  <c r="AB181" i="1" s="1"/>
  <c r="AD181" i="1" s="1"/>
  <c r="AB182" i="1"/>
  <c r="AC185" i="1"/>
  <c r="AB186" i="1"/>
  <c r="AB183" i="1"/>
  <c r="AB155" i="1"/>
  <c r="AB148" i="1"/>
  <c r="AD148" i="1" s="1"/>
  <c r="AB149" i="1"/>
  <c r="AD149" i="1" s="1"/>
  <c r="AF148" i="1"/>
  <c r="AE148" i="1" s="1"/>
  <c r="L151" i="1"/>
  <c r="AB151" i="1" s="1"/>
  <c r="AD151" i="1" s="1"/>
  <c r="AB152" i="1"/>
  <c r="AB156" i="1"/>
  <c r="AF150" i="1"/>
  <c r="AE150" i="1" s="1"/>
  <c r="AB153" i="1"/>
  <c r="L139" i="1"/>
  <c r="AB139" i="1" s="1"/>
  <c r="AB144" i="1"/>
  <c r="AB141" i="1"/>
  <c r="L145" i="1"/>
  <c r="AB145" i="1" s="1"/>
  <c r="AD145" i="1" s="1"/>
  <c r="AB146" i="1"/>
  <c r="AB150" i="1"/>
  <c r="AB147" i="1"/>
  <c r="X132" i="1"/>
  <c r="U132" i="1"/>
  <c r="X131" i="1"/>
  <c r="U131" i="1"/>
  <c r="X130" i="1"/>
  <c r="U130" i="1"/>
  <c r="X129" i="1"/>
  <c r="U129" i="1"/>
  <c r="X128" i="1"/>
  <c r="U128" i="1"/>
  <c r="X127" i="1"/>
  <c r="U127" i="1"/>
  <c r="K127" i="1"/>
  <c r="X138" i="1"/>
  <c r="U138" i="1"/>
  <c r="X137" i="1"/>
  <c r="U137" i="1"/>
  <c r="X136" i="1"/>
  <c r="U136" i="1"/>
  <c r="X135" i="1"/>
  <c r="U135" i="1"/>
  <c r="X134" i="1"/>
  <c r="U134" i="1"/>
  <c r="X133" i="1"/>
  <c r="U133" i="1"/>
  <c r="K133" i="1"/>
  <c r="X126" i="1"/>
  <c r="U126" i="1"/>
  <c r="X125" i="1"/>
  <c r="U125" i="1"/>
  <c r="X124" i="1"/>
  <c r="U124" i="1"/>
  <c r="X123" i="1"/>
  <c r="U123" i="1"/>
  <c r="X122" i="1"/>
  <c r="U122" i="1"/>
  <c r="X121" i="1"/>
  <c r="U121" i="1"/>
  <c r="K121" i="1"/>
  <c r="X120" i="1"/>
  <c r="U120" i="1"/>
  <c r="X119" i="1"/>
  <c r="U119" i="1"/>
  <c r="X118" i="1"/>
  <c r="U118" i="1"/>
  <c r="X117" i="1"/>
  <c r="U117" i="1"/>
  <c r="X116" i="1"/>
  <c r="U116" i="1"/>
  <c r="X115" i="1"/>
  <c r="U115" i="1"/>
  <c r="K115" i="1"/>
  <c r="X102" i="1"/>
  <c r="U102" i="1"/>
  <c r="X101" i="1"/>
  <c r="U101" i="1"/>
  <c r="X100" i="1"/>
  <c r="U100" i="1"/>
  <c r="X99" i="1"/>
  <c r="U99" i="1"/>
  <c r="X98" i="1"/>
  <c r="U98" i="1"/>
  <c r="X97" i="1"/>
  <c r="U97" i="1"/>
  <c r="K97" i="1"/>
  <c r="X108" i="1"/>
  <c r="U108" i="1"/>
  <c r="X107" i="1"/>
  <c r="U107" i="1"/>
  <c r="X106" i="1"/>
  <c r="U106" i="1"/>
  <c r="X105" i="1"/>
  <c r="U105" i="1"/>
  <c r="X104" i="1"/>
  <c r="U104" i="1"/>
  <c r="X103" i="1"/>
  <c r="U103" i="1"/>
  <c r="K103" i="1"/>
  <c r="X114" i="1"/>
  <c r="U114" i="1"/>
  <c r="X113" i="1"/>
  <c r="U113" i="1"/>
  <c r="X112" i="1"/>
  <c r="U112" i="1"/>
  <c r="X111" i="1"/>
  <c r="U111" i="1"/>
  <c r="X110" i="1"/>
  <c r="U110" i="1"/>
  <c r="X109" i="1"/>
  <c r="U109" i="1"/>
  <c r="K109" i="1"/>
  <c r="X96" i="1"/>
  <c r="U96" i="1"/>
  <c r="X95" i="1"/>
  <c r="U95" i="1"/>
  <c r="X94" i="1"/>
  <c r="U94" i="1"/>
  <c r="X93" i="1"/>
  <c r="U93" i="1"/>
  <c r="X92" i="1"/>
  <c r="U92" i="1"/>
  <c r="X91" i="1"/>
  <c r="U91" i="1"/>
  <c r="K91" i="1"/>
  <c r="X90" i="1"/>
  <c r="U90" i="1"/>
  <c r="X89" i="1"/>
  <c r="U89" i="1"/>
  <c r="X88" i="1"/>
  <c r="U88" i="1"/>
  <c r="X87" i="1"/>
  <c r="U87" i="1"/>
  <c r="X86" i="1"/>
  <c r="U86" i="1"/>
  <c r="X85" i="1"/>
  <c r="U85" i="1"/>
  <c r="K85" i="1"/>
  <c r="X84" i="1"/>
  <c r="U84" i="1"/>
  <c r="X83" i="1"/>
  <c r="U83" i="1"/>
  <c r="X82" i="1"/>
  <c r="U82" i="1"/>
  <c r="X81" i="1"/>
  <c r="U81" i="1"/>
  <c r="X80" i="1"/>
  <c r="U80" i="1"/>
  <c r="X79" i="1"/>
  <c r="U79" i="1"/>
  <c r="K79" i="1"/>
  <c r="X66" i="1"/>
  <c r="U66" i="1"/>
  <c r="X65" i="1"/>
  <c r="U65" i="1"/>
  <c r="X64" i="1"/>
  <c r="U64" i="1"/>
  <c r="X63" i="1"/>
  <c r="U63" i="1"/>
  <c r="X62" i="1"/>
  <c r="U62" i="1"/>
  <c r="X61" i="1"/>
  <c r="U61" i="1"/>
  <c r="K61" i="1"/>
  <c r="X72" i="1"/>
  <c r="U72" i="1"/>
  <c r="X71" i="1"/>
  <c r="U71" i="1"/>
  <c r="X70" i="1"/>
  <c r="U70" i="1"/>
  <c r="X69" i="1"/>
  <c r="U69" i="1"/>
  <c r="X68" i="1"/>
  <c r="U68" i="1"/>
  <c r="X67" i="1"/>
  <c r="U67" i="1"/>
  <c r="K67" i="1"/>
  <c r="X78" i="1"/>
  <c r="U78" i="1"/>
  <c r="X77" i="1"/>
  <c r="U77" i="1"/>
  <c r="X76" i="1"/>
  <c r="U76" i="1"/>
  <c r="X75" i="1"/>
  <c r="U75" i="1"/>
  <c r="X74" i="1"/>
  <c r="U74" i="1"/>
  <c r="X73" i="1"/>
  <c r="U73" i="1"/>
  <c r="K73" i="1"/>
  <c r="U57" i="1"/>
  <c r="U56" i="1"/>
  <c r="U55" i="1"/>
  <c r="W18" i="52"/>
  <c r="T18" i="52"/>
  <c r="W17" i="52"/>
  <c r="T17" i="52"/>
  <c r="W16" i="52"/>
  <c r="T16" i="52"/>
  <c r="W15" i="52"/>
  <c r="T15" i="52"/>
  <c r="W14" i="52"/>
  <c r="T14" i="52"/>
  <c r="W13" i="52"/>
  <c r="T13" i="52"/>
  <c r="M13" i="52"/>
  <c r="N13" i="52" s="1"/>
  <c r="J13" i="52"/>
  <c r="W24" i="52"/>
  <c r="T24" i="52"/>
  <c r="W23" i="52"/>
  <c r="T23" i="52"/>
  <c r="W22" i="52"/>
  <c r="T22" i="52"/>
  <c r="W21" i="52"/>
  <c r="T21" i="52"/>
  <c r="W20" i="52"/>
  <c r="T20" i="52"/>
  <c r="W19" i="52"/>
  <c r="T19" i="52"/>
  <c r="M19" i="52"/>
  <c r="N19" i="52" s="1"/>
  <c r="J19" i="52"/>
  <c r="W30" i="52"/>
  <c r="T30" i="52"/>
  <c r="W29" i="52"/>
  <c r="T29" i="52"/>
  <c r="W28" i="52"/>
  <c r="T28" i="52"/>
  <c r="W27" i="52"/>
  <c r="T27" i="52"/>
  <c r="W26" i="52"/>
  <c r="T26" i="52"/>
  <c r="W25" i="52"/>
  <c r="T25" i="52"/>
  <c r="M25" i="52"/>
  <c r="N25" i="52" s="1"/>
  <c r="J25" i="52"/>
  <c r="U49" i="1"/>
  <c r="AF50" i="1" s="1"/>
  <c r="AE50" i="1" s="1"/>
  <c r="U43" i="1"/>
  <c r="X54" i="1"/>
  <c r="U54" i="1"/>
  <c r="X53" i="1"/>
  <c r="U53" i="1"/>
  <c r="X52" i="1"/>
  <c r="U52" i="1"/>
  <c r="X51" i="1"/>
  <c r="U51" i="1"/>
  <c r="AF51" i="1" s="1"/>
  <c r="AE51" i="1" s="1"/>
  <c r="X50" i="1"/>
  <c r="X49" i="1"/>
  <c r="K49" i="1"/>
  <c r="L49" i="1" s="1"/>
  <c r="U44" i="1"/>
  <c r="X48" i="1"/>
  <c r="U48" i="1"/>
  <c r="X47" i="1"/>
  <c r="U47" i="1"/>
  <c r="X46" i="1"/>
  <c r="U46" i="1"/>
  <c r="X45" i="1"/>
  <c r="U45" i="1"/>
  <c r="X44" i="1"/>
  <c r="X43" i="1"/>
  <c r="K43" i="1"/>
  <c r="L43" i="1" s="1"/>
  <c r="X60" i="1"/>
  <c r="U60" i="1"/>
  <c r="X59" i="1"/>
  <c r="U59" i="1"/>
  <c r="X58" i="1"/>
  <c r="U58" i="1"/>
  <c r="X57" i="1"/>
  <c r="X56" i="1"/>
  <c r="X55" i="1"/>
  <c r="K55" i="1"/>
  <c r="L55" i="1" s="1"/>
  <c r="N75" i="1"/>
  <c r="N100" i="1"/>
  <c r="N104" i="1"/>
  <c r="N52" i="1"/>
  <c r="N110" i="1"/>
  <c r="N126" i="1"/>
  <c r="N106" i="1"/>
  <c r="N94" i="1"/>
  <c r="N66" i="1"/>
  <c r="N56" i="1"/>
  <c r="N64" i="1"/>
  <c r="N57" i="1"/>
  <c r="N90" i="1"/>
  <c r="N45" i="1"/>
  <c r="N113" i="1"/>
  <c r="N72" i="1"/>
  <c r="N107" i="1"/>
  <c r="N46" i="1"/>
  <c r="N111" i="1"/>
  <c r="N76" i="1"/>
  <c r="N123" i="1"/>
  <c r="N120" i="1"/>
  <c r="N138" i="1"/>
  <c r="N80" i="1"/>
  <c r="N81" i="1"/>
  <c r="N47" i="1"/>
  <c r="N122" i="1"/>
  <c r="N92" i="1"/>
  <c r="N62" i="1"/>
  <c r="N117" i="1"/>
  <c r="N50" i="1"/>
  <c r="N125" i="1"/>
  <c r="N128" i="1"/>
  <c r="N60" i="1"/>
  <c r="N71" i="1"/>
  <c r="N68" i="1"/>
  <c r="N130" i="1"/>
  <c r="N132" i="1"/>
  <c r="N114" i="1"/>
  <c r="N105" i="1"/>
  <c r="N131" i="1"/>
  <c r="N89" i="1"/>
  <c r="N112" i="1"/>
  <c r="N108" i="1"/>
  <c r="N63" i="1"/>
  <c r="N118" i="1"/>
  <c r="N86" i="1"/>
  <c r="N48" i="1"/>
  <c r="N51" i="1"/>
  <c r="N65" i="1"/>
  <c r="N98" i="1"/>
  <c r="N70" i="1"/>
  <c r="N129" i="1"/>
  <c r="N77" i="1"/>
  <c r="N78" i="1"/>
  <c r="N54" i="1"/>
  <c r="N44" i="1"/>
  <c r="N84" i="1"/>
  <c r="N93" i="1"/>
  <c r="N134" i="1"/>
  <c r="N59" i="1"/>
  <c r="N102" i="1"/>
  <c r="N74" i="1"/>
  <c r="N119" i="1"/>
  <c r="N58" i="1"/>
  <c r="N96" i="1"/>
  <c r="N99" i="1"/>
  <c r="N87" i="1"/>
  <c r="N116" i="1"/>
  <c r="N83" i="1"/>
  <c r="N135" i="1"/>
  <c r="N82" i="1"/>
  <c r="N137" i="1"/>
  <c r="N124" i="1"/>
  <c r="N95" i="1"/>
  <c r="N101" i="1"/>
  <c r="N88" i="1"/>
  <c r="N69" i="1"/>
  <c r="N53" i="1"/>
  <c r="N136" i="1"/>
  <c r="AC184" i="1" l="1"/>
  <c r="O25" i="52"/>
  <c r="AE27" i="52"/>
  <c r="AD27" i="52" s="1"/>
  <c r="AE20" i="52"/>
  <c r="AD20" i="52" s="1"/>
  <c r="O13" i="52"/>
  <c r="AE15" i="52"/>
  <c r="AD15" i="52" s="1"/>
  <c r="AC207" i="1"/>
  <c r="AG207" i="1" s="1"/>
  <c r="AB50" i="1"/>
  <c r="AC50" i="1" s="1"/>
  <c r="AG50" i="1" s="1"/>
  <c r="AG184" i="1"/>
  <c r="AD175" i="1"/>
  <c r="AB176" i="1" s="1"/>
  <c r="AC175" i="1"/>
  <c r="AF110" i="1"/>
  <c r="AE110" i="1" s="1"/>
  <c r="AF128" i="1"/>
  <c r="AE128" i="1" s="1"/>
  <c r="AC193" i="1"/>
  <c r="AE26" i="52"/>
  <c r="AD26" i="52" s="1"/>
  <c r="O19" i="52"/>
  <c r="AE21" i="52"/>
  <c r="AD21" i="52" s="1"/>
  <c r="AE14" i="52"/>
  <c r="AD14" i="52" s="1"/>
  <c r="AE17" i="52"/>
  <c r="AD17" i="52" s="1"/>
  <c r="AE44" i="52"/>
  <c r="AE38" i="52"/>
  <c r="AD38" i="52" s="1"/>
  <c r="AD139" i="1"/>
  <c r="AB140" i="1" s="1"/>
  <c r="AD140" i="1" s="1"/>
  <c r="AC139" i="1"/>
  <c r="AD199" i="1"/>
  <c r="AB200" i="1" s="1"/>
  <c r="AC200" i="1" s="1"/>
  <c r="AC199" i="1"/>
  <c r="AD169" i="1"/>
  <c r="AC169" i="1"/>
  <c r="AB43" i="1"/>
  <c r="AC43" i="1" s="1"/>
  <c r="AB55" i="1"/>
  <c r="AC55" i="1" s="1"/>
  <c r="AF69" i="1"/>
  <c r="AE69" i="1" s="1"/>
  <c r="AF81" i="1"/>
  <c r="AE81" i="1" s="1"/>
  <c r="AF86" i="1"/>
  <c r="AE86" i="1" s="1"/>
  <c r="AF93" i="1"/>
  <c r="AE93" i="1" s="1"/>
  <c r="AF129" i="1"/>
  <c r="AE129" i="1" s="1"/>
  <c r="AF130" i="1"/>
  <c r="AE130" i="1" s="1"/>
  <c r="AB170" i="1"/>
  <c r="AD170" i="1" s="1"/>
  <c r="AB171" i="1" s="1"/>
  <c r="AG185" i="1"/>
  <c r="AC197" i="1"/>
  <c r="AG197" i="1" s="1"/>
  <c r="AC202" i="1"/>
  <c r="AG202" i="1" s="1"/>
  <c r="AC196" i="1"/>
  <c r="AG196" i="1" s="1"/>
  <c r="AC189" i="1"/>
  <c r="AG189" i="1" s="1"/>
  <c r="AC194" i="1"/>
  <c r="AD194" i="1"/>
  <c r="AB195" i="1" s="1"/>
  <c r="AD195" i="1" s="1"/>
  <c r="AC154" i="1"/>
  <c r="AG154" i="1" s="1"/>
  <c r="AC192" i="1"/>
  <c r="AG192" i="1" s="1"/>
  <c r="AC167" i="1"/>
  <c r="AG167" i="1" s="1"/>
  <c r="AG160" i="1"/>
  <c r="AC172" i="1"/>
  <c r="AG172" i="1" s="1"/>
  <c r="AC198" i="1"/>
  <c r="AG198" i="1" s="1"/>
  <c r="AD198" i="1"/>
  <c r="AC204" i="1"/>
  <c r="AG204" i="1" s="1"/>
  <c r="AD204" i="1"/>
  <c r="AD203" i="1"/>
  <c r="AC203" i="1"/>
  <c r="AG203" i="1" s="1"/>
  <c r="AC166" i="1"/>
  <c r="AG166" i="1" s="1"/>
  <c r="AD201" i="1"/>
  <c r="AC201" i="1"/>
  <c r="AG201" i="1" s="1"/>
  <c r="AC205" i="1"/>
  <c r="AD205" i="1"/>
  <c r="AB206" i="1" s="1"/>
  <c r="AD206" i="1" s="1"/>
  <c r="AC209" i="1"/>
  <c r="AG209" i="1" s="1"/>
  <c r="AD209" i="1"/>
  <c r="AD210" i="1"/>
  <c r="AC210" i="1"/>
  <c r="AG210" i="1" s="1"/>
  <c r="AD160" i="1"/>
  <c r="AC173" i="1"/>
  <c r="AG173" i="1" s="1"/>
  <c r="AD208" i="1"/>
  <c r="AC208" i="1"/>
  <c r="AG208" i="1" s="1"/>
  <c r="AC181" i="1"/>
  <c r="AC179" i="1"/>
  <c r="AG179" i="1" s="1"/>
  <c r="AC174" i="1"/>
  <c r="AG174" i="1" s="1"/>
  <c r="AD174" i="1"/>
  <c r="AC161" i="1"/>
  <c r="AG161" i="1" s="1"/>
  <c r="AC176" i="1"/>
  <c r="AD176" i="1"/>
  <c r="AB177" i="1" s="1"/>
  <c r="AC177" i="1" s="1"/>
  <c r="AC180" i="1"/>
  <c r="AG180" i="1" s="1"/>
  <c r="AD180" i="1"/>
  <c r="AC163" i="1"/>
  <c r="AC157" i="1"/>
  <c r="AB33" i="52"/>
  <c r="AF33" i="52" s="1"/>
  <c r="AC33" i="52"/>
  <c r="AB36" i="52"/>
  <c r="AF36" i="52" s="1"/>
  <c r="AC36" i="52"/>
  <c r="AB32" i="52"/>
  <c r="AF32" i="52" s="1"/>
  <c r="AC32" i="52"/>
  <c r="AB35" i="52"/>
  <c r="AF35" i="52" s="1"/>
  <c r="AC35" i="52"/>
  <c r="AB34" i="52"/>
  <c r="AF34" i="52" s="1"/>
  <c r="AC34" i="52"/>
  <c r="AB31" i="52"/>
  <c r="AF31" i="52" s="1"/>
  <c r="AC31" i="52"/>
  <c r="AB39" i="52"/>
  <c r="AF39" i="52" s="1"/>
  <c r="AC39" i="52"/>
  <c r="AB42" i="52"/>
  <c r="AF42" i="52" s="1"/>
  <c r="AC42" i="52"/>
  <c r="AE28" i="52"/>
  <c r="AD28" i="52" s="1"/>
  <c r="AE30" i="52"/>
  <c r="AD30" i="52" s="1"/>
  <c r="AE23" i="52"/>
  <c r="AD23" i="52" s="1"/>
  <c r="AE16" i="52"/>
  <c r="AD16" i="52" s="1"/>
  <c r="AE18" i="52"/>
  <c r="AD18" i="52" s="1"/>
  <c r="AB41" i="52"/>
  <c r="AF41" i="52" s="1"/>
  <c r="AC41" i="52"/>
  <c r="AB40" i="52"/>
  <c r="AF40" i="52" s="1"/>
  <c r="AC40" i="52"/>
  <c r="AB37" i="52"/>
  <c r="AF37" i="52" s="1"/>
  <c r="AC37" i="52"/>
  <c r="AA38" i="52" s="1"/>
  <c r="AC38" i="52" s="1"/>
  <c r="AB48" i="52"/>
  <c r="AF48" i="52" s="1"/>
  <c r="AC48" i="52"/>
  <c r="AB47" i="52"/>
  <c r="AF47" i="52" s="1"/>
  <c r="AC47" i="52"/>
  <c r="AE29" i="52"/>
  <c r="AD29" i="52" s="1"/>
  <c r="AE22" i="52"/>
  <c r="AD22" i="52" s="1"/>
  <c r="AE24" i="52"/>
  <c r="AD24" i="52" s="1"/>
  <c r="AB46" i="52"/>
  <c r="AF46" i="52" s="1"/>
  <c r="AC46" i="52"/>
  <c r="AB43" i="52"/>
  <c r="AF43" i="52" s="1"/>
  <c r="AC43" i="52"/>
  <c r="AA44" i="52" s="1"/>
  <c r="AB44" i="52" s="1"/>
  <c r="AD159" i="1"/>
  <c r="AC159" i="1"/>
  <c r="AG159" i="1" s="1"/>
  <c r="AC162" i="1"/>
  <c r="AG162" i="1" s="1"/>
  <c r="AD162" i="1"/>
  <c r="AC158" i="1"/>
  <c r="AD158" i="1"/>
  <c r="AC168" i="1"/>
  <c r="AG168" i="1" s="1"/>
  <c r="AD168" i="1"/>
  <c r="AD165" i="1"/>
  <c r="AC165" i="1"/>
  <c r="AG165" i="1" s="1"/>
  <c r="AC164" i="1"/>
  <c r="AD164" i="1"/>
  <c r="AC187" i="1"/>
  <c r="AD187" i="1"/>
  <c r="AB188" i="1" s="1"/>
  <c r="AF119" i="1"/>
  <c r="AE119" i="1" s="1"/>
  <c r="AB124" i="1"/>
  <c r="AD124" i="1" s="1"/>
  <c r="AB137" i="1"/>
  <c r="AD137" i="1" s="1"/>
  <c r="AB130" i="1"/>
  <c r="AD130" i="1" s="1"/>
  <c r="AD191" i="1"/>
  <c r="AC191" i="1"/>
  <c r="AG191" i="1" s="1"/>
  <c r="AC190" i="1"/>
  <c r="AG190" i="1" s="1"/>
  <c r="AD190" i="1"/>
  <c r="K25" i="52"/>
  <c r="AA25" i="52" s="1"/>
  <c r="AC151" i="1"/>
  <c r="AC145" i="1"/>
  <c r="AC142" i="1"/>
  <c r="AG142" i="1" s="1"/>
  <c r="AC143" i="1"/>
  <c r="AG143" i="1" s="1"/>
  <c r="AC148" i="1"/>
  <c r="AG148" i="1" s="1"/>
  <c r="AC186" i="1"/>
  <c r="AG186" i="1" s="1"/>
  <c r="AD186" i="1"/>
  <c r="AC183" i="1"/>
  <c r="AG183" i="1" s="1"/>
  <c r="AD183" i="1"/>
  <c r="AC182" i="1"/>
  <c r="AG182" i="1" s="1"/>
  <c r="AD182" i="1"/>
  <c r="AC156" i="1"/>
  <c r="AG156" i="1" s="1"/>
  <c r="AD156" i="1"/>
  <c r="AC149" i="1"/>
  <c r="AG149" i="1" s="1"/>
  <c r="AC152" i="1"/>
  <c r="AG152" i="1" s="1"/>
  <c r="AD152" i="1"/>
  <c r="AD155" i="1"/>
  <c r="AC155" i="1"/>
  <c r="AG155" i="1" s="1"/>
  <c r="AC153" i="1"/>
  <c r="AG153" i="1" s="1"/>
  <c r="AD153" i="1"/>
  <c r="K19" i="52"/>
  <c r="AA19" i="52" s="1"/>
  <c r="AC144" i="1"/>
  <c r="AG144" i="1" s="1"/>
  <c r="AD144" i="1"/>
  <c r="AD141" i="1"/>
  <c r="AC141" i="1"/>
  <c r="AG141" i="1" s="1"/>
  <c r="AF132" i="1"/>
  <c r="AE132" i="1" s="1"/>
  <c r="AC147" i="1"/>
  <c r="AG147" i="1" s="1"/>
  <c r="AD147" i="1"/>
  <c r="AC146" i="1"/>
  <c r="AG146" i="1" s="1"/>
  <c r="AD146" i="1"/>
  <c r="AF95" i="1"/>
  <c r="AE95" i="1" s="1"/>
  <c r="AF125" i="1"/>
  <c r="AE125" i="1" s="1"/>
  <c r="AF136" i="1"/>
  <c r="AE136" i="1" s="1"/>
  <c r="AF138" i="1"/>
  <c r="AE138" i="1" s="1"/>
  <c r="AB131" i="1"/>
  <c r="AD131" i="1" s="1"/>
  <c r="AC150" i="1"/>
  <c r="AG150" i="1" s="1"/>
  <c r="AD150" i="1"/>
  <c r="AF44" i="1"/>
  <c r="AE44" i="1" s="1"/>
  <c r="AF63" i="1"/>
  <c r="AE63" i="1" s="1"/>
  <c r="AB64" i="1"/>
  <c r="AD64" i="1" s="1"/>
  <c r="AF87" i="1"/>
  <c r="AE87" i="1" s="1"/>
  <c r="AF88" i="1"/>
  <c r="AE88" i="1" s="1"/>
  <c r="AF92" i="1"/>
  <c r="AE92" i="1" s="1"/>
  <c r="AF131" i="1"/>
  <c r="AE131" i="1" s="1"/>
  <c r="AF111" i="1"/>
  <c r="AE111" i="1" s="1"/>
  <c r="AF112" i="1"/>
  <c r="AE112" i="1" s="1"/>
  <c r="AF99" i="1"/>
  <c r="AE99" i="1" s="1"/>
  <c r="AF101" i="1"/>
  <c r="AE101" i="1" s="1"/>
  <c r="AB136" i="1"/>
  <c r="AD136" i="1" s="1"/>
  <c r="AB125" i="1"/>
  <c r="AD125" i="1" s="1"/>
  <c r="K13" i="52"/>
  <c r="AA13" i="52" s="1"/>
  <c r="AB119" i="1"/>
  <c r="AD119" i="1" s="1"/>
  <c r="AF100" i="1"/>
  <c r="AE100" i="1" s="1"/>
  <c r="AF124" i="1"/>
  <c r="AE124" i="1" s="1"/>
  <c r="L127" i="1"/>
  <c r="AB127" i="1" s="1"/>
  <c r="AD127" i="1" s="1"/>
  <c r="AB128" i="1"/>
  <c r="AB132" i="1"/>
  <c r="AB129" i="1"/>
  <c r="AF113" i="1"/>
  <c r="AE113" i="1" s="1"/>
  <c r="AF137" i="1"/>
  <c r="AE137" i="1" s="1"/>
  <c r="AF126" i="1"/>
  <c r="AE126" i="1" s="1"/>
  <c r="L133" i="1"/>
  <c r="AB133" i="1" s="1"/>
  <c r="AD133" i="1" s="1"/>
  <c r="AB134" i="1" s="1"/>
  <c r="AB138" i="1"/>
  <c r="AF114" i="1"/>
  <c r="AE114" i="1" s="1"/>
  <c r="AF120" i="1"/>
  <c r="AE120" i="1" s="1"/>
  <c r="L121" i="1"/>
  <c r="AB121" i="1" s="1"/>
  <c r="AD121" i="1" s="1"/>
  <c r="AB122" i="1" s="1"/>
  <c r="AB126" i="1"/>
  <c r="AB113" i="1"/>
  <c r="AD113" i="1" s="1"/>
  <c r="AF107" i="1"/>
  <c r="AE107" i="1" s="1"/>
  <c r="AB100" i="1"/>
  <c r="AD100" i="1" s="1"/>
  <c r="AB101" i="1"/>
  <c r="AD101" i="1" s="1"/>
  <c r="AB107" i="1"/>
  <c r="AD107" i="1" s="1"/>
  <c r="AF102" i="1"/>
  <c r="AE102" i="1" s="1"/>
  <c r="L115" i="1"/>
  <c r="AB115" i="1" s="1"/>
  <c r="AB120" i="1"/>
  <c r="AB112" i="1"/>
  <c r="AD112" i="1" s="1"/>
  <c r="AF108" i="1"/>
  <c r="AE108" i="1" s="1"/>
  <c r="L97" i="1"/>
  <c r="AB97" i="1" s="1"/>
  <c r="AB102" i="1"/>
  <c r="AB99" i="1"/>
  <c r="AF94" i="1"/>
  <c r="AE94" i="1" s="1"/>
  <c r="L103" i="1"/>
  <c r="AB103" i="1" s="1"/>
  <c r="AB108" i="1"/>
  <c r="AB65" i="1"/>
  <c r="AD65" i="1" s="1"/>
  <c r="AF89" i="1"/>
  <c r="AE89" i="1" s="1"/>
  <c r="L109" i="1"/>
  <c r="AB109" i="1" s="1"/>
  <c r="AB110" i="1"/>
  <c r="AB114" i="1"/>
  <c r="AF76" i="1"/>
  <c r="AE76" i="1" s="1"/>
  <c r="AF78" i="1"/>
  <c r="AE78" i="1" s="1"/>
  <c r="AF71" i="1"/>
  <c r="AE71" i="1" s="1"/>
  <c r="AB94" i="1"/>
  <c r="AD94" i="1" s="1"/>
  <c r="AB95" i="1"/>
  <c r="AD95" i="1" s="1"/>
  <c r="AB111" i="1"/>
  <c r="AF90" i="1"/>
  <c r="AE90" i="1" s="1"/>
  <c r="AF96" i="1"/>
  <c r="AE96" i="1" s="1"/>
  <c r="AF72" i="1"/>
  <c r="AE72" i="1" s="1"/>
  <c r="AF65" i="1"/>
  <c r="AE65" i="1" s="1"/>
  <c r="AF83" i="1"/>
  <c r="AE83" i="1" s="1"/>
  <c r="L91" i="1"/>
  <c r="AB91" i="1" s="1"/>
  <c r="AD91" i="1" s="1"/>
  <c r="AB92" i="1"/>
  <c r="AB96" i="1"/>
  <c r="AB88" i="1"/>
  <c r="AD88" i="1" s="1"/>
  <c r="AB93" i="1"/>
  <c r="AF64" i="1"/>
  <c r="AE64" i="1" s="1"/>
  <c r="AB82" i="1"/>
  <c r="AD82" i="1" s="1"/>
  <c r="AB83" i="1"/>
  <c r="AD83" i="1" s="1"/>
  <c r="AB89" i="1"/>
  <c r="AF59" i="1"/>
  <c r="AE59" i="1" s="1"/>
  <c r="AB70" i="1"/>
  <c r="AD70" i="1" s="1"/>
  <c r="AB71" i="1"/>
  <c r="AD71" i="1" s="1"/>
  <c r="AF82" i="1"/>
  <c r="AE82" i="1" s="1"/>
  <c r="L85" i="1"/>
  <c r="AB85" i="1" s="1"/>
  <c r="AB86" i="1"/>
  <c r="AB90" i="1"/>
  <c r="AF70" i="1"/>
  <c r="AE70" i="1" s="1"/>
  <c r="AF84" i="1"/>
  <c r="AE84" i="1" s="1"/>
  <c r="AB87" i="1"/>
  <c r="AF66" i="1"/>
  <c r="AE66" i="1" s="1"/>
  <c r="L79" i="1"/>
  <c r="AB79" i="1" s="1"/>
  <c r="AB80" i="1"/>
  <c r="AF80" i="1"/>
  <c r="AE80" i="1" s="1"/>
  <c r="AB84" i="1"/>
  <c r="AF77" i="1"/>
  <c r="AE77" i="1" s="1"/>
  <c r="AB81" i="1"/>
  <c r="L61" i="1"/>
  <c r="AB61" i="1" s="1"/>
  <c r="AD61" i="1" s="1"/>
  <c r="AB62" i="1" s="1"/>
  <c r="AB66" i="1"/>
  <c r="AB63" i="1"/>
  <c r="AF60" i="1"/>
  <c r="AE60" i="1" s="1"/>
  <c r="L67" i="1"/>
  <c r="AB67" i="1" s="1"/>
  <c r="AD67" i="1" s="1"/>
  <c r="AB68" i="1" s="1"/>
  <c r="AB72" i="1"/>
  <c r="AF53" i="1"/>
  <c r="AE53" i="1" s="1"/>
  <c r="AB69" i="1"/>
  <c r="AB76" i="1"/>
  <c r="AD76" i="1" s="1"/>
  <c r="AF48" i="1"/>
  <c r="AE48" i="1" s="1"/>
  <c r="AB77" i="1"/>
  <c r="AB59" i="1"/>
  <c r="AD59" i="1" s="1"/>
  <c r="AB58" i="1"/>
  <c r="AD58" i="1" s="1"/>
  <c r="L73" i="1"/>
  <c r="AB73" i="1" s="1"/>
  <c r="AF74" i="1"/>
  <c r="AE74" i="1" s="1"/>
  <c r="AB78" i="1"/>
  <c r="AF54" i="1"/>
  <c r="AE54" i="1" s="1"/>
  <c r="AF58" i="1"/>
  <c r="AE58" i="1" s="1"/>
  <c r="AB44" i="1"/>
  <c r="AC44" i="1" s="1"/>
  <c r="AF47" i="1"/>
  <c r="AE47" i="1" s="1"/>
  <c r="AB52" i="1"/>
  <c r="AD52" i="1" s="1"/>
  <c r="AB53" i="1"/>
  <c r="AD53" i="1" s="1"/>
  <c r="AF45" i="1"/>
  <c r="AE45" i="1" s="1"/>
  <c r="AF46" i="1"/>
  <c r="AE46" i="1" s="1"/>
  <c r="AF52" i="1"/>
  <c r="AE52" i="1" s="1"/>
  <c r="AE13" i="52"/>
  <c r="AD13" i="52" s="1"/>
  <c r="AA14" i="52"/>
  <c r="AA15" i="52"/>
  <c r="AA16" i="52"/>
  <c r="AA17" i="52"/>
  <c r="AA18" i="52"/>
  <c r="AE19" i="52"/>
  <c r="AD19" i="52" s="1"/>
  <c r="AA20" i="52"/>
  <c r="AA21" i="52"/>
  <c r="AA22" i="52"/>
  <c r="AA23" i="52"/>
  <c r="AA24" i="52"/>
  <c r="AE25" i="52"/>
  <c r="AD25" i="52" s="1"/>
  <c r="AA26" i="52"/>
  <c r="AA27" i="52"/>
  <c r="AA28" i="52"/>
  <c r="AA29" i="52"/>
  <c r="AA30" i="52"/>
  <c r="AB49" i="1"/>
  <c r="AC49" i="1" s="1"/>
  <c r="AB54" i="1"/>
  <c r="AB46" i="1"/>
  <c r="AD46" i="1" s="1"/>
  <c r="AB51" i="1"/>
  <c r="AD43" i="1"/>
  <c r="AB47" i="1"/>
  <c r="AB48" i="1"/>
  <c r="AB45" i="1"/>
  <c r="AB60" i="1"/>
  <c r="K247" i="1"/>
  <c r="L247" i="1" s="1"/>
  <c r="U247" i="1"/>
  <c r="X247" i="1"/>
  <c r="N248" i="1"/>
  <c r="AD50" i="1" l="1"/>
  <c r="AD55" i="1"/>
  <c r="AB56" i="1" s="1"/>
  <c r="AC140" i="1"/>
  <c r="AC170" i="1"/>
  <c r="AD200" i="1"/>
  <c r="AC58" i="1"/>
  <c r="AC130" i="1"/>
  <c r="AG130" i="1" s="1"/>
  <c r="AC195" i="1"/>
  <c r="AC113" i="1"/>
  <c r="AG113" i="1" s="1"/>
  <c r="AD177" i="1"/>
  <c r="AB178" i="1" s="1"/>
  <c r="AC178" i="1" s="1"/>
  <c r="AC44" i="52"/>
  <c r="AA45" i="52" s="1"/>
  <c r="AC45" i="52" s="1"/>
  <c r="AB38" i="52"/>
  <c r="AF38" i="52" s="1"/>
  <c r="AD44" i="52"/>
  <c r="AF44" i="52" s="1"/>
  <c r="AE45" i="52"/>
  <c r="AD45" i="52" s="1"/>
  <c r="AD171" i="1"/>
  <c r="AC171" i="1"/>
  <c r="AD188" i="1"/>
  <c r="AC188" i="1"/>
  <c r="AC206" i="1"/>
  <c r="AD44" i="1"/>
  <c r="AC137" i="1"/>
  <c r="AG137" i="1" s="1"/>
  <c r="AG44" i="1"/>
  <c r="AC124" i="1"/>
  <c r="AG124" i="1" s="1"/>
  <c r="AC133" i="1"/>
  <c r="AC136" i="1"/>
  <c r="AG136" i="1" s="1"/>
  <c r="AC127" i="1"/>
  <c r="AC125" i="1"/>
  <c r="AG125" i="1" s="1"/>
  <c r="AC131" i="1"/>
  <c r="AG131" i="1" s="1"/>
  <c r="AC94" i="1"/>
  <c r="AG94" i="1" s="1"/>
  <c r="AC64" i="1"/>
  <c r="AG64" i="1" s="1"/>
  <c r="AC119" i="1"/>
  <c r="AG119" i="1" s="1"/>
  <c r="AD103" i="1"/>
  <c r="AB104" i="1" s="1"/>
  <c r="AC104" i="1" s="1"/>
  <c r="AC103" i="1"/>
  <c r="AD97" i="1"/>
  <c r="AB98" i="1" s="1"/>
  <c r="AC98" i="1" s="1"/>
  <c r="AC97" i="1"/>
  <c r="AD109" i="1"/>
  <c r="AC109" i="1"/>
  <c r="AD115" i="1"/>
  <c r="AB116" i="1" s="1"/>
  <c r="AC116" i="1" s="1"/>
  <c r="AC115" i="1"/>
  <c r="AC121" i="1"/>
  <c r="AC112" i="1"/>
  <c r="AG112" i="1" s="1"/>
  <c r="AC107" i="1"/>
  <c r="AG107" i="1" s="1"/>
  <c r="AC100" i="1"/>
  <c r="AG100" i="1" s="1"/>
  <c r="AC129" i="1"/>
  <c r="AG129" i="1" s="1"/>
  <c r="AD129" i="1"/>
  <c r="AC128" i="1"/>
  <c r="AG128" i="1" s="1"/>
  <c r="AD128" i="1"/>
  <c r="AC132" i="1"/>
  <c r="AG132" i="1" s="1"/>
  <c r="AD132" i="1"/>
  <c r="AC134" i="1"/>
  <c r="AD134" i="1"/>
  <c r="AB135" i="1" s="1"/>
  <c r="AC135" i="1" s="1"/>
  <c r="AC138" i="1"/>
  <c r="AG138" i="1" s="1"/>
  <c r="AD138" i="1"/>
  <c r="AC101" i="1"/>
  <c r="AG101" i="1" s="1"/>
  <c r="AC122" i="1"/>
  <c r="AD122" i="1"/>
  <c r="AB123" i="1" s="1"/>
  <c r="AD123" i="1" s="1"/>
  <c r="AC65" i="1"/>
  <c r="AG65" i="1" s="1"/>
  <c r="AC126" i="1"/>
  <c r="AG126" i="1" s="1"/>
  <c r="AD126" i="1"/>
  <c r="AC120" i="1"/>
  <c r="AG120" i="1" s="1"/>
  <c r="AD120" i="1"/>
  <c r="AC102" i="1"/>
  <c r="AG102" i="1" s="1"/>
  <c r="AD102" i="1"/>
  <c r="AD99" i="1"/>
  <c r="AC99" i="1"/>
  <c r="AG99" i="1" s="1"/>
  <c r="AC70" i="1"/>
  <c r="AG70" i="1" s="1"/>
  <c r="AD98" i="1"/>
  <c r="AC108" i="1"/>
  <c r="AG108" i="1" s="1"/>
  <c r="AD108" i="1"/>
  <c r="AC114" i="1"/>
  <c r="AG114" i="1" s="1"/>
  <c r="AD114" i="1"/>
  <c r="AC95" i="1"/>
  <c r="AG95" i="1" s="1"/>
  <c r="AD111" i="1"/>
  <c r="AC111" i="1"/>
  <c r="AG111" i="1" s="1"/>
  <c r="AC110" i="1"/>
  <c r="AG110" i="1" s="1"/>
  <c r="AD110" i="1"/>
  <c r="AC91" i="1"/>
  <c r="AC71" i="1"/>
  <c r="AG71" i="1" s="1"/>
  <c r="AC82" i="1"/>
  <c r="AG82" i="1" s="1"/>
  <c r="AC88" i="1"/>
  <c r="AG88" i="1" s="1"/>
  <c r="AC96" i="1"/>
  <c r="AG96" i="1" s="1"/>
  <c r="AD96" i="1"/>
  <c r="AD93" i="1"/>
  <c r="AC93" i="1"/>
  <c r="AG93" i="1" s="1"/>
  <c r="AC92" i="1"/>
  <c r="AG92" i="1" s="1"/>
  <c r="AD92" i="1"/>
  <c r="AC83" i="1"/>
  <c r="AG83" i="1" s="1"/>
  <c r="AD85" i="1"/>
  <c r="AC85" i="1"/>
  <c r="AD89" i="1"/>
  <c r="AC89" i="1"/>
  <c r="AG89" i="1" s="1"/>
  <c r="AC90" i="1"/>
  <c r="AG90" i="1" s="1"/>
  <c r="AD90" i="1"/>
  <c r="AD87" i="1"/>
  <c r="AC87" i="1"/>
  <c r="AG87" i="1" s="1"/>
  <c r="AC86" i="1"/>
  <c r="AG86" i="1" s="1"/>
  <c r="AD86" i="1"/>
  <c r="AC84" i="1"/>
  <c r="AG84" i="1" s="1"/>
  <c r="AD84" i="1"/>
  <c r="AC80" i="1"/>
  <c r="AG80" i="1" s="1"/>
  <c r="AD80" i="1"/>
  <c r="AD79" i="1"/>
  <c r="AC79" i="1"/>
  <c r="AC59" i="1"/>
  <c r="AG59" i="1" s="1"/>
  <c r="AC81" i="1"/>
  <c r="AG81" i="1" s="1"/>
  <c r="AD81" i="1"/>
  <c r="AC67" i="1"/>
  <c r="AC61" i="1"/>
  <c r="AC63" i="1"/>
  <c r="AG63" i="1" s="1"/>
  <c r="AD63" i="1"/>
  <c r="AC66" i="1"/>
  <c r="AG66" i="1" s="1"/>
  <c r="AD66" i="1"/>
  <c r="AC62" i="1"/>
  <c r="AD62" i="1"/>
  <c r="AC72" i="1"/>
  <c r="AG72" i="1" s="1"/>
  <c r="AD72" i="1"/>
  <c r="AG58" i="1"/>
  <c r="AD69" i="1"/>
  <c r="AC69" i="1"/>
  <c r="AG69" i="1" s="1"/>
  <c r="AC68" i="1"/>
  <c r="AD68" i="1"/>
  <c r="AC76" i="1"/>
  <c r="AG76" i="1" s="1"/>
  <c r="AD77" i="1"/>
  <c r="AC77" i="1"/>
  <c r="AG77" i="1" s="1"/>
  <c r="AD73" i="1"/>
  <c r="AB74" i="1" s="1"/>
  <c r="AC73" i="1"/>
  <c r="AC78" i="1"/>
  <c r="AG78" i="1" s="1"/>
  <c r="AD78" i="1"/>
  <c r="AF75" i="1"/>
  <c r="AE75" i="1" s="1"/>
  <c r="AC56" i="1"/>
  <c r="AD56" i="1"/>
  <c r="AB57" i="1" s="1"/>
  <c r="AD57" i="1" s="1"/>
  <c r="AC53" i="1"/>
  <c r="AG53" i="1" s="1"/>
  <c r="AC52" i="1"/>
  <c r="AG52" i="1" s="1"/>
  <c r="AD49" i="1"/>
  <c r="AB15" i="52"/>
  <c r="AF15" i="52" s="1"/>
  <c r="AC15" i="52"/>
  <c r="AB18" i="52"/>
  <c r="AF18" i="52" s="1"/>
  <c r="AC18" i="52"/>
  <c r="AB14" i="52"/>
  <c r="AF14" i="52" s="1"/>
  <c r="AC14" i="52"/>
  <c r="AB17" i="52"/>
  <c r="AF17" i="52" s="1"/>
  <c r="AC17" i="52"/>
  <c r="AB16" i="52"/>
  <c r="AF16" i="52" s="1"/>
  <c r="AC16" i="52"/>
  <c r="AB13" i="52"/>
  <c r="AF13" i="52" s="1"/>
  <c r="AC13" i="52"/>
  <c r="AB21" i="52"/>
  <c r="AF21" i="52" s="1"/>
  <c r="AC21" i="52"/>
  <c r="AB24" i="52"/>
  <c r="AF24" i="52" s="1"/>
  <c r="AC24" i="52"/>
  <c r="AB23" i="52"/>
  <c r="AF23" i="52" s="1"/>
  <c r="AC23" i="52"/>
  <c r="AB20" i="52"/>
  <c r="AF20" i="52" s="1"/>
  <c r="AC20" i="52"/>
  <c r="AB22" i="52"/>
  <c r="AF22" i="52" s="1"/>
  <c r="AC22" i="52"/>
  <c r="AB19" i="52"/>
  <c r="AF19" i="52" s="1"/>
  <c r="AC19" i="52"/>
  <c r="AB27" i="52"/>
  <c r="AF27" i="52" s="1"/>
  <c r="AC27" i="52"/>
  <c r="AB30" i="52"/>
  <c r="AF30" i="52" s="1"/>
  <c r="AC30" i="52"/>
  <c r="AB26" i="52"/>
  <c r="AF26" i="52" s="1"/>
  <c r="AC26" i="52"/>
  <c r="AB29" i="52"/>
  <c r="AF29" i="52" s="1"/>
  <c r="AC29" i="52"/>
  <c r="AB28" i="52"/>
  <c r="AF28" i="52" s="1"/>
  <c r="AC28" i="52"/>
  <c r="AB25" i="52"/>
  <c r="AF25" i="52" s="1"/>
  <c r="AC25" i="52"/>
  <c r="AC46" i="1"/>
  <c r="AG46" i="1" s="1"/>
  <c r="AD51" i="1"/>
  <c r="AC51" i="1"/>
  <c r="AG51" i="1" s="1"/>
  <c r="AC54" i="1"/>
  <c r="AG54" i="1" s="1"/>
  <c r="AD54" i="1"/>
  <c r="AC48" i="1"/>
  <c r="AG48" i="1" s="1"/>
  <c r="AD48" i="1"/>
  <c r="AD47" i="1"/>
  <c r="AC47" i="1"/>
  <c r="AG47" i="1" s="1"/>
  <c r="AC45" i="1"/>
  <c r="AG45" i="1" s="1"/>
  <c r="AD45" i="1"/>
  <c r="AC60" i="1"/>
  <c r="AG60" i="1" s="1"/>
  <c r="AD60" i="1"/>
  <c r="AB247" i="1"/>
  <c r="U248" i="1"/>
  <c r="X248" i="1"/>
  <c r="N249" i="1"/>
  <c r="AD178" i="1" l="1"/>
  <c r="AD104" i="1"/>
  <c r="AB105" i="1" s="1"/>
  <c r="AD105" i="1" s="1"/>
  <c r="AB106" i="1" s="1"/>
  <c r="AD106" i="1" s="1"/>
  <c r="AD116" i="1"/>
  <c r="AB117" i="1" s="1"/>
  <c r="AD117" i="1" s="1"/>
  <c r="AB118" i="1" s="1"/>
  <c r="AD118" i="1" s="1"/>
  <c r="AD135" i="1"/>
  <c r="AC123" i="1"/>
  <c r="AB45" i="52"/>
  <c r="AF45" i="52" s="1"/>
  <c r="AC57" i="1"/>
  <c r="AC74" i="1"/>
  <c r="AG74" i="1" s="1"/>
  <c r="AD74" i="1"/>
  <c r="AB75" i="1" s="1"/>
  <c r="AD247" i="1"/>
  <c r="AB248" i="1" s="1"/>
  <c r="AC247" i="1"/>
  <c r="U249" i="1"/>
  <c r="X249" i="1"/>
  <c r="N250" i="1"/>
  <c r="AC117" i="1" l="1"/>
  <c r="AC106" i="1"/>
  <c r="AC105" i="1"/>
  <c r="AC118" i="1"/>
  <c r="AC75" i="1"/>
  <c r="AG75" i="1" s="1"/>
  <c r="AD75" i="1"/>
  <c r="AC248" i="1"/>
  <c r="AD248" i="1"/>
  <c r="AB249" i="1" s="1"/>
  <c r="U250" i="1"/>
  <c r="AF250" i="1" s="1"/>
  <c r="AE250" i="1" s="1"/>
  <c r="X250" i="1"/>
  <c r="N251" i="1"/>
  <c r="AB250" i="1" l="1"/>
  <c r="AC250" i="1" s="1"/>
  <c r="AG250" i="1" s="1"/>
  <c r="AD249" i="1"/>
  <c r="AC249" i="1"/>
  <c r="U251" i="1"/>
  <c r="AB251" i="1" s="1"/>
  <c r="X251" i="1"/>
  <c r="N252" i="1"/>
  <c r="AD250" i="1" l="1"/>
  <c r="AC251" i="1"/>
  <c r="AD251" i="1"/>
  <c r="AF251" i="1"/>
  <c r="AE251" i="1" s="1"/>
  <c r="U252" i="1"/>
  <c r="AB252" i="1" s="1"/>
  <c r="X252" i="1"/>
  <c r="AC252" i="1" l="1"/>
  <c r="AD252" i="1"/>
  <c r="AF252" i="1"/>
  <c r="AE252" i="1" s="1"/>
  <c r="AG251" i="1"/>
  <c r="AG252" i="1" l="1"/>
  <c r="X42" i="1" l="1"/>
  <c r="U42" i="1"/>
  <c r="X41" i="1"/>
  <c r="U41" i="1"/>
  <c r="X40" i="1"/>
  <c r="U40" i="1"/>
  <c r="X39" i="1"/>
  <c r="U39" i="1"/>
  <c r="X38" i="1"/>
  <c r="U38" i="1"/>
  <c r="X37" i="1"/>
  <c r="U37" i="1"/>
  <c r="K37" i="1"/>
  <c r="N40" i="1"/>
  <c r="N41" i="1"/>
  <c r="N38" i="1"/>
  <c r="N39" i="1"/>
  <c r="N42" i="1"/>
  <c r="AB41" i="1" l="1"/>
  <c r="AD41" i="1" s="1"/>
  <c r="AF42" i="1"/>
  <c r="AE42" i="1" s="1"/>
  <c r="AB40" i="1"/>
  <c r="AD40" i="1" s="1"/>
  <c r="AF40" i="1"/>
  <c r="AE40" i="1" s="1"/>
  <c r="AF39" i="1"/>
  <c r="AE39" i="1" s="1"/>
  <c r="AF41" i="1"/>
  <c r="AE41" i="1" s="1"/>
  <c r="L37" i="1"/>
  <c r="AB37" i="1" s="1"/>
  <c r="AB42" i="1"/>
  <c r="AB39" i="1"/>
  <c r="AC41" i="1" l="1"/>
  <c r="AG41" i="1" s="1"/>
  <c r="AD37" i="1"/>
  <c r="AB38" i="1" s="1"/>
  <c r="AD38" i="1" s="1"/>
  <c r="AC37" i="1"/>
  <c r="AC40" i="1"/>
  <c r="AG40" i="1" s="1"/>
  <c r="AD39" i="1"/>
  <c r="AC39" i="1"/>
  <c r="AG39" i="1" s="1"/>
  <c r="AC42" i="1"/>
  <c r="AG42" i="1" s="1"/>
  <c r="AD42" i="1"/>
  <c r="AC38" i="1" l="1"/>
  <c r="X258" i="1"/>
  <c r="U258" i="1"/>
  <c r="X257" i="1"/>
  <c r="U257" i="1"/>
  <c r="X256" i="1"/>
  <c r="U256" i="1"/>
  <c r="X255" i="1"/>
  <c r="U255" i="1"/>
  <c r="X254" i="1"/>
  <c r="U254" i="1"/>
  <c r="X253" i="1"/>
  <c r="U253" i="1"/>
  <c r="K253" i="1"/>
  <c r="M67" i="52"/>
  <c r="N67" i="52" s="1"/>
  <c r="N258" i="1"/>
  <c r="N257" i="1"/>
  <c r="N256" i="1"/>
  <c r="N254" i="1"/>
  <c r="N255" i="1"/>
  <c r="AF255" i="1" l="1"/>
  <c r="AE255" i="1" s="1"/>
  <c r="AF257" i="1"/>
  <c r="AE257" i="1" s="1"/>
  <c r="AF256" i="1"/>
  <c r="AE256" i="1" s="1"/>
  <c r="AF258" i="1"/>
  <c r="AE258" i="1" s="1"/>
  <c r="AB256" i="1"/>
  <c r="AC256" i="1" s="1"/>
  <c r="AB257" i="1"/>
  <c r="AD257" i="1" s="1"/>
  <c r="AF254" i="1"/>
  <c r="AE254" i="1" s="1"/>
  <c r="L253" i="1"/>
  <c r="AB253" i="1" s="1"/>
  <c r="AB254" i="1"/>
  <c r="AB258" i="1"/>
  <c r="AB255" i="1"/>
  <c r="AD256" i="1" l="1"/>
  <c r="AG256" i="1"/>
  <c r="AC257" i="1"/>
  <c r="AG257" i="1" s="1"/>
  <c r="AD253" i="1"/>
  <c r="AC253" i="1"/>
  <c r="AC254" i="1"/>
  <c r="AG254" i="1" s="1"/>
  <c r="AD254" i="1"/>
  <c r="AC258" i="1"/>
  <c r="AG258" i="1" s="1"/>
  <c r="AD258" i="1"/>
  <c r="AC255" i="1"/>
  <c r="AG255" i="1" s="1"/>
  <c r="AD255" i="1"/>
  <c r="M7" i="52" l="1"/>
  <c r="N7" i="52" s="1"/>
  <c r="W67" i="52"/>
  <c r="X270" i="1" l="1"/>
  <c r="U270" i="1"/>
  <c r="X269" i="1"/>
  <c r="U269" i="1"/>
  <c r="X268" i="1"/>
  <c r="U268" i="1"/>
  <c r="X267" i="1"/>
  <c r="U267" i="1"/>
  <c r="X266" i="1"/>
  <c r="U266" i="1"/>
  <c r="U265" i="1"/>
  <c r="K265" i="1"/>
  <c r="L265" i="1" s="1"/>
  <c r="N268" i="1"/>
  <c r="N270" i="1"/>
  <c r="N267" i="1"/>
  <c r="N266" i="1"/>
  <c r="N269" i="1"/>
  <c r="AF268" i="1" l="1"/>
  <c r="AE268" i="1" s="1"/>
  <c r="AF270" i="1"/>
  <c r="AE270" i="1" s="1"/>
  <c r="AB265" i="1"/>
  <c r="AF269" i="1"/>
  <c r="AE269" i="1" s="1"/>
  <c r="AB268" i="1"/>
  <c r="AB269" i="1"/>
  <c r="AB270" i="1"/>
  <c r="AD268" i="1" l="1"/>
  <c r="AC268" i="1"/>
  <c r="AG268" i="1" s="1"/>
  <c r="AC270" i="1"/>
  <c r="AG270" i="1" s="1"/>
  <c r="AD270" i="1"/>
  <c r="AD269" i="1"/>
  <c r="AC269" i="1"/>
  <c r="AG269" i="1" s="1"/>
  <c r="AD265" i="1"/>
  <c r="AB266" i="1" s="1"/>
  <c r="AC266" i="1" s="1"/>
  <c r="AC265" i="1"/>
  <c r="AD266" i="1" l="1"/>
  <c r="AB267" i="1" s="1"/>
  <c r="AD267" i="1" l="1"/>
  <c r="AC267" i="1"/>
  <c r="W7" i="52" l="1"/>
  <c r="M61" i="52" l="1"/>
  <c r="N61" i="52" s="1"/>
  <c r="M73" i="52"/>
  <c r="N73" i="52" s="1"/>
  <c r="M79" i="52"/>
  <c r="N79" i="52" s="1"/>
  <c r="M85" i="52"/>
  <c r="N85" i="52" s="1"/>
  <c r="M91" i="52"/>
  <c r="N91" i="52" s="1"/>
  <c r="M97" i="52"/>
  <c r="N97" i="52" s="1"/>
  <c r="M103" i="52"/>
  <c r="N103" i="52" s="1"/>
  <c r="J61" i="52"/>
  <c r="K61" i="52" s="1"/>
  <c r="J67" i="52"/>
  <c r="J73" i="52"/>
  <c r="J79" i="52"/>
  <c r="O79" i="52" s="1"/>
  <c r="J85" i="52"/>
  <c r="J91" i="52"/>
  <c r="O91" i="52" s="1"/>
  <c r="J97" i="52"/>
  <c r="J103" i="52"/>
  <c r="O103" i="52" s="1"/>
  <c r="W108" i="52"/>
  <c r="T108" i="52"/>
  <c r="W107" i="52"/>
  <c r="T107" i="52"/>
  <c r="W106" i="52"/>
  <c r="T106" i="52"/>
  <c r="W105" i="52"/>
  <c r="T105" i="52"/>
  <c r="W104" i="52"/>
  <c r="T104" i="52"/>
  <c r="W103" i="52"/>
  <c r="T103" i="52"/>
  <c r="W102" i="52"/>
  <c r="T102" i="52"/>
  <c r="W101" i="52"/>
  <c r="T101" i="52"/>
  <c r="W100" i="52"/>
  <c r="T100" i="52"/>
  <c r="W99" i="52"/>
  <c r="T99" i="52"/>
  <c r="W98" i="52"/>
  <c r="T98" i="52"/>
  <c r="W97" i="52"/>
  <c r="T97" i="52"/>
  <c r="W96" i="52"/>
  <c r="T96" i="52"/>
  <c r="W95" i="52"/>
  <c r="T95" i="52"/>
  <c r="W94" i="52"/>
  <c r="T94" i="52"/>
  <c r="W93" i="52"/>
  <c r="T93" i="52"/>
  <c r="W92" i="52"/>
  <c r="T92" i="52"/>
  <c r="W91" i="52"/>
  <c r="T91" i="52"/>
  <c r="AE91" i="52" s="1"/>
  <c r="W90" i="52"/>
  <c r="T90" i="52"/>
  <c r="W89" i="52"/>
  <c r="T89" i="52"/>
  <c r="W88" i="52"/>
  <c r="T88" i="52"/>
  <c r="W87" i="52"/>
  <c r="T87" i="52"/>
  <c r="W86" i="52"/>
  <c r="T86" i="52"/>
  <c r="W85" i="52"/>
  <c r="T85" i="52"/>
  <c r="W84" i="52"/>
  <c r="T84" i="52"/>
  <c r="W83" i="52"/>
  <c r="T83" i="52"/>
  <c r="W82" i="52"/>
  <c r="T82" i="52"/>
  <c r="W81" i="52"/>
  <c r="T81" i="52"/>
  <c r="W80" i="52"/>
  <c r="T80" i="52"/>
  <c r="W79" i="52"/>
  <c r="T79" i="52"/>
  <c r="W78" i="52"/>
  <c r="T78" i="52"/>
  <c r="W77" i="52"/>
  <c r="T77" i="52"/>
  <c r="W76" i="52"/>
  <c r="T76" i="52"/>
  <c r="W75" i="52"/>
  <c r="T75" i="52"/>
  <c r="W74" i="52"/>
  <c r="T74" i="52"/>
  <c r="W73" i="52"/>
  <c r="T73" i="52"/>
  <c r="AE73" i="52" s="1"/>
  <c r="W72" i="52"/>
  <c r="T72" i="52"/>
  <c r="W71" i="52"/>
  <c r="T71" i="52"/>
  <c r="W70" i="52"/>
  <c r="T70" i="52"/>
  <c r="W69" i="52"/>
  <c r="T69" i="52"/>
  <c r="W68" i="52"/>
  <c r="T68" i="52"/>
  <c r="T67" i="52"/>
  <c r="W66" i="52"/>
  <c r="T66" i="52"/>
  <c r="W65" i="52"/>
  <c r="T65" i="52"/>
  <c r="W64" i="52"/>
  <c r="T64" i="52"/>
  <c r="W63" i="52"/>
  <c r="T63" i="52"/>
  <c r="W62" i="52"/>
  <c r="T62" i="52"/>
  <c r="W61" i="52"/>
  <c r="T61" i="52"/>
  <c r="AE61" i="52" s="1"/>
  <c r="W12" i="52"/>
  <c r="T12" i="52"/>
  <c r="W11" i="52"/>
  <c r="T11" i="52"/>
  <c r="W10" i="52"/>
  <c r="T10" i="52"/>
  <c r="W9" i="52"/>
  <c r="T9" i="52"/>
  <c r="W8" i="52"/>
  <c r="T8" i="52"/>
  <c r="T7" i="52"/>
  <c r="J7" i="52"/>
  <c r="O7" i="52" s="1"/>
  <c r="U31" i="1"/>
  <c r="K31" i="1"/>
  <c r="L31" i="1" s="1"/>
  <c r="K25" i="1"/>
  <c r="AE63" i="52" l="1"/>
  <c r="AD63" i="52" s="1"/>
  <c r="AE79" i="52"/>
  <c r="AD79" i="52" s="1"/>
  <c r="AE103" i="52"/>
  <c r="AA68" i="52"/>
  <c r="AE68" i="52"/>
  <c r="AD68" i="52" s="1"/>
  <c r="AE67" i="52"/>
  <c r="AD67" i="52" s="1"/>
  <c r="K67" i="52"/>
  <c r="AA67" i="52" s="1"/>
  <c r="AB67" i="52" s="1"/>
  <c r="O67" i="52"/>
  <c r="AE85" i="52"/>
  <c r="AD85" i="52" s="1"/>
  <c r="AE97" i="52"/>
  <c r="AE7" i="52"/>
  <c r="AD7" i="52" s="1"/>
  <c r="O85" i="52"/>
  <c r="O61" i="52"/>
  <c r="O97" i="52"/>
  <c r="O73" i="52"/>
  <c r="K97" i="52"/>
  <c r="AA97" i="52" s="1"/>
  <c r="K73" i="52"/>
  <c r="K103" i="52"/>
  <c r="AA103" i="52" s="1"/>
  <c r="K79" i="52"/>
  <c r="AA79" i="52" s="1"/>
  <c r="AE12" i="52"/>
  <c r="AD12" i="52" s="1"/>
  <c r="AA101" i="52"/>
  <c r="K91" i="52"/>
  <c r="K85" i="52"/>
  <c r="AE83" i="52"/>
  <c r="AD83" i="52" s="1"/>
  <c r="AA90" i="52"/>
  <c r="AA93" i="52"/>
  <c r="AC93" i="52" s="1"/>
  <c r="AE94" i="52"/>
  <c r="AD94" i="52" s="1"/>
  <c r="AE108" i="52"/>
  <c r="AD108" i="52" s="1"/>
  <c r="AE11" i="52"/>
  <c r="AD11" i="52" s="1"/>
  <c r="AE62" i="52"/>
  <c r="AD62" i="52" s="1"/>
  <c r="AE66" i="52"/>
  <c r="AD66" i="52" s="1"/>
  <c r="AE69" i="52"/>
  <c r="AD69" i="52" s="1"/>
  <c r="AE87" i="52"/>
  <c r="AD87" i="52" s="1"/>
  <c r="AE98" i="52"/>
  <c r="AD98" i="52" s="1"/>
  <c r="AE104" i="52"/>
  <c r="AD104" i="52" s="1"/>
  <c r="AE101" i="52"/>
  <c r="AD101" i="52" s="1"/>
  <c r="AA94" i="52"/>
  <c r="AE100" i="52"/>
  <c r="AD100" i="52" s="1"/>
  <c r="AE102" i="52"/>
  <c r="AD102" i="52" s="1"/>
  <c r="AA104" i="52"/>
  <c r="AE8" i="52" l="1"/>
  <c r="AA83" i="52"/>
  <c r="AA87" i="52"/>
  <c r="AE90" i="52"/>
  <c r="AD90" i="52" s="1"/>
  <c r="AE93" i="52"/>
  <c r="AD93" i="52" s="1"/>
  <c r="AA11" i="52"/>
  <c r="AA61" i="52"/>
  <c r="AC61" i="52" s="1"/>
  <c r="AA62" i="52" s="1"/>
  <c r="AA66" i="52"/>
  <c r="AA69" i="52"/>
  <c r="AB69" i="52" s="1"/>
  <c r="AE78" i="52"/>
  <c r="AD78" i="52" s="1"/>
  <c r="AE86" i="52"/>
  <c r="AD86" i="52" s="1"/>
  <c r="AD97" i="52"/>
  <c r="AD103" i="52"/>
  <c r="AA107" i="52"/>
  <c r="AA108" i="52"/>
  <c r="AE10" i="52"/>
  <c r="AD10" i="52" s="1"/>
  <c r="AD61" i="52"/>
  <c r="AE75" i="52"/>
  <c r="AD75" i="52" s="1"/>
  <c r="AA75" i="52"/>
  <c r="AE82" i="52"/>
  <c r="AD82" i="52" s="1"/>
  <c r="AE105" i="52"/>
  <c r="AD105" i="52" s="1"/>
  <c r="AE107" i="52"/>
  <c r="AD107" i="52" s="1"/>
  <c r="AC68" i="52" l="1"/>
  <c r="AB68" i="52"/>
  <c r="AC67" i="52"/>
  <c r="AF67" i="52"/>
  <c r="AC107" i="52"/>
  <c r="AB107" i="52"/>
  <c r="AF107" i="52" s="1"/>
  <c r="AF69" i="52" l="1"/>
  <c r="AE9" i="52"/>
  <c r="AD9" i="52" s="1"/>
  <c r="AA9" i="52"/>
  <c r="AF68" i="52"/>
  <c r="AA10" i="52"/>
  <c r="AB66" i="52"/>
  <c r="AF66" i="52" s="1"/>
  <c r="AC66" i="52"/>
  <c r="AA71" i="52"/>
  <c r="AE71" i="52"/>
  <c r="AD71" i="52" s="1"/>
  <c r="AA72" i="52"/>
  <c r="AE72" i="52"/>
  <c r="AD72" i="52" s="1"/>
  <c r="AC69" i="52"/>
  <c r="AD73" i="52"/>
  <c r="AA73" i="52"/>
  <c r="AA74" i="52"/>
  <c r="AC75" i="52"/>
  <c r="AB75" i="52"/>
  <c r="AF75" i="52" s="1"/>
  <c r="AA78" i="52"/>
  <c r="AE81" i="52"/>
  <c r="AD81" i="52" s="1"/>
  <c r="AA81" i="52"/>
  <c r="AE80" i="52"/>
  <c r="AD80" i="52" s="1"/>
  <c r="K7" i="52"/>
  <c r="AA7" i="52" s="1"/>
  <c r="AD8" i="52"/>
  <c r="AC11" i="52"/>
  <c r="AB11" i="52"/>
  <c r="AB61" i="52"/>
  <c r="AF61" i="52" s="1"/>
  <c r="AA64" i="52"/>
  <c r="AE64" i="52"/>
  <c r="AD64" i="52" s="1"/>
  <c r="AE74" i="52"/>
  <c r="AD74" i="52" s="1"/>
  <c r="AC62" i="52"/>
  <c r="AB62" i="52"/>
  <c r="AF62" i="52" s="1"/>
  <c r="AA65" i="52"/>
  <c r="AE65" i="52"/>
  <c r="AD65" i="52" s="1"/>
  <c r="AC108" i="52"/>
  <c r="AB108" i="52"/>
  <c r="AF108" i="52" s="1"/>
  <c r="AC79" i="52"/>
  <c r="AA80" i="52" s="1"/>
  <c r="AB79" i="52"/>
  <c r="AF79" i="52" s="1"/>
  <c r="AA82" i="52"/>
  <c r="AA85" i="52"/>
  <c r="AE89" i="52"/>
  <c r="AD89" i="52" s="1"/>
  <c r="AA89" i="52"/>
  <c r="AC90" i="52"/>
  <c r="AB90" i="52"/>
  <c r="AF90" i="52" s="1"/>
  <c r="AA12" i="52"/>
  <c r="AA63" i="52"/>
  <c r="AE70" i="52"/>
  <c r="AD70" i="52" s="1"/>
  <c r="AA70" i="52"/>
  <c r="AE84" i="52"/>
  <c r="AD84" i="52" s="1"/>
  <c r="AA84" i="52"/>
  <c r="AE96" i="52"/>
  <c r="AD96" i="52" s="1"/>
  <c r="AA96" i="52"/>
  <c r="AC103" i="52"/>
  <c r="AB103" i="52"/>
  <c r="AF103" i="52" s="1"/>
  <c r="AE77" i="52"/>
  <c r="AD77" i="52" s="1"/>
  <c r="AA77" i="52"/>
  <c r="AE76" i="52"/>
  <c r="AD76" i="52" s="1"/>
  <c r="AA76" i="52"/>
  <c r="AC83" i="52"/>
  <c r="AB83" i="52"/>
  <c r="AF83" i="52" s="1"/>
  <c r="AB87" i="52"/>
  <c r="AF87" i="52" s="1"/>
  <c r="AC87" i="52"/>
  <c r="AB93" i="52"/>
  <c r="AF93" i="52" s="1"/>
  <c r="AC94" i="52"/>
  <c r="AB94" i="52"/>
  <c r="AF94" i="52" s="1"/>
  <c r="AC97" i="52"/>
  <c r="AB97" i="52"/>
  <c r="AF97" i="52" s="1"/>
  <c r="AA100" i="52"/>
  <c r="AE92" i="52"/>
  <c r="AD92" i="52" s="1"/>
  <c r="AA92" i="52"/>
  <c r="AD91" i="52"/>
  <c r="AA91" i="52"/>
  <c r="AC101" i="52"/>
  <c r="AB101" i="52"/>
  <c r="AF101" i="52" s="1"/>
  <c r="AE106" i="52"/>
  <c r="AD106" i="52" s="1"/>
  <c r="AA106" i="52"/>
  <c r="AE88" i="52"/>
  <c r="AD88" i="52" s="1"/>
  <c r="AA88" i="52"/>
  <c r="AE95" i="52"/>
  <c r="AD95" i="52" s="1"/>
  <c r="AE99" i="52"/>
  <c r="AD99" i="52" s="1"/>
  <c r="AA99" i="52"/>
  <c r="AC104" i="52"/>
  <c r="AB104" i="52"/>
  <c r="AF104" i="52" s="1"/>
  <c r="AA95" i="52"/>
  <c r="AA98" i="52"/>
  <c r="AA102" i="52"/>
  <c r="AA105" i="52"/>
  <c r="AC7" i="52" l="1"/>
  <c r="AA8" i="52" s="1"/>
  <c r="AB8" i="52" s="1"/>
  <c r="AB7" i="52"/>
  <c r="AF11" i="52"/>
  <c r="AB95" i="52"/>
  <c r="AF95" i="52" s="1"/>
  <c r="AC95" i="52"/>
  <c r="AC106" i="52"/>
  <c r="AB106" i="52"/>
  <c r="AF106" i="52" s="1"/>
  <c r="AC92" i="52"/>
  <c r="AB92" i="52"/>
  <c r="AF92" i="52" s="1"/>
  <c r="AC100" i="52"/>
  <c r="AB100" i="52"/>
  <c r="AF100" i="52" s="1"/>
  <c r="AC82" i="52"/>
  <c r="AB82" i="52"/>
  <c r="AF82" i="52" s="1"/>
  <c r="AC65" i="52"/>
  <c r="AB65" i="52"/>
  <c r="AF65" i="52" s="1"/>
  <c r="AC10" i="52"/>
  <c r="AB10" i="52"/>
  <c r="AB102" i="52"/>
  <c r="AF102" i="52" s="1"/>
  <c r="AC102" i="52"/>
  <c r="AB88" i="52"/>
  <c r="AF88" i="52" s="1"/>
  <c r="AC88" i="52"/>
  <c r="AB91" i="52"/>
  <c r="AF91" i="52" s="1"/>
  <c r="AC91" i="52"/>
  <c r="AC77" i="52"/>
  <c r="AB77" i="52"/>
  <c r="AF77" i="52" s="1"/>
  <c r="AB63" i="52"/>
  <c r="AF63" i="52" s="1"/>
  <c r="AC63" i="52"/>
  <c r="AC64" i="52"/>
  <c r="AB64" i="52"/>
  <c r="AF64" i="52" s="1"/>
  <c r="AB81" i="52"/>
  <c r="AF81" i="52" s="1"/>
  <c r="AC81" i="52"/>
  <c r="AB71" i="52"/>
  <c r="AF71" i="52" s="1"/>
  <c r="AC71" i="52"/>
  <c r="AB9" i="52"/>
  <c r="AC9" i="52"/>
  <c r="AB76" i="52"/>
  <c r="AF76" i="52" s="1"/>
  <c r="AC76" i="52"/>
  <c r="AB84" i="52"/>
  <c r="AF84" i="52" s="1"/>
  <c r="AC84" i="52"/>
  <c r="AB70" i="52"/>
  <c r="AF70" i="52" s="1"/>
  <c r="AC70" i="52"/>
  <c r="AB80" i="52"/>
  <c r="AF80" i="52" s="1"/>
  <c r="AC80" i="52"/>
  <c r="AC78" i="52"/>
  <c r="AB78" i="52"/>
  <c r="AF78" i="52" s="1"/>
  <c r="AC73" i="52"/>
  <c r="AB73" i="52"/>
  <c r="AF73" i="52" s="1"/>
  <c r="AC72" i="52"/>
  <c r="AB72" i="52"/>
  <c r="AF72" i="52" s="1"/>
  <c r="AB105" i="52"/>
  <c r="AF105" i="52" s="1"/>
  <c r="AC105" i="52"/>
  <c r="AB96" i="52"/>
  <c r="AF96" i="52" s="1"/>
  <c r="AC96" i="52"/>
  <c r="AB89" i="52"/>
  <c r="AF89" i="52" s="1"/>
  <c r="AC89" i="52"/>
  <c r="AB98" i="52"/>
  <c r="AF98" i="52" s="1"/>
  <c r="AC98" i="52"/>
  <c r="AC99" i="52"/>
  <c r="AB99" i="52"/>
  <c r="AF99" i="52" s="1"/>
  <c r="AB12" i="52"/>
  <c r="AC12" i="52"/>
  <c r="AB85" i="52"/>
  <c r="AF85" i="52" s="1"/>
  <c r="AC85" i="52"/>
  <c r="AA86" i="52" s="1"/>
  <c r="AC86" i="52" s="1"/>
  <c r="AC74" i="52"/>
  <c r="AB74" i="52"/>
  <c r="AF74" i="52" s="1"/>
  <c r="AB86" i="52" l="1"/>
  <c r="AF86" i="52" s="1"/>
  <c r="AF10" i="52"/>
  <c r="AF9" i="52"/>
  <c r="AF12" i="52"/>
  <c r="X12" i="1"/>
  <c r="U12" i="1"/>
  <c r="X11" i="1"/>
  <c r="U11" i="1"/>
  <c r="X10" i="1"/>
  <c r="U10" i="1"/>
  <c r="X9" i="1"/>
  <c r="U9" i="1"/>
  <c r="X8" i="1"/>
  <c r="U8" i="1"/>
  <c r="X7" i="1"/>
  <c r="U7" i="1"/>
  <c r="K7" i="1"/>
  <c r="X18" i="1"/>
  <c r="U18" i="1"/>
  <c r="X17" i="1"/>
  <c r="U17" i="1"/>
  <c r="X16" i="1"/>
  <c r="U16" i="1"/>
  <c r="X15" i="1"/>
  <c r="U15" i="1"/>
  <c r="X14" i="1"/>
  <c r="U14" i="1"/>
  <c r="X13" i="1"/>
  <c r="U13" i="1"/>
  <c r="K13" i="1"/>
  <c r="X24" i="1"/>
  <c r="U24" i="1"/>
  <c r="X23" i="1"/>
  <c r="U23" i="1"/>
  <c r="X22" i="1"/>
  <c r="U22" i="1"/>
  <c r="X21" i="1"/>
  <c r="U21" i="1"/>
  <c r="X20" i="1"/>
  <c r="U20" i="1"/>
  <c r="X19" i="1"/>
  <c r="U19" i="1"/>
  <c r="K19" i="1"/>
  <c r="X30" i="1"/>
  <c r="U30" i="1"/>
  <c r="X29" i="1"/>
  <c r="U29" i="1"/>
  <c r="X28" i="1"/>
  <c r="U28" i="1"/>
  <c r="X27" i="1"/>
  <c r="U27" i="1"/>
  <c r="X26" i="1"/>
  <c r="U26" i="1"/>
  <c r="X25" i="1"/>
  <c r="U25" i="1"/>
  <c r="L25" i="1"/>
  <c r="N18" i="1"/>
  <c r="N10" i="1"/>
  <c r="AF21" i="1" l="1"/>
  <c r="AE21" i="1" s="1"/>
  <c r="AF9" i="1"/>
  <c r="AE9" i="1" s="1"/>
  <c r="AB10" i="1"/>
  <c r="AD10" i="1" s="1"/>
  <c r="AF17" i="1"/>
  <c r="AE17" i="1" s="1"/>
  <c r="N29" i="1"/>
  <c r="N21" i="1"/>
  <c r="N11" i="1"/>
  <c r="N22" i="1"/>
  <c r="AB23" i="1" l="1"/>
  <c r="AD23" i="1" s="1"/>
  <c r="AF23" i="1"/>
  <c r="AE23" i="1" s="1"/>
  <c r="AB22" i="1"/>
  <c r="AC22" i="1" s="1"/>
  <c r="AF22" i="1"/>
  <c r="AE22" i="1" s="1"/>
  <c r="N24" i="1"/>
  <c r="N17" i="1"/>
  <c r="N20" i="1"/>
  <c r="N28" i="1"/>
  <c r="N14" i="1"/>
  <c r="N16" i="1"/>
  <c r="N9" i="1"/>
  <c r="N27" i="1"/>
  <c r="N26" i="1"/>
  <c r="N30" i="1"/>
  <c r="N15" i="1"/>
  <c r="N23" i="1"/>
  <c r="N12" i="1"/>
  <c r="N8" i="1"/>
  <c r="AF24" i="1" l="1"/>
  <c r="AE24" i="1" s="1"/>
  <c r="AF11" i="1"/>
  <c r="AE11" i="1" s="1"/>
  <c r="AF18" i="1"/>
  <c r="AE18" i="1" s="1"/>
  <c r="AB11" i="1"/>
  <c r="AD11" i="1" s="1"/>
  <c r="AF29" i="1"/>
  <c r="AE29" i="1" s="1"/>
  <c r="AB16" i="1"/>
  <c r="AD16" i="1" s="1"/>
  <c r="AB17" i="1"/>
  <c r="AD17" i="1" s="1"/>
  <c r="AF10" i="1"/>
  <c r="AE10" i="1" s="1"/>
  <c r="AF30" i="1"/>
  <c r="AE30" i="1" s="1"/>
  <c r="AF16" i="1"/>
  <c r="AE16" i="1" s="1"/>
  <c r="AF12" i="1"/>
  <c r="AE12" i="1" s="1"/>
  <c r="AC10" i="1"/>
  <c r="L7" i="1"/>
  <c r="AB7" i="1" s="1"/>
  <c r="AC7" i="1" s="1"/>
  <c r="AB12" i="1"/>
  <c r="AB9" i="1"/>
  <c r="L13" i="1"/>
  <c r="AB13" i="1" s="1"/>
  <c r="AD13" i="1" s="1"/>
  <c r="AB14" i="1" s="1"/>
  <c r="AB18" i="1"/>
  <c r="AG22" i="1"/>
  <c r="L19" i="1"/>
  <c r="AB19" i="1" s="1"/>
  <c r="AD19" i="1" s="1"/>
  <c r="AB20" i="1" s="1"/>
  <c r="AD22" i="1"/>
  <c r="AC23" i="1"/>
  <c r="AG23" i="1" s="1"/>
  <c r="AB24" i="1"/>
  <c r="AB21" i="1"/>
  <c r="AB28" i="1"/>
  <c r="AF28" i="1"/>
  <c r="AE28" i="1" s="1"/>
  <c r="AB25" i="1"/>
  <c r="AB29" i="1"/>
  <c r="AB30" i="1"/>
  <c r="AC19" i="1" l="1"/>
  <c r="AD7" i="1"/>
  <c r="AB8" i="1" s="1"/>
  <c r="AC8" i="1" s="1"/>
  <c r="AC17" i="1"/>
  <c r="AG17" i="1" s="1"/>
  <c r="AC11" i="1"/>
  <c r="AG11" i="1" s="1"/>
  <c r="AC13" i="1"/>
  <c r="AC16" i="1"/>
  <c r="AG16" i="1" s="1"/>
  <c r="AG10" i="1"/>
  <c r="AC12" i="1"/>
  <c r="AG12" i="1" s="1"/>
  <c r="AD12" i="1"/>
  <c r="AC9" i="1"/>
  <c r="AG9" i="1" s="1"/>
  <c r="AD9" i="1"/>
  <c r="AC18" i="1"/>
  <c r="AG18" i="1" s="1"/>
  <c r="AD18" i="1"/>
  <c r="AC14" i="1"/>
  <c r="AD14" i="1"/>
  <c r="AB15" i="1" s="1"/>
  <c r="AC15" i="1" s="1"/>
  <c r="AC24" i="1"/>
  <c r="AG24" i="1" s="1"/>
  <c r="AD24" i="1"/>
  <c r="AC20" i="1"/>
  <c r="AD20" i="1"/>
  <c r="AD21" i="1"/>
  <c r="AC21" i="1"/>
  <c r="AG21" i="1" s="1"/>
  <c r="AD29" i="1"/>
  <c r="AC29" i="1"/>
  <c r="AG29" i="1" s="1"/>
  <c r="AC30" i="1"/>
  <c r="AG30" i="1" s="1"/>
  <c r="AD30" i="1"/>
  <c r="AD28" i="1"/>
  <c r="AC28" i="1"/>
  <c r="AG28" i="1" s="1"/>
  <c r="AD25" i="1"/>
  <c r="AB26" i="1" s="1"/>
  <c r="AC26" i="1" s="1"/>
  <c r="AC25" i="1"/>
  <c r="U330" i="1"/>
  <c r="U331" i="1"/>
  <c r="U332" i="1"/>
  <c r="U333" i="1"/>
  <c r="U334" i="1"/>
  <c r="U335" i="1"/>
  <c r="U336" i="1"/>
  <c r="U259" i="1"/>
  <c r="U260" i="1"/>
  <c r="U261" i="1"/>
  <c r="U262" i="1"/>
  <c r="U263" i="1"/>
  <c r="U264" i="1"/>
  <c r="AF263" i="1" l="1"/>
  <c r="AE263" i="1" s="1"/>
  <c r="AF335" i="1"/>
  <c r="AD26" i="1"/>
  <c r="AB27" i="1" s="1"/>
  <c r="AD8" i="1"/>
  <c r="AD15" i="1"/>
  <c r="AF334" i="1"/>
  <c r="AF262" i="1"/>
  <c r="AE262" i="1" s="1"/>
  <c r="AF261" i="1"/>
  <c r="AE261" i="1" s="1"/>
  <c r="AF333" i="1"/>
  <c r="AF264" i="1"/>
  <c r="AE264" i="1" s="1"/>
  <c r="AF260" i="1"/>
  <c r="AF336" i="1"/>
  <c r="AF332" i="1"/>
  <c r="AB260" i="1"/>
  <c r="AB261" i="1"/>
  <c r="AB262" i="1"/>
  <c r="AB263" i="1"/>
  <c r="AB264" i="1"/>
  <c r="X271" i="1"/>
  <c r="X272" i="1"/>
  <c r="X273" i="1"/>
  <c r="X274" i="1"/>
  <c r="X275" i="1"/>
  <c r="X276" i="1"/>
  <c r="X289" i="1"/>
  <c r="X290" i="1"/>
  <c r="X291" i="1"/>
  <c r="X292" i="1"/>
  <c r="X293" i="1"/>
  <c r="X294" i="1"/>
  <c r="X295" i="1"/>
  <c r="X296" i="1"/>
  <c r="X297" i="1"/>
  <c r="X298" i="1"/>
  <c r="X299" i="1"/>
  <c r="X300" i="1"/>
  <c r="X325" i="1"/>
  <c r="X326" i="1"/>
  <c r="X327" i="1"/>
  <c r="X328" i="1"/>
  <c r="X329" i="1"/>
  <c r="X330" i="1"/>
  <c r="X331" i="1"/>
  <c r="X332" i="1"/>
  <c r="X333" i="1"/>
  <c r="X334" i="1"/>
  <c r="X335" i="1"/>
  <c r="X336" i="1"/>
  <c r="X259" i="1"/>
  <c r="X260" i="1"/>
  <c r="X261" i="1"/>
  <c r="X262" i="1"/>
  <c r="X263" i="1"/>
  <c r="X264" i="1"/>
  <c r="X31" i="1"/>
  <c r="X32" i="1"/>
  <c r="X33" i="1"/>
  <c r="X34" i="1"/>
  <c r="X35" i="1"/>
  <c r="X36" i="1"/>
  <c r="K289" i="1"/>
  <c r="K295" i="1"/>
  <c r="K325" i="1"/>
  <c r="K331" i="1"/>
  <c r="K259" i="1"/>
  <c r="K271" i="1"/>
  <c r="AC27" i="1" l="1"/>
  <c r="AD27" i="1"/>
  <c r="AD262" i="1"/>
  <c r="AC262" i="1"/>
  <c r="AG262" i="1" s="1"/>
  <c r="AC264" i="1"/>
  <c r="AG264" i="1" s="1"/>
  <c r="AD264" i="1"/>
  <c r="AD260" i="1"/>
  <c r="AC260" i="1"/>
  <c r="AG260" i="1" s="1"/>
  <c r="AD261" i="1"/>
  <c r="AC261" i="1"/>
  <c r="AG261" i="1" s="1"/>
  <c r="AC263" i="1"/>
  <c r="AG263" i="1" s="1"/>
  <c r="AD263" i="1"/>
  <c r="L259" i="1"/>
  <c r="AB259" i="1" s="1"/>
  <c r="N261" i="1"/>
  <c r="N263" i="1"/>
  <c r="N262" i="1"/>
  <c r="N260" i="1"/>
  <c r="N264" i="1"/>
  <c r="AD259" i="1" l="1"/>
  <c r="AC259" i="1"/>
  <c r="N296" i="1"/>
  <c r="N272" i="1"/>
  <c r="N300" i="1"/>
  <c r="N334" i="1"/>
  <c r="N291" i="1"/>
  <c r="N326" i="1"/>
  <c r="N293" i="1"/>
  <c r="N36" i="1"/>
  <c r="N32" i="1"/>
  <c r="N299" i="1"/>
  <c r="N332" i="1"/>
  <c r="N297" i="1"/>
  <c r="N273" i="1"/>
  <c r="N336" i="1"/>
  <c r="N274" i="1"/>
  <c r="N333" i="1"/>
  <c r="N292" i="1"/>
  <c r="N33" i="1"/>
  <c r="N35" i="1"/>
  <c r="N335" i="1"/>
  <c r="N329" i="1"/>
  <c r="N294" i="1"/>
  <c r="N298" i="1"/>
  <c r="N276" i="1"/>
  <c r="N34" i="1"/>
  <c r="N330" i="1"/>
  <c r="N327" i="1"/>
  <c r="N290" i="1"/>
  <c r="N328" i="1"/>
  <c r="N275" i="1"/>
  <c r="F221" i="13" l="1"/>
  <c r="F211" i="13"/>
  <c r="F212" i="13"/>
  <c r="F213" i="13"/>
  <c r="F214" i="13"/>
  <c r="F215" i="13"/>
  <c r="F216" i="13"/>
  <c r="F217" i="13"/>
  <c r="F218" i="13"/>
  <c r="F219" i="13"/>
  <c r="F220" i="13"/>
  <c r="F210" i="13"/>
  <c r="B221" i="13" a="1"/>
  <c r="B221" i="13" l="1"/>
  <c r="U326" i="1"/>
  <c r="U29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L331" i="1" l="1"/>
  <c r="AB331" i="1" s="1"/>
  <c r="U329" i="1"/>
  <c r="AF330" i="1" s="1"/>
  <c r="U328" i="1"/>
  <c r="U327" i="1"/>
  <c r="AF327" i="1" s="1"/>
  <c r="U325" i="1"/>
  <c r="L325" i="1"/>
  <c r="U300" i="1"/>
  <c r="U299" i="1"/>
  <c r="U298" i="1"/>
  <c r="U297" i="1"/>
  <c r="AF297" i="1" s="1"/>
  <c r="U295" i="1"/>
  <c r="L295" i="1"/>
  <c r="U294" i="1"/>
  <c r="U293" i="1"/>
  <c r="U292" i="1"/>
  <c r="U291" i="1"/>
  <c r="U290" i="1"/>
  <c r="U289" i="1"/>
  <c r="L289" i="1"/>
  <c r="U276" i="1"/>
  <c r="U275" i="1"/>
  <c r="U274" i="1"/>
  <c r="U273" i="1"/>
  <c r="U272" i="1"/>
  <c r="U271" i="1"/>
  <c r="L271" i="1"/>
  <c r="U36" i="1"/>
  <c r="U35" i="1"/>
  <c r="U34" i="1"/>
  <c r="U33" i="1"/>
  <c r="U32" i="1"/>
  <c r="AF294" i="1" l="1"/>
  <c r="AF273" i="1"/>
  <c r="AF300" i="1"/>
  <c r="AB271" i="1"/>
  <c r="AF291" i="1"/>
  <c r="AF326" i="1"/>
  <c r="AF290" i="1"/>
  <c r="AF296" i="1"/>
  <c r="AF276" i="1"/>
  <c r="AF298" i="1"/>
  <c r="AF299" i="1"/>
  <c r="AF275" i="1"/>
  <c r="AF274" i="1"/>
  <c r="AF34" i="1"/>
  <c r="AF35" i="1"/>
  <c r="AF36" i="1"/>
  <c r="AF292" i="1"/>
  <c r="AF293" i="1"/>
  <c r="AF329" i="1"/>
  <c r="AE329" i="1" s="1"/>
  <c r="AF328" i="1"/>
  <c r="AB273" i="1"/>
  <c r="AB292" i="1"/>
  <c r="AB300" i="1"/>
  <c r="AB336" i="1"/>
  <c r="AB275" i="1"/>
  <c r="AB294" i="1"/>
  <c r="AB330" i="1"/>
  <c r="AB334" i="1"/>
  <c r="AB274" i="1"/>
  <c r="AB293" i="1"/>
  <c r="AB295" i="1"/>
  <c r="AB296" i="1"/>
  <c r="AB329" i="1"/>
  <c r="AB333" i="1"/>
  <c r="AB332" i="1"/>
  <c r="AB289" i="1"/>
  <c r="AB290" i="1"/>
  <c r="AB298" i="1"/>
  <c r="AB297" i="1"/>
  <c r="AB328" i="1"/>
  <c r="AB327" i="1"/>
  <c r="AB276" i="1"/>
  <c r="AB291" i="1"/>
  <c r="AB299" i="1"/>
  <c r="AB325" i="1"/>
  <c r="AB326" i="1"/>
  <c r="AB335" i="1"/>
  <c r="AE330" i="1"/>
  <c r="AB31" i="1"/>
  <c r="AC271" i="1" l="1"/>
  <c r="AD271" i="1"/>
  <c r="AB272" i="1" s="1"/>
  <c r="AD272" i="1" s="1"/>
  <c r="AC273" i="1" s="1"/>
  <c r="AC331" i="1"/>
  <c r="AD331" i="1"/>
  <c r="AD332" i="1" s="1"/>
  <c r="AC330" i="1"/>
  <c r="AD330" i="1"/>
  <c r="AC329" i="1"/>
  <c r="AD329" i="1"/>
  <c r="AC325" i="1"/>
  <c r="AD325" i="1"/>
  <c r="AC295" i="1"/>
  <c r="AD295" i="1"/>
  <c r="AD296" i="1" s="1"/>
  <c r="AC289" i="1"/>
  <c r="AD289" i="1"/>
  <c r="AC31" i="1"/>
  <c r="AD31" i="1"/>
  <c r="AB32" i="1" s="1"/>
  <c r="AC332" i="1" l="1"/>
  <c r="AC296" i="1"/>
  <c r="AC272" i="1"/>
  <c r="AC297" i="1"/>
  <c r="AD297" i="1"/>
  <c r="AD333" i="1"/>
  <c r="AC333" i="1"/>
  <c r="AD27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G329" i="1"/>
  <c r="AG330" i="1"/>
  <c r="AC334" i="1" l="1"/>
  <c r="AD334" i="1"/>
  <c r="AC327" i="1"/>
  <c r="AD327" i="1"/>
  <c r="AC326" i="1"/>
  <c r="AD326" i="1"/>
  <c r="AC290" i="1"/>
  <c r="AD290" i="1"/>
  <c r="AC291" i="1" s="1"/>
  <c r="AC275" i="1"/>
  <c r="AC32" i="1"/>
  <c r="AD32" i="1"/>
  <c r="AB33" i="1" s="1"/>
  <c r="AC33" i="1" s="1"/>
  <c r="AD291" i="1" l="1"/>
  <c r="AD292" i="1" s="1"/>
  <c r="AC335" i="1"/>
  <c r="AD335" i="1"/>
  <c r="AC298" i="1"/>
  <c r="AD298" i="1"/>
  <c r="AC299" i="1" s="1"/>
  <c r="AC328" i="1"/>
  <c r="AD328" i="1"/>
  <c r="AC274" i="1"/>
  <c r="AD274" i="1"/>
  <c r="AD275" i="1"/>
  <c r="AD33" i="1"/>
  <c r="AB34" i="1" s="1"/>
  <c r="AC34" i="1" s="1"/>
  <c r="AC292" i="1" l="1"/>
  <c r="AC336" i="1"/>
  <c r="AD336" i="1"/>
  <c r="AD299" i="1"/>
  <c r="AC300" i="1" s="1"/>
  <c r="AD293" i="1"/>
  <c r="AC293" i="1"/>
  <c r="AC276" i="1"/>
  <c r="AD276" i="1"/>
  <c r="AD34" i="1"/>
  <c r="AB35" i="1" s="1"/>
  <c r="AD35" i="1" s="1"/>
  <c r="AB36" i="1" s="1"/>
  <c r="AC294" i="1" l="1"/>
  <c r="AD294" i="1"/>
  <c r="AD300" i="1"/>
  <c r="AC35" i="1"/>
  <c r="AC36" i="1"/>
  <c r="AD36" i="1"/>
  <c r="AE290" i="1" l="1"/>
  <c r="AE296" i="1"/>
  <c r="AE297" i="1"/>
  <c r="AE327" i="1"/>
  <c r="AE328" i="1"/>
  <c r="AE326" i="1"/>
  <c r="AE332" i="1"/>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G296"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G327" i="1"/>
  <c r="AD12" i="19"/>
  <c r="AD32" i="19"/>
  <c r="AD22" i="19"/>
  <c r="X52" i="19"/>
  <c r="AD52" i="19"/>
  <c r="L42" i="19"/>
  <c r="R42" i="19"/>
  <c r="AJ21" i="19"/>
  <c r="AD31" i="19"/>
  <c r="R21" i="19"/>
  <c r="AD41" i="19"/>
  <c r="AJ11" i="19"/>
  <c r="AJ51" i="19"/>
  <c r="AG297" i="1"/>
  <c r="L41" i="19"/>
  <c r="AD11" i="19"/>
  <c r="L21" i="19"/>
  <c r="L11" i="19"/>
  <c r="X51" i="19"/>
  <c r="X21" i="19"/>
  <c r="R11" i="19"/>
  <c r="R31" i="19"/>
  <c r="AJ41" i="19"/>
  <c r="L31" i="19"/>
  <c r="R51" i="19"/>
  <c r="X31" i="19"/>
  <c r="X11" i="19"/>
  <c r="X41" i="19"/>
  <c r="AJ31" i="19"/>
  <c r="AD51" i="19"/>
  <c r="R41" i="19"/>
  <c r="AD21" i="19"/>
  <c r="L51" i="19"/>
  <c r="AE273" i="1"/>
  <c r="AE333" i="1"/>
  <c r="K42" i="19"/>
  <c r="AC32" i="19"/>
  <c r="W42" i="19"/>
  <c r="AI52" i="19"/>
  <c r="K22" i="19"/>
  <c r="Q32" i="19"/>
  <c r="AI12" i="19"/>
  <c r="AC52" i="19"/>
  <c r="Q42" i="19"/>
  <c r="AC42" i="19"/>
  <c r="K12" i="19"/>
  <c r="Q22" i="19"/>
  <c r="W52" i="19"/>
  <c r="AI42" i="19"/>
  <c r="W32" i="19"/>
  <c r="AI22" i="19"/>
  <c r="W12" i="19"/>
  <c r="AI32" i="19"/>
  <c r="AC12" i="19"/>
  <c r="Q12" i="19"/>
  <c r="Q52" i="19"/>
  <c r="AG326" i="1"/>
  <c r="K32" i="19"/>
  <c r="W22" i="19"/>
  <c r="K52" i="19"/>
  <c r="AC22" i="19"/>
  <c r="AC40" i="19"/>
  <c r="W10" i="19"/>
  <c r="AC50" i="19"/>
  <c r="Q10" i="19"/>
  <c r="Q30" i="19"/>
  <c r="W50" i="19"/>
  <c r="K40" i="19"/>
  <c r="Q50" i="19"/>
  <c r="W20" i="19"/>
  <c r="AG290" i="1"/>
  <c r="K10" i="19"/>
  <c r="Q40" i="19"/>
  <c r="K30" i="19"/>
  <c r="AI50" i="19"/>
  <c r="AI20" i="19"/>
  <c r="K50" i="19"/>
  <c r="AI40" i="19"/>
  <c r="W40" i="19"/>
  <c r="K20" i="19"/>
  <c r="AC10" i="19"/>
  <c r="AI10" i="19"/>
  <c r="AC20" i="19"/>
  <c r="AI30" i="19"/>
  <c r="AC30" i="19"/>
  <c r="W30" i="19"/>
  <c r="Q20" i="19"/>
  <c r="K23" i="19"/>
  <c r="AI43" i="19"/>
  <c r="AC43" i="19"/>
  <c r="AC53" i="19"/>
  <c r="W43" i="19"/>
  <c r="K13" i="19"/>
  <c r="Q53" i="19"/>
  <c r="AI53" i="19"/>
  <c r="K33" i="19"/>
  <c r="K43" i="19"/>
  <c r="AI33" i="19"/>
  <c r="AC33" i="19"/>
  <c r="AG332" i="1"/>
  <c r="Q33" i="19"/>
  <c r="AI23" i="19"/>
  <c r="K53" i="19"/>
  <c r="AC23" i="19"/>
  <c r="AC13" i="19"/>
  <c r="W23" i="19"/>
  <c r="W33" i="19"/>
  <c r="Q13" i="19"/>
  <c r="W13" i="19"/>
  <c r="AI13" i="19"/>
  <c r="Q43" i="19"/>
  <c r="Q23" i="19"/>
  <c r="W53" i="19"/>
  <c r="M12" i="19"/>
  <c r="AK42" i="19"/>
  <c r="AE32" i="19"/>
  <c r="AG328" i="1"/>
  <c r="M52" i="19"/>
  <c r="S12" i="19"/>
  <c r="M32" i="19"/>
  <c r="S52" i="19"/>
  <c r="Y52" i="19"/>
  <c r="Y42" i="19"/>
  <c r="AK12" i="19"/>
  <c r="S22" i="19"/>
  <c r="AE12" i="19"/>
  <c r="Y22" i="19"/>
  <c r="S32" i="19"/>
  <c r="AK52" i="19"/>
  <c r="M22" i="19"/>
  <c r="AK32" i="19"/>
  <c r="AE22" i="19"/>
  <c r="AE42" i="19"/>
  <c r="Y32" i="19"/>
  <c r="M42" i="19"/>
  <c r="Y12" i="19"/>
  <c r="AE52" i="19"/>
  <c r="AK22" i="19"/>
  <c r="S42" i="19"/>
  <c r="AE298" i="1"/>
  <c r="AE300" i="1"/>
  <c r="AE299" i="1"/>
  <c r="AE291" i="1"/>
  <c r="R40" i="19" l="1"/>
  <c r="AD10" i="19"/>
  <c r="X40" i="19"/>
  <c r="AJ10" i="19"/>
  <c r="R50" i="19"/>
  <c r="X10" i="19"/>
  <c r="R30" i="19"/>
  <c r="AG291" i="1"/>
  <c r="L10" i="19"/>
  <c r="L50" i="19"/>
  <c r="AJ20" i="19"/>
  <c r="AJ40" i="19"/>
  <c r="AD30" i="19"/>
  <c r="R20" i="19"/>
  <c r="AD50" i="19"/>
  <c r="AJ30" i="19"/>
  <c r="AJ50" i="19"/>
  <c r="X30" i="19"/>
  <c r="AD20" i="19"/>
  <c r="L40" i="19"/>
  <c r="X50" i="19"/>
  <c r="X20" i="19"/>
  <c r="AD40" i="19"/>
  <c r="R10" i="19"/>
  <c r="L30" i="19"/>
  <c r="L20" i="19"/>
  <c r="AE334" i="1"/>
  <c r="AJ43" i="19"/>
  <c r="AD33" i="19"/>
  <c r="X33" i="19"/>
  <c r="X13" i="19"/>
  <c r="AD43" i="19"/>
  <c r="L43" i="19"/>
  <c r="AG333" i="1"/>
  <c r="X23" i="19"/>
  <c r="R33" i="19"/>
  <c r="R43" i="19"/>
  <c r="AD53" i="19"/>
  <c r="AJ13" i="19"/>
  <c r="R23" i="19"/>
  <c r="R13" i="19"/>
  <c r="AJ53" i="19"/>
  <c r="L33" i="19"/>
  <c r="L23" i="19"/>
  <c r="X43" i="19"/>
  <c r="X53" i="19"/>
  <c r="AD13" i="19"/>
  <c r="L53" i="19"/>
  <c r="L13" i="19"/>
  <c r="AD23" i="19"/>
  <c r="AJ33" i="19"/>
  <c r="AJ23" i="19"/>
  <c r="R53" i="19"/>
  <c r="AE34"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G299" i="1"/>
  <c r="AL21" i="19"/>
  <c r="T41" i="19"/>
  <c r="AF41" i="19"/>
  <c r="O11" i="19"/>
  <c r="O21" i="19"/>
  <c r="O51" i="19"/>
  <c r="AA31" i="19"/>
  <c r="AM31" i="19"/>
  <c r="AG51" i="19"/>
  <c r="AA41" i="19"/>
  <c r="AM11" i="19"/>
  <c r="U21" i="19"/>
  <c r="AG41" i="19"/>
  <c r="AM21" i="19"/>
  <c r="AM51" i="19"/>
  <c r="O41" i="19"/>
  <c r="U11" i="19"/>
  <c r="AG31" i="19"/>
  <c r="U41" i="19"/>
  <c r="AG300" i="1"/>
  <c r="AG11" i="19"/>
  <c r="AM41" i="19"/>
  <c r="AA21" i="19"/>
  <c r="AA51" i="19"/>
  <c r="U51" i="19"/>
  <c r="U31" i="19"/>
  <c r="AA11" i="19"/>
  <c r="AG21" i="19"/>
  <c r="O31" i="19"/>
  <c r="AE274" i="1"/>
  <c r="AE275" i="1"/>
  <c r="AE276" i="1"/>
  <c r="AE292" i="1"/>
  <c r="AE11" i="19"/>
  <c r="Y41" i="19"/>
  <c r="M41" i="19"/>
  <c r="Y21" i="19"/>
  <c r="AK41" i="19"/>
  <c r="S31" i="19"/>
  <c r="M31" i="19"/>
  <c r="M51" i="19"/>
  <c r="Y51" i="19"/>
  <c r="AK21" i="19"/>
  <c r="AK31" i="19"/>
  <c r="Y11" i="19"/>
  <c r="AE41" i="19"/>
  <c r="AE21" i="19"/>
  <c r="S51" i="19"/>
  <c r="AE51" i="19"/>
  <c r="AK51" i="19"/>
  <c r="M21" i="19"/>
  <c r="AE31" i="19"/>
  <c r="AG298"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G273" i="1"/>
  <c r="AD9" i="19"/>
  <c r="AJ49" i="19"/>
  <c r="L39" i="19"/>
  <c r="R19" i="19"/>
  <c r="AJ39" i="19"/>
  <c r="AJ29" i="19"/>
  <c r="AJ19" i="19"/>
  <c r="AJ9" i="19"/>
  <c r="AD49" i="19"/>
  <c r="L19" i="19"/>
  <c r="L29" i="19"/>
  <c r="R49" i="19"/>
  <c r="AE293" i="1" l="1"/>
  <c r="AE294" i="1"/>
  <c r="AG39" i="19"/>
  <c r="AG29" i="19"/>
  <c r="AM19" i="19"/>
  <c r="O39" i="19"/>
  <c r="AG27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G34"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G29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G275"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G274" i="1"/>
  <c r="M9" i="19"/>
  <c r="Y29" i="19"/>
  <c r="AE335" i="1"/>
  <c r="AE336"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E36" i="1"/>
  <c r="AE35"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G334"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33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G335" i="1"/>
  <c r="T53" i="19"/>
  <c r="AL33" i="19"/>
  <c r="T13" i="19"/>
  <c r="Z33" i="19"/>
  <c r="Z47" i="19"/>
  <c r="T7" i="19"/>
  <c r="AL37" i="19"/>
  <c r="T17" i="19"/>
  <c r="Z17" i="19"/>
  <c r="AF7" i="19"/>
  <c r="AF37" i="19"/>
  <c r="N17" i="19"/>
  <c r="AF27" i="19"/>
  <c r="AG35"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29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G36" i="1"/>
  <c r="AA17" i="19"/>
  <c r="O7" i="19"/>
  <c r="AA37" i="19"/>
  <c r="AA27" i="19"/>
  <c r="AM27" i="19"/>
  <c r="U17" i="19"/>
  <c r="U47" i="19"/>
  <c r="AG17" i="19"/>
  <c r="O47" i="19"/>
  <c r="Z40" i="19"/>
  <c r="AG29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H12" i="18" l="1"/>
  <c r="AH20" i="18"/>
  <c r="V12" i="18"/>
  <c r="AB20" i="18"/>
  <c r="J20" i="18"/>
  <c r="P44" i="18"/>
  <c r="V28" i="18"/>
  <c r="J28" i="18"/>
  <c r="J44" i="18"/>
  <c r="AB12" i="18"/>
  <c r="AH44" i="18"/>
  <c r="P20" i="18"/>
  <c r="AB28" i="18"/>
  <c r="AB36" i="18"/>
  <c r="P28" i="18"/>
  <c r="P36" i="18"/>
  <c r="AH28" i="18"/>
  <c r="J12" i="18"/>
  <c r="AB44" i="18"/>
  <c r="V36" i="18"/>
  <c r="AH36" i="18"/>
  <c r="P12" i="18"/>
  <c r="V44" i="18"/>
  <c r="V20" i="18"/>
  <c r="J36" i="18"/>
  <c r="AF22" i="18"/>
  <c r="AF30" i="18"/>
  <c r="Z6" i="18"/>
  <c r="T14" i="18"/>
  <c r="N6" i="18"/>
  <c r="Z22" i="18"/>
  <c r="AL38" i="18"/>
  <c r="AF6" i="18"/>
  <c r="T30" i="18"/>
  <c r="AF14" i="18"/>
  <c r="N14" i="18"/>
  <c r="AF38" i="18"/>
  <c r="T38" i="18"/>
  <c r="N38" i="18"/>
  <c r="AL6" i="18"/>
  <c r="T22" i="18"/>
  <c r="AL30" i="18"/>
  <c r="Z14" i="18"/>
  <c r="Z30" i="18"/>
  <c r="AL14" i="18"/>
  <c r="AL22" i="18"/>
  <c r="Z38" i="18"/>
  <c r="N30" i="18"/>
  <c r="N22" i="18"/>
  <c r="T6" i="18"/>
  <c r="Z42" i="18"/>
  <c r="AF26" i="18"/>
  <c r="AF18" i="18"/>
  <c r="N34" i="18"/>
  <c r="T18" i="18"/>
  <c r="Z10" i="18"/>
  <c r="Z26" i="18"/>
  <c r="AF34" i="18"/>
  <c r="N18" i="18"/>
  <c r="AL34" i="18"/>
  <c r="AF10" i="18"/>
  <c r="AF42" i="18"/>
  <c r="T26" i="18"/>
  <c r="N42" i="18"/>
  <c r="N26" i="18"/>
  <c r="T10" i="18"/>
  <c r="T34" i="18"/>
  <c r="Z18" i="18"/>
  <c r="AL18" i="18"/>
  <c r="T42" i="18"/>
  <c r="AL10" i="18"/>
  <c r="N10" i="18"/>
  <c r="AL42" i="18"/>
  <c r="Z34" i="18"/>
  <c r="AL26" i="18"/>
  <c r="AB38" i="18"/>
  <c r="J6" i="18"/>
  <c r="AH30" i="18"/>
  <c r="AH14" i="18"/>
  <c r="J30" i="18"/>
  <c r="P30" i="18"/>
  <c r="J22" i="18"/>
  <c r="AH38" i="18"/>
  <c r="P38" i="18"/>
  <c r="AH22" i="18"/>
  <c r="V38" i="18"/>
  <c r="J14" i="18"/>
  <c r="AB6" i="18"/>
  <c r="P6" i="18"/>
  <c r="P14" i="18"/>
  <c r="AB22" i="18"/>
  <c r="J38" i="18"/>
  <c r="P22" i="18"/>
  <c r="V22" i="18"/>
  <c r="V30" i="18"/>
  <c r="AH6" i="18"/>
  <c r="AB30" i="18"/>
  <c r="V14" i="18"/>
  <c r="AB14" i="18"/>
  <c r="V6" i="18"/>
  <c r="P18" i="19" l="1"/>
  <c r="P38" i="19"/>
  <c r="J28" i="19"/>
  <c r="AH38" i="19"/>
  <c r="J48" i="19"/>
  <c r="P48" i="19"/>
  <c r="V28" i="19"/>
  <c r="AB18" i="19"/>
  <c r="AB8" i="19"/>
  <c r="J8" i="19"/>
  <c r="P28" i="19"/>
  <c r="J18" i="19"/>
  <c r="AH8" i="19"/>
  <c r="AB28" i="19"/>
  <c r="AB48" i="19"/>
  <c r="V38" i="19"/>
  <c r="V8" i="19"/>
  <c r="AH28" i="19"/>
  <c r="AH48" i="19"/>
  <c r="AB38" i="19"/>
  <c r="AH18" i="19"/>
  <c r="V48" i="19"/>
  <c r="V18" i="19"/>
  <c r="P8" i="19"/>
  <c r="J38" i="19"/>
  <c r="V25" i="19"/>
  <c r="P45" i="19"/>
  <c r="AH15" i="19"/>
  <c r="J45" i="19"/>
  <c r="V45" i="19"/>
  <c r="V15" i="19"/>
  <c r="V35" i="19"/>
  <c r="P25" i="19"/>
  <c r="J15" i="19"/>
  <c r="J35" i="19"/>
  <c r="J55" i="19"/>
  <c r="P35" i="19"/>
  <c r="AB45" i="19"/>
  <c r="AH25" i="19"/>
  <c r="AH45" i="19"/>
  <c r="AB55" i="19"/>
  <c r="AH35" i="19"/>
  <c r="AH55" i="19"/>
  <c r="J25" i="19"/>
  <c r="V55" i="19"/>
  <c r="AB15" i="19"/>
  <c r="AB35" i="19"/>
  <c r="AB25" i="19"/>
  <c r="P55" i="19"/>
  <c r="P15" i="19"/>
  <c r="P16" i="19" l="1"/>
  <c r="AH36" i="19"/>
  <c r="AC18" i="19"/>
  <c r="W38" i="19"/>
  <c r="AC8" i="19"/>
  <c r="AI28" i="19"/>
  <c r="W18" i="19"/>
  <c r="K38" i="19"/>
  <c r="AI8" i="19"/>
  <c r="W48" i="19"/>
  <c r="Q48" i="19"/>
  <c r="Q38" i="19"/>
  <c r="AC38" i="19"/>
  <c r="AI38" i="19"/>
  <c r="Q28" i="19"/>
  <c r="W28" i="19"/>
  <c r="K18" i="19"/>
  <c r="AI48" i="19"/>
  <c r="K8" i="19"/>
  <c r="W8" i="19"/>
  <c r="AC28" i="19"/>
  <c r="Q8" i="19"/>
  <c r="AI18" i="19"/>
  <c r="K48" i="19"/>
  <c r="K28" i="19"/>
  <c r="AC48" i="19"/>
  <c r="Q18" i="19"/>
  <c r="AH26" i="19"/>
  <c r="J16" i="19"/>
  <c r="AB16" i="19"/>
  <c r="P26" i="19"/>
  <c r="J46" i="19"/>
  <c r="V6" i="19"/>
  <c r="J26" i="19"/>
  <c r="AH16" i="19"/>
  <c r="AH6" i="19"/>
  <c r="P6" i="19"/>
  <c r="AB36" i="19"/>
  <c r="AB46" i="19"/>
  <c r="V36" i="19"/>
  <c r="AH46" i="19"/>
  <c r="V16" i="19"/>
  <c r="V46" i="19"/>
  <c r="J36" i="19"/>
  <c r="AB26" i="19"/>
  <c r="P36" i="19"/>
  <c r="P46" i="19"/>
  <c r="AB6" i="19"/>
  <c r="J6" i="19"/>
  <c r="V26" i="19"/>
  <c r="K46" i="19" l="1"/>
  <c r="AI36" i="19"/>
  <c r="AC46" i="19"/>
  <c r="AC26" i="19"/>
  <c r="AC6" i="19"/>
  <c r="AC36" i="19"/>
  <c r="AI46" i="19"/>
  <c r="AC16" i="19"/>
  <c r="Q46" i="19"/>
  <c r="AI26" i="19"/>
  <c r="K16" i="19"/>
  <c r="W36" i="19"/>
  <c r="W26" i="19"/>
  <c r="W6" i="19"/>
  <c r="Q36" i="19"/>
  <c r="AI16" i="19"/>
  <c r="AI6" i="19"/>
  <c r="W46" i="19"/>
  <c r="K26" i="19"/>
  <c r="Q26" i="19"/>
  <c r="K36" i="19"/>
  <c r="W16" i="19"/>
  <c r="Q16" i="19"/>
  <c r="K6" i="19"/>
  <c r="Q6" i="19"/>
  <c r="X16" i="19" l="1"/>
  <c r="R36" i="19"/>
  <c r="AD36" i="19"/>
  <c r="AD16" i="19"/>
  <c r="AJ36" i="19"/>
  <c r="L26" i="19"/>
  <c r="AD46" i="19"/>
  <c r="R6" i="19"/>
  <c r="AJ46" i="19"/>
  <c r="AJ26" i="19"/>
  <c r="X36" i="19"/>
  <c r="R46" i="19"/>
  <c r="R26" i="19"/>
  <c r="R16" i="19"/>
  <c r="L46" i="19"/>
  <c r="AD26" i="19"/>
  <c r="X46" i="19"/>
  <c r="AD6" i="19"/>
  <c r="AJ16" i="19"/>
  <c r="L36" i="19"/>
  <c r="X6" i="19"/>
  <c r="AJ6" i="19"/>
  <c r="L16" i="19"/>
  <c r="X26" i="19"/>
  <c r="L6" i="19"/>
  <c r="AK46" i="19"/>
  <c r="AK16" i="19"/>
  <c r="M16" i="19"/>
  <c r="Y6" i="19"/>
  <c r="M46" i="19"/>
  <c r="S6" i="19"/>
  <c r="AE16" i="19"/>
  <c r="AK26" i="19"/>
  <c r="AE46" i="19"/>
  <c r="S36" i="19"/>
  <c r="M26" i="19"/>
  <c r="Y46" i="19"/>
  <c r="AK36" i="19"/>
  <c r="Y26" i="19"/>
  <c r="AE36" i="19"/>
  <c r="M36" i="19"/>
  <c r="S46" i="19"/>
  <c r="S26" i="19"/>
  <c r="AK6" i="19"/>
  <c r="Y16" i="19"/>
  <c r="M6" i="19"/>
  <c r="AE26" i="19"/>
  <c r="S16" i="19"/>
  <c r="AE6" i="19"/>
  <c r="Y36" i="19"/>
  <c r="B223" i="13"/>
  <c r="B222" i="13"/>
  <c r="N241" i="1" l="1"/>
  <c r="O241" i="1" s="1"/>
  <c r="N235" i="1"/>
  <c r="O235" i="1" s="1"/>
  <c r="N163" i="1"/>
  <c r="O163" i="1" s="1"/>
  <c r="N133" i="1"/>
  <c r="O133" i="1" s="1"/>
  <c r="N109" i="1"/>
  <c r="O109" i="1" s="1"/>
  <c r="N247" i="1"/>
  <c r="O247" i="1" s="1"/>
  <c r="N259" i="1"/>
  <c r="O259" i="1" s="1"/>
  <c r="N313" i="1"/>
  <c r="O313" i="1" s="1"/>
  <c r="N223" i="1"/>
  <c r="O223" i="1" s="1"/>
  <c r="N139" i="1"/>
  <c r="O139" i="1" s="1"/>
  <c r="N103" i="1"/>
  <c r="O103" i="1" s="1"/>
  <c r="N61" i="1"/>
  <c r="O61" i="1" s="1"/>
  <c r="N37" i="1"/>
  <c r="O37" i="1" s="1"/>
  <c r="N229" i="1"/>
  <c r="O229" i="1" s="1"/>
  <c r="N301" i="1"/>
  <c r="O301" i="1" s="1"/>
  <c r="N193" i="1"/>
  <c r="O193" i="1" s="1"/>
  <c r="N79" i="1"/>
  <c r="O79" i="1" s="1"/>
  <c r="N115" i="1"/>
  <c r="O115" i="1" s="1"/>
  <c r="N253" i="1"/>
  <c r="O253" i="1" s="1"/>
  <c r="N217" i="1"/>
  <c r="O217" i="1" s="1"/>
  <c r="N277" i="1"/>
  <c r="O277" i="1" s="1"/>
  <c r="N175" i="1"/>
  <c r="O175" i="1" s="1"/>
  <c r="N127" i="1"/>
  <c r="O127" i="1" s="1"/>
  <c r="N91" i="1"/>
  <c r="O91" i="1" s="1"/>
  <c r="N265" i="1"/>
  <c r="O265" i="1" s="1"/>
  <c r="N283" i="1"/>
  <c r="O283" i="1" s="1"/>
  <c r="N205" i="1"/>
  <c r="O205" i="1" s="1"/>
  <c r="N157" i="1"/>
  <c r="O157" i="1" s="1"/>
  <c r="N97" i="1"/>
  <c r="O97" i="1" s="1"/>
  <c r="N67" i="1"/>
  <c r="O67" i="1" s="1"/>
  <c r="N25" i="1"/>
  <c r="O25" i="1" s="1"/>
  <c r="N319" i="1"/>
  <c r="O319" i="1" s="1"/>
  <c r="N187" i="1"/>
  <c r="O187" i="1" s="1"/>
  <c r="N151" i="1"/>
  <c r="O151" i="1" s="1"/>
  <c r="N85" i="1"/>
  <c r="O85" i="1" s="1"/>
  <c r="N49" i="1"/>
  <c r="O49" i="1" s="1"/>
  <c r="N19" i="1"/>
  <c r="O19" i="1" s="1"/>
  <c r="N307" i="1"/>
  <c r="O307" i="1" s="1"/>
  <c r="N145" i="1"/>
  <c r="O145" i="1" s="1"/>
  <c r="N169" i="1"/>
  <c r="O169" i="1" s="1"/>
  <c r="N73" i="1"/>
  <c r="O73" i="1" s="1"/>
  <c r="N55" i="1"/>
  <c r="O55" i="1" s="1"/>
  <c r="N13" i="1"/>
  <c r="O13" i="1" s="1"/>
  <c r="N211" i="1"/>
  <c r="O211" i="1" s="1"/>
  <c r="N199" i="1"/>
  <c r="O199" i="1" s="1"/>
  <c r="N181" i="1"/>
  <c r="O181" i="1" s="1"/>
  <c r="N43" i="1"/>
  <c r="O43" i="1" s="1"/>
  <c r="N121" i="1"/>
  <c r="O121" i="1" s="1"/>
  <c r="N7" i="1"/>
  <c r="O7" i="1" s="1"/>
  <c r="N295" i="1"/>
  <c r="O295" i="1" s="1"/>
  <c r="N331" i="1"/>
  <c r="O331" i="1" s="1"/>
  <c r="N325" i="1"/>
  <c r="O325" i="1" s="1"/>
  <c r="N289" i="1"/>
  <c r="O289" i="1" s="1"/>
  <c r="N271" i="1"/>
  <c r="O271" i="1" s="1"/>
  <c r="N31" i="1"/>
  <c r="O31" i="1" s="1"/>
  <c r="AF7" i="52"/>
  <c r="P313" i="1" l="1"/>
  <c r="AF313" i="1" s="1"/>
  <c r="Q313" i="1"/>
  <c r="Q31" i="1"/>
  <c r="AD38" i="18"/>
  <c r="AJ30" i="18"/>
  <c r="L6" i="18"/>
  <c r="X22" i="18"/>
  <c r="AD30" i="18"/>
  <c r="AD22" i="18"/>
  <c r="R38" i="18"/>
  <c r="R14" i="18"/>
  <c r="X6" i="18"/>
  <c r="L14" i="18"/>
  <c r="AJ22" i="18"/>
  <c r="L38" i="18"/>
  <c r="R6" i="18"/>
  <c r="X38" i="18"/>
  <c r="L30" i="18"/>
  <c r="R22" i="18"/>
  <c r="R30" i="18"/>
  <c r="X14" i="18"/>
  <c r="L22" i="18"/>
  <c r="P31" i="1"/>
  <c r="AF31" i="1" s="1"/>
  <c r="AJ14" i="18"/>
  <c r="AJ6" i="18"/>
  <c r="AJ38" i="18"/>
  <c r="X30" i="18"/>
  <c r="AD14" i="18"/>
  <c r="AD6" i="18"/>
  <c r="P43" i="1"/>
  <c r="AF43" i="1" s="1"/>
  <c r="AE43" i="1" s="1"/>
  <c r="AG43" i="1" s="1"/>
  <c r="Q43" i="1"/>
  <c r="P145" i="1"/>
  <c r="AF145" i="1" s="1"/>
  <c r="AE145" i="1" s="1"/>
  <c r="AG145" i="1" s="1"/>
  <c r="Q145" i="1"/>
  <c r="P25" i="1"/>
  <c r="AF25" i="1" s="1"/>
  <c r="Q25" i="1"/>
  <c r="P127" i="1"/>
  <c r="AF127" i="1" s="1"/>
  <c r="AE127" i="1" s="1"/>
  <c r="AG127" i="1" s="1"/>
  <c r="Q127" i="1"/>
  <c r="P301" i="1"/>
  <c r="AF301" i="1" s="1"/>
  <c r="AE301" i="1" s="1"/>
  <c r="AG301" i="1" s="1"/>
  <c r="Q301" i="1"/>
  <c r="P259" i="1"/>
  <c r="AF259" i="1" s="1"/>
  <c r="AE259" i="1" s="1"/>
  <c r="AG259" i="1" s="1"/>
  <c r="Q259" i="1"/>
  <c r="P319" i="1"/>
  <c r="AF319" i="1" s="1"/>
  <c r="Q319" i="1"/>
  <c r="AH16" i="18"/>
  <c r="Q271" i="1"/>
  <c r="AH8" i="18"/>
  <c r="AB40" i="18"/>
  <c r="AB24" i="18"/>
  <c r="AH40" i="18"/>
  <c r="AB32" i="18"/>
  <c r="P32" i="18"/>
  <c r="P40" i="18"/>
  <c r="P271" i="1"/>
  <c r="AF271" i="1" s="1"/>
  <c r="J24" i="18"/>
  <c r="J16" i="18"/>
  <c r="V16" i="18"/>
  <c r="V8" i="18"/>
  <c r="J32" i="18"/>
  <c r="J8" i="18"/>
  <c r="J40" i="18"/>
  <c r="AH32" i="18"/>
  <c r="AB16" i="18"/>
  <c r="V24" i="18"/>
  <c r="AB8" i="18"/>
  <c r="P24" i="18"/>
  <c r="P16" i="18"/>
  <c r="V32" i="18"/>
  <c r="AH24" i="18"/>
  <c r="P8" i="18"/>
  <c r="V40" i="18"/>
  <c r="P181" i="1"/>
  <c r="AF181" i="1" s="1"/>
  <c r="AE181" i="1" s="1"/>
  <c r="AG181" i="1" s="1"/>
  <c r="Q181" i="1"/>
  <c r="P307" i="1"/>
  <c r="AF307" i="1" s="1"/>
  <c r="Q307" i="1"/>
  <c r="P67" i="1"/>
  <c r="AF67" i="1" s="1"/>
  <c r="Q67" i="1"/>
  <c r="P175" i="1"/>
  <c r="AF175" i="1" s="1"/>
  <c r="Q175" i="1"/>
  <c r="P229" i="1"/>
  <c r="AF229" i="1" s="1"/>
  <c r="Q229" i="1"/>
  <c r="P247" i="1"/>
  <c r="AF247" i="1" s="1"/>
  <c r="Q247" i="1"/>
  <c r="P91" i="1"/>
  <c r="AF91" i="1" s="1"/>
  <c r="AE91" i="1" s="1"/>
  <c r="AG91" i="1" s="1"/>
  <c r="Q91" i="1"/>
  <c r="R24" i="18"/>
  <c r="X32" i="18"/>
  <c r="R16" i="18"/>
  <c r="AD8" i="18"/>
  <c r="AJ8" i="18"/>
  <c r="AD16" i="18"/>
  <c r="L24" i="18"/>
  <c r="P289" i="1"/>
  <c r="AF289" i="1" s="1"/>
  <c r="AE289" i="1" s="1"/>
  <c r="L40" i="18"/>
  <c r="R32" i="18"/>
  <c r="R8" i="18"/>
  <c r="AD32" i="18"/>
  <c r="X8" i="18"/>
  <c r="Q289" i="1"/>
  <c r="L16" i="18"/>
  <c r="L8" i="18"/>
  <c r="AJ40" i="18"/>
  <c r="AD40" i="18"/>
  <c r="AD24" i="18"/>
  <c r="AJ32" i="18"/>
  <c r="X40" i="18"/>
  <c r="AJ24" i="18"/>
  <c r="X24" i="18"/>
  <c r="R40" i="18"/>
  <c r="X16" i="18"/>
  <c r="AJ16" i="18"/>
  <c r="L32" i="18"/>
  <c r="P199" i="1"/>
  <c r="AF199" i="1" s="1"/>
  <c r="Q199" i="1"/>
  <c r="P19" i="1"/>
  <c r="AF19" i="1" s="1"/>
  <c r="Q19" i="1"/>
  <c r="P97" i="1"/>
  <c r="AF97" i="1" s="1"/>
  <c r="Q97" i="1"/>
  <c r="P277" i="1"/>
  <c r="AF277" i="1" s="1"/>
  <c r="Q277" i="1"/>
  <c r="P37" i="1"/>
  <c r="Q37" i="1"/>
  <c r="P109" i="1"/>
  <c r="AF109" i="1" s="1"/>
  <c r="AE109" i="1" s="1"/>
  <c r="AG109" i="1" s="1"/>
  <c r="Q109" i="1"/>
  <c r="P169" i="1"/>
  <c r="AF169" i="1" s="1"/>
  <c r="Q169" i="1"/>
  <c r="P211" i="1"/>
  <c r="AF211" i="1" s="1"/>
  <c r="Q211" i="1"/>
  <c r="P49" i="1"/>
  <c r="AF49" i="1" s="1"/>
  <c r="AE49" i="1" s="1"/>
  <c r="AG49" i="1" s="1"/>
  <c r="Q49" i="1"/>
  <c r="P157" i="1"/>
  <c r="AF157" i="1" s="1"/>
  <c r="Q157" i="1"/>
  <c r="P217" i="1"/>
  <c r="AF217" i="1" s="1"/>
  <c r="Q217" i="1"/>
  <c r="P61" i="1"/>
  <c r="AF61" i="1" s="1"/>
  <c r="Q61" i="1"/>
  <c r="P133" i="1"/>
  <c r="AF133" i="1" s="1"/>
  <c r="Q133" i="1"/>
  <c r="AD34" i="18"/>
  <c r="R42" i="18"/>
  <c r="AJ18" i="18"/>
  <c r="R34" i="18"/>
  <c r="AJ42" i="18"/>
  <c r="L42" i="18"/>
  <c r="P331" i="1"/>
  <c r="AF331" i="1" s="1"/>
  <c r="AE331" i="1" s="1"/>
  <c r="AJ10" i="18"/>
  <c r="X10" i="18"/>
  <c r="L10" i="18"/>
  <c r="X18" i="18"/>
  <c r="X34" i="18"/>
  <c r="AJ26" i="18"/>
  <c r="AD26" i="18"/>
  <c r="R26" i="18"/>
  <c r="L18" i="18"/>
  <c r="X42" i="18"/>
  <c r="AD10" i="18"/>
  <c r="X26" i="18"/>
  <c r="Q331" i="1"/>
  <c r="R10" i="18"/>
  <c r="R18" i="18"/>
  <c r="AD42" i="18"/>
  <c r="AD18" i="18"/>
  <c r="L34" i="18"/>
  <c r="L26" i="18"/>
  <c r="AJ34" i="18"/>
  <c r="P13" i="1"/>
  <c r="AF13" i="1" s="1"/>
  <c r="Q13" i="1"/>
  <c r="P85" i="1"/>
  <c r="AF85" i="1" s="1"/>
  <c r="AE85" i="1" s="1"/>
  <c r="AG85" i="1" s="1"/>
  <c r="Q85" i="1"/>
  <c r="P205" i="1"/>
  <c r="AF205" i="1" s="1"/>
  <c r="Q205" i="1"/>
  <c r="P253" i="1"/>
  <c r="AF253" i="1" s="1"/>
  <c r="AE253" i="1" s="1"/>
  <c r="AG253" i="1" s="1"/>
  <c r="Q253" i="1"/>
  <c r="P103" i="1"/>
  <c r="AF103" i="1" s="1"/>
  <c r="Q103" i="1"/>
  <c r="P163" i="1"/>
  <c r="AF163" i="1" s="1"/>
  <c r="Q163" i="1"/>
  <c r="J26" i="18"/>
  <c r="P18" i="18"/>
  <c r="AB26" i="18"/>
  <c r="V26" i="18"/>
  <c r="P10" i="18"/>
  <c r="AB34" i="18"/>
  <c r="J42" i="18"/>
  <c r="V42" i="18"/>
  <c r="V10" i="18"/>
  <c r="J18" i="18"/>
  <c r="P42" i="18"/>
  <c r="AB18" i="18"/>
  <c r="AH18" i="18"/>
  <c r="J34" i="18"/>
  <c r="P325" i="1"/>
  <c r="AF325" i="1" s="1"/>
  <c r="AE325" i="1" s="1"/>
  <c r="P34" i="18"/>
  <c r="V34" i="18"/>
  <c r="J10" i="18"/>
  <c r="AH10" i="18"/>
  <c r="AH42" i="18"/>
  <c r="AH26" i="18"/>
  <c r="AH34" i="18"/>
  <c r="AB42" i="18"/>
  <c r="P26" i="18"/>
  <c r="AB10" i="18"/>
  <c r="Q325" i="1"/>
  <c r="V18" i="18"/>
  <c r="P55" i="1"/>
  <c r="AF55" i="1" s="1"/>
  <c r="Q55" i="1"/>
  <c r="P151" i="1"/>
  <c r="AF151" i="1" s="1"/>
  <c r="AE151" i="1" s="1"/>
  <c r="AG151" i="1" s="1"/>
  <c r="Q151" i="1"/>
  <c r="P283" i="1"/>
  <c r="AF283" i="1" s="1"/>
  <c r="Q283" i="1"/>
  <c r="P115" i="1"/>
  <c r="AF115" i="1" s="1"/>
  <c r="Q115" i="1"/>
  <c r="P139" i="1"/>
  <c r="Q139" i="1"/>
  <c r="P235" i="1"/>
  <c r="AF235" i="1" s="1"/>
  <c r="AE235" i="1" s="1"/>
  <c r="AG235" i="1" s="1"/>
  <c r="Q235" i="1"/>
  <c r="P121" i="1"/>
  <c r="AF121" i="1" s="1"/>
  <c r="Q121" i="1"/>
  <c r="P193" i="1"/>
  <c r="AF193" i="1" s="1"/>
  <c r="Q193" i="1"/>
  <c r="AL8" i="18"/>
  <c r="AL40" i="18"/>
  <c r="AF32" i="18"/>
  <c r="Z24" i="18"/>
  <c r="Z32" i="18"/>
  <c r="N16" i="18"/>
  <c r="Z16" i="18"/>
  <c r="T16" i="18"/>
  <c r="AL32" i="18"/>
  <c r="T8" i="18"/>
  <c r="T40" i="18"/>
  <c r="N8" i="18"/>
  <c r="Q295" i="1"/>
  <c r="T24" i="18"/>
  <c r="AF40" i="18"/>
  <c r="AL16" i="18"/>
  <c r="P295" i="1"/>
  <c r="AF295" i="1" s="1"/>
  <c r="AE295" i="1" s="1"/>
  <c r="Z40" i="18"/>
  <c r="AF8" i="18"/>
  <c r="AF16" i="18"/>
  <c r="AF24" i="18"/>
  <c r="T32" i="18"/>
  <c r="N32" i="18"/>
  <c r="Z8" i="18"/>
  <c r="AL24" i="18"/>
  <c r="N40" i="18"/>
  <c r="N24" i="18"/>
  <c r="P7" i="1"/>
  <c r="AF7" i="1" s="1"/>
  <c r="Q7" i="1"/>
  <c r="P73" i="1"/>
  <c r="AF73" i="1" s="1"/>
  <c r="AE73" i="1" s="1"/>
  <c r="AG73" i="1" s="1"/>
  <c r="Q73" i="1"/>
  <c r="Q187" i="1"/>
  <c r="P187" i="1"/>
  <c r="AF187" i="1" s="1"/>
  <c r="P265" i="1"/>
  <c r="AF265" i="1" s="1"/>
  <c r="Q265" i="1"/>
  <c r="P79" i="1"/>
  <c r="AF79" i="1" s="1"/>
  <c r="AE79" i="1" s="1"/>
  <c r="AG79" i="1" s="1"/>
  <c r="Q79" i="1"/>
  <c r="P223" i="1"/>
  <c r="AF223" i="1" s="1"/>
  <c r="AE223" i="1" s="1"/>
  <c r="AG223" i="1" s="1"/>
  <c r="Q223" i="1"/>
  <c r="P241" i="1"/>
  <c r="AF241" i="1" s="1"/>
  <c r="AE241" i="1" s="1"/>
  <c r="AG241" i="1" s="1"/>
  <c r="Q241" i="1"/>
  <c r="AC8" i="52"/>
  <c r="AE283" i="1" l="1"/>
  <c r="AG283" i="1" s="1"/>
  <c r="AF284" i="1"/>
  <c r="AE284" i="1" s="1"/>
  <c r="AG284" i="1" s="1"/>
  <c r="AE121" i="1"/>
  <c r="AG121" i="1" s="1"/>
  <c r="AF122" i="1"/>
  <c r="AH33" i="19"/>
  <c r="AH23" i="19"/>
  <c r="J53" i="19"/>
  <c r="AG331" i="1"/>
  <c r="AB13" i="19"/>
  <c r="AB53" i="19"/>
  <c r="V43" i="19"/>
  <c r="V53" i="19"/>
  <c r="P43" i="19"/>
  <c r="V23" i="19"/>
  <c r="P23" i="19"/>
  <c r="V33" i="19"/>
  <c r="AB33" i="19"/>
  <c r="J43" i="19"/>
  <c r="P53" i="19"/>
  <c r="P33" i="19"/>
  <c r="AB43" i="19"/>
  <c r="AH13" i="19"/>
  <c r="J33" i="19"/>
  <c r="AH43" i="19"/>
  <c r="J23" i="19"/>
  <c r="P13" i="19"/>
  <c r="AB23" i="19"/>
  <c r="AH53" i="19"/>
  <c r="V13" i="19"/>
  <c r="J13" i="19"/>
  <c r="AE133" i="1"/>
  <c r="AG133" i="1" s="1"/>
  <c r="AF134" i="1"/>
  <c r="AF37" i="1"/>
  <c r="AE37" i="1" s="1"/>
  <c r="AG37" i="1" s="1"/>
  <c r="AF38" i="1"/>
  <c r="AE38" i="1" s="1"/>
  <c r="AG38" i="1" s="1"/>
  <c r="AE199" i="1"/>
  <c r="AG199" i="1" s="1"/>
  <c r="AF200" i="1"/>
  <c r="AE200" i="1" s="1"/>
  <c r="AG200" i="1" s="1"/>
  <c r="J32" i="19"/>
  <c r="AB32" i="19"/>
  <c r="P12" i="19"/>
  <c r="J12" i="19"/>
  <c r="V52" i="19"/>
  <c r="P22" i="19"/>
  <c r="J22" i="19"/>
  <c r="AG325" i="1"/>
  <c r="V32" i="19"/>
  <c r="AB12" i="19"/>
  <c r="J42" i="19"/>
  <c r="AB22" i="19"/>
  <c r="AB52" i="19"/>
  <c r="V42" i="19"/>
  <c r="AH32" i="19"/>
  <c r="AH52" i="19"/>
  <c r="J52" i="19"/>
  <c r="P52" i="19"/>
  <c r="V12" i="19"/>
  <c r="AH12" i="19"/>
  <c r="AH42" i="19"/>
  <c r="P32" i="19"/>
  <c r="P42" i="19"/>
  <c r="AH22" i="19"/>
  <c r="AB42" i="19"/>
  <c r="V22" i="19"/>
  <c r="AE61" i="1"/>
  <c r="AG61" i="1" s="1"/>
  <c r="AF62" i="1"/>
  <c r="AE62" i="1" s="1"/>
  <c r="AG62" i="1" s="1"/>
  <c r="AE211" i="1"/>
  <c r="AG211" i="1" s="1"/>
  <c r="AF212" i="1"/>
  <c r="AE212" i="1" s="1"/>
  <c r="AG212" i="1" s="1"/>
  <c r="AE277" i="1"/>
  <c r="AG277" i="1" s="1"/>
  <c r="AF278" i="1"/>
  <c r="AF8" i="1"/>
  <c r="AE8" i="1" s="1"/>
  <c r="AG8" i="1" s="1"/>
  <c r="AE7" i="1"/>
  <c r="AG7" i="1" s="1"/>
  <c r="AE229" i="1"/>
  <c r="AG229" i="1" s="1"/>
  <c r="AF230" i="1"/>
  <c r="AE230" i="1" s="1"/>
  <c r="AG230" i="1" s="1"/>
  <c r="AF32" i="1"/>
  <c r="AE31" i="1"/>
  <c r="AE265" i="1"/>
  <c r="AG265" i="1" s="1"/>
  <c r="AF266" i="1"/>
  <c r="AE103" i="1"/>
  <c r="AG103" i="1" s="1"/>
  <c r="AF104" i="1"/>
  <c r="AE13" i="1"/>
  <c r="AG13" i="1" s="1"/>
  <c r="AF14" i="1"/>
  <c r="AE175" i="1"/>
  <c r="AG175" i="1" s="1"/>
  <c r="AF176" i="1"/>
  <c r="AF272" i="1"/>
  <c r="AE272" i="1" s="1"/>
  <c r="AE271" i="1"/>
  <c r="AE187" i="1"/>
  <c r="AG187" i="1" s="1"/>
  <c r="AF188" i="1"/>
  <c r="AE188" i="1" s="1"/>
  <c r="AG188" i="1" s="1"/>
  <c r="V21" i="19"/>
  <c r="AH51" i="19"/>
  <c r="J31" i="19"/>
  <c r="J21" i="19"/>
  <c r="P31" i="19"/>
  <c r="P41" i="19"/>
  <c r="V41" i="19"/>
  <c r="AH41" i="19"/>
  <c r="P21" i="19"/>
  <c r="P51" i="19"/>
  <c r="AB21" i="19"/>
  <c r="AB51" i="19"/>
  <c r="AB11" i="19"/>
  <c r="J51" i="19"/>
  <c r="AG295" i="1"/>
  <c r="AH21" i="19"/>
  <c r="V51" i="19"/>
  <c r="P11" i="19"/>
  <c r="AH11" i="19"/>
  <c r="AB41" i="19"/>
  <c r="AB31" i="19"/>
  <c r="AH31" i="19"/>
  <c r="J41" i="19"/>
  <c r="V31" i="19"/>
  <c r="V11" i="19"/>
  <c r="J11" i="19"/>
  <c r="AF139" i="1"/>
  <c r="AE139" i="1" s="1"/>
  <c r="AG139" i="1" s="1"/>
  <c r="AF140" i="1"/>
  <c r="AE140" i="1" s="1"/>
  <c r="AG140" i="1" s="1"/>
  <c r="AE55" i="1"/>
  <c r="AG55" i="1" s="1"/>
  <c r="AF56" i="1"/>
  <c r="AE217" i="1"/>
  <c r="AG217" i="1" s="1"/>
  <c r="AF218" i="1"/>
  <c r="AE218" i="1" s="1"/>
  <c r="AG218" i="1" s="1"/>
  <c r="AE169" i="1"/>
  <c r="AG169" i="1" s="1"/>
  <c r="AF170" i="1"/>
  <c r="AE97" i="1"/>
  <c r="AG97" i="1" s="1"/>
  <c r="AF98" i="1"/>
  <c r="AE98" i="1" s="1"/>
  <c r="AG98" i="1" s="1"/>
  <c r="P50" i="19"/>
  <c r="AB20" i="19"/>
  <c r="J20" i="19"/>
  <c r="P20" i="19"/>
  <c r="J30" i="19"/>
  <c r="J10" i="19"/>
  <c r="V10" i="19"/>
  <c r="AB30" i="19"/>
  <c r="AB50" i="19"/>
  <c r="V20" i="19"/>
  <c r="AB10" i="19"/>
  <c r="V40" i="19"/>
  <c r="AH20" i="19"/>
  <c r="V50" i="19"/>
  <c r="AB40" i="19"/>
  <c r="J50" i="19"/>
  <c r="V30" i="19"/>
  <c r="P10" i="19"/>
  <c r="AH40" i="19"/>
  <c r="AH30" i="19"/>
  <c r="J40" i="19"/>
  <c r="AH10" i="19"/>
  <c r="P30" i="19"/>
  <c r="AG289" i="1"/>
  <c r="P40" i="19"/>
  <c r="AH50" i="19"/>
  <c r="AE67" i="1"/>
  <c r="AG67" i="1" s="1"/>
  <c r="AF68" i="1"/>
  <c r="AE68" i="1" s="1"/>
  <c r="AG68" i="1" s="1"/>
  <c r="AE193" i="1"/>
  <c r="AG193" i="1" s="1"/>
  <c r="AF194" i="1"/>
  <c r="AE115" i="1"/>
  <c r="AG115" i="1" s="1"/>
  <c r="AF116" i="1"/>
  <c r="AE157" i="1"/>
  <c r="AG157" i="1" s="1"/>
  <c r="AF158" i="1"/>
  <c r="AE158" i="1" s="1"/>
  <c r="AG158" i="1" s="1"/>
  <c r="AE19" i="1"/>
  <c r="AG19" i="1" s="1"/>
  <c r="AF20" i="1"/>
  <c r="AE20" i="1" s="1"/>
  <c r="AG20" i="1" s="1"/>
  <c r="AE319" i="1"/>
  <c r="AG319" i="1" s="1"/>
  <c r="AF320" i="1"/>
  <c r="AE320" i="1" s="1"/>
  <c r="AG320" i="1" s="1"/>
  <c r="AE25" i="1"/>
  <c r="AG25" i="1" s="1"/>
  <c r="AF26" i="1"/>
  <c r="AE163" i="1"/>
  <c r="AG163" i="1" s="1"/>
  <c r="AF164" i="1"/>
  <c r="AE164" i="1" s="1"/>
  <c r="AG164" i="1" s="1"/>
  <c r="AE205" i="1"/>
  <c r="AG205" i="1" s="1"/>
  <c r="AF206" i="1"/>
  <c r="AE206" i="1" s="1"/>
  <c r="AG206" i="1" s="1"/>
  <c r="AE247" i="1"/>
  <c r="AG247" i="1" s="1"/>
  <c r="AF248" i="1"/>
  <c r="AE307" i="1"/>
  <c r="AG307" i="1" s="1"/>
  <c r="AF308" i="1"/>
  <c r="AE308" i="1" s="1"/>
  <c r="AG308" i="1" s="1"/>
  <c r="AE313" i="1"/>
  <c r="AG313" i="1" s="1"/>
  <c r="AF314" i="1"/>
  <c r="AE314" i="1" s="1"/>
  <c r="AG314" i="1" s="1"/>
  <c r="AF8" i="52"/>
  <c r="AE26" i="1" l="1"/>
  <c r="AG26" i="1" s="1"/>
  <c r="AF27" i="1"/>
  <c r="AE27" i="1" s="1"/>
  <c r="AG27" i="1" s="1"/>
  <c r="AE116" i="1"/>
  <c r="AG116" i="1" s="1"/>
  <c r="AF117" i="1"/>
  <c r="AE176" i="1"/>
  <c r="AG176" i="1" s="1"/>
  <c r="AF177" i="1"/>
  <c r="AH7" i="19"/>
  <c r="J47" i="19"/>
  <c r="P47" i="19"/>
  <c r="AB37" i="19"/>
  <c r="P7" i="19"/>
  <c r="J7" i="19"/>
  <c r="J17" i="19"/>
  <c r="V17" i="19"/>
  <c r="AH37" i="19"/>
  <c r="V27" i="19"/>
  <c r="P17" i="19"/>
  <c r="AB27" i="19"/>
  <c r="AH17" i="19"/>
  <c r="AH27" i="19"/>
  <c r="AB47" i="19"/>
  <c r="P37" i="19"/>
  <c r="AG31" i="1"/>
  <c r="V37" i="19"/>
  <c r="AB7" i="19"/>
  <c r="AB17" i="19"/>
  <c r="AH47" i="19"/>
  <c r="J27" i="19"/>
  <c r="J37" i="19"/>
  <c r="V7" i="19"/>
  <c r="P27" i="19"/>
  <c r="V47" i="19"/>
  <c r="AE248" i="1"/>
  <c r="AG248" i="1" s="1"/>
  <c r="AF249" i="1"/>
  <c r="AE249" i="1" s="1"/>
  <c r="AG249" i="1" s="1"/>
  <c r="AE194" i="1"/>
  <c r="AG194" i="1" s="1"/>
  <c r="AF195" i="1"/>
  <c r="AE195" i="1" s="1"/>
  <c r="AG195" i="1" s="1"/>
  <c r="AE170" i="1"/>
  <c r="AG170" i="1" s="1"/>
  <c r="AF171" i="1"/>
  <c r="AE171" i="1" s="1"/>
  <c r="AG171" i="1" s="1"/>
  <c r="AE14" i="1"/>
  <c r="AG14" i="1" s="1"/>
  <c r="AF15" i="1"/>
  <c r="AE15" i="1" s="1"/>
  <c r="AG15" i="1" s="1"/>
  <c r="AE134" i="1"/>
  <c r="AG134" i="1" s="1"/>
  <c r="AF135" i="1"/>
  <c r="AE135" i="1" s="1"/>
  <c r="AG135" i="1" s="1"/>
  <c r="AE32" i="1"/>
  <c r="AF33" i="1"/>
  <c r="AE33" i="1" s="1"/>
  <c r="AE104" i="1"/>
  <c r="AG104" i="1" s="1"/>
  <c r="AF105" i="1"/>
  <c r="AE56" i="1"/>
  <c r="AG56" i="1" s="1"/>
  <c r="AF57" i="1"/>
  <c r="AE57" i="1" s="1"/>
  <c r="AG57" i="1" s="1"/>
  <c r="AH19" i="19"/>
  <c r="AH9" i="19"/>
  <c r="AB19" i="19"/>
  <c r="AH49" i="19"/>
  <c r="J49" i="19"/>
  <c r="P9" i="19"/>
  <c r="AG271" i="1"/>
  <c r="V39" i="19"/>
  <c r="J9" i="19"/>
  <c r="P29" i="19"/>
  <c r="AB39" i="19"/>
  <c r="J19" i="19"/>
  <c r="P39" i="19"/>
  <c r="V19" i="19"/>
  <c r="AB9" i="19"/>
  <c r="AB29" i="19"/>
  <c r="V9" i="19"/>
  <c r="J29" i="19"/>
  <c r="V49" i="19"/>
  <c r="V29" i="19"/>
  <c r="AB49" i="19"/>
  <c r="AH29" i="19"/>
  <c r="P49" i="19"/>
  <c r="P19" i="19"/>
  <c r="J39" i="19"/>
  <c r="AH39" i="19"/>
  <c r="AE266" i="1"/>
  <c r="AG266" i="1" s="1"/>
  <c r="AF267" i="1"/>
  <c r="AE267" i="1" s="1"/>
  <c r="AG267" i="1" s="1"/>
  <c r="AE278" i="1"/>
  <c r="AG278" i="1" s="1"/>
  <c r="AF279" i="1"/>
  <c r="AE122" i="1"/>
  <c r="AG122" i="1" s="1"/>
  <c r="AF123" i="1"/>
  <c r="AE123" i="1" s="1"/>
  <c r="AG123" i="1" s="1"/>
  <c r="AG272" i="1"/>
  <c r="AC39" i="19"/>
  <c r="Q9" i="19"/>
  <c r="W39" i="19"/>
  <c r="K39" i="19"/>
  <c r="AC19" i="19"/>
  <c r="W29" i="19"/>
  <c r="AC29" i="19"/>
  <c r="W9" i="19"/>
  <c r="AI9" i="19"/>
  <c r="Q49" i="19"/>
  <c r="AC9" i="19"/>
  <c r="K9" i="19"/>
  <c r="Q29" i="19"/>
  <c r="Q39" i="19"/>
  <c r="AC49" i="19"/>
  <c r="W19" i="19"/>
  <c r="K29" i="19"/>
  <c r="K49" i="19"/>
  <c r="AI19" i="19"/>
  <c r="K19" i="19"/>
  <c r="W49" i="19"/>
  <c r="Q19" i="19"/>
  <c r="AI29" i="19"/>
  <c r="AI39" i="19"/>
  <c r="AI49" i="19"/>
  <c r="AE279" i="1" l="1"/>
  <c r="AG279" i="1" s="1"/>
  <c r="AF280" i="1"/>
  <c r="AE280" i="1" s="1"/>
  <c r="AG280" i="1" s="1"/>
  <c r="AE105" i="1"/>
  <c r="AG105" i="1" s="1"/>
  <c r="AF106" i="1"/>
  <c r="AE106" i="1" s="1"/>
  <c r="AG106" i="1" s="1"/>
  <c r="AE177" i="1"/>
  <c r="AG177" i="1" s="1"/>
  <c r="AF178" i="1"/>
  <c r="AE178" i="1" s="1"/>
  <c r="AG178" i="1" s="1"/>
  <c r="L37" i="19"/>
  <c r="AD47" i="19"/>
  <c r="R27" i="19"/>
  <c r="AD37" i="19"/>
  <c r="X47" i="19"/>
  <c r="AJ37" i="19"/>
  <c r="AJ47" i="19"/>
  <c r="X27" i="19"/>
  <c r="R17" i="19"/>
  <c r="AJ27" i="19"/>
  <c r="X17" i="19"/>
  <c r="X37" i="19"/>
  <c r="L47" i="19"/>
  <c r="L7" i="19"/>
  <c r="L27" i="19"/>
  <c r="X7" i="19"/>
  <c r="AG33" i="1"/>
  <c r="R7" i="19"/>
  <c r="AJ17" i="19"/>
  <c r="R47" i="19"/>
  <c r="AJ7" i="19"/>
  <c r="AD7" i="19"/>
  <c r="AD27" i="19"/>
  <c r="R37" i="19"/>
  <c r="L17" i="19"/>
  <c r="AD17" i="19"/>
  <c r="AE117" i="1"/>
  <c r="AG117" i="1" s="1"/>
  <c r="AF118" i="1"/>
  <c r="AE118" i="1" s="1"/>
  <c r="AG118" i="1" s="1"/>
  <c r="AC27" i="19"/>
  <c r="K17" i="19"/>
  <c r="Q27" i="19"/>
  <c r="AG32" i="1"/>
  <c r="W27" i="19"/>
  <c r="W17" i="19"/>
  <c r="AC7" i="19"/>
  <c r="AC17" i="19"/>
  <c r="Q47" i="19"/>
  <c r="Q37" i="19"/>
  <c r="AI27" i="19"/>
  <c r="Q17" i="19"/>
  <c r="AI7" i="19"/>
  <c r="AC37" i="19"/>
  <c r="AI17" i="19"/>
  <c r="AC47" i="19"/>
  <c r="AI37" i="19"/>
  <c r="K27" i="19"/>
  <c r="K37" i="19"/>
  <c r="W37" i="19"/>
  <c r="W47" i="19"/>
  <c r="W7" i="19"/>
  <c r="K7" i="19"/>
  <c r="AI47" i="19"/>
  <c r="K47" i="19"/>
  <c r="Q7" i="19"/>
</calcChain>
</file>

<file path=xl/comments1.xml><?xml version="1.0" encoding="utf-8"?>
<comments xmlns="http://schemas.openxmlformats.org/spreadsheetml/2006/main">
  <authors>
    <author>Usuario</author>
    <author>luisa</author>
  </authors>
  <commentList>
    <comment ref="E3" authorId="0" shapeId="0">
      <text>
        <r>
          <rPr>
            <b/>
            <sz val="9"/>
            <color indexed="81"/>
            <rFont val="Tahoma"/>
            <family val="2"/>
          </rPr>
          <t>Usuario:</t>
        </r>
        <r>
          <rPr>
            <sz val="9"/>
            <color indexed="81"/>
            <rFont val="Tahoma"/>
            <family val="2"/>
          </rPr>
          <t xml:space="preserve">
INCLUIR EL FACTOR RELACIONADO CON CADA CAUSA</t>
        </r>
      </text>
    </comment>
    <comment ref="G3" authorId="0" shapeId="0">
      <text>
        <r>
          <rPr>
            <b/>
            <sz val="12"/>
            <color indexed="81"/>
            <rFont val="Tahoma"/>
            <family val="2"/>
          </rPr>
          <t>Usuario:</t>
        </r>
        <r>
          <rPr>
            <sz val="12"/>
            <color indexed="81"/>
            <rFont val="Tahoma"/>
            <family val="2"/>
          </rPr>
          <t xml:space="preserve">
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Para los Riesgos Fiscales la redacción inicia con POSIBILIDAD DE + Efecto Dañoso + sobre bienes públicos ó sobre recursos públicos ó sobre intereses patrimoniales de naturaleza pública (Qué) + Causa Inmediata (Comó) + Causa Raíz (Por qué)
Ejemplo: Posibilidad de efecto dañosos sobre bienes pñublicos por pérdida, extravio o hurto de bienes muebles de la entidad a causa de la omisión en la aplicación del procedimiento para el ingresp y salida de bienes del almacén.</t>
        </r>
      </text>
    </comment>
    <comment ref="I3" authorId="0" shapeId="0">
      <text>
        <r>
          <rPr>
            <b/>
            <sz val="9"/>
            <color indexed="81"/>
            <rFont val="Tahoma"/>
            <family val="2"/>
          </rPr>
          <t>Usuario:</t>
        </r>
        <r>
          <rPr>
            <sz val="9"/>
            <color indexed="81"/>
            <rFont val="Tahoma"/>
            <family val="2"/>
          </rPr>
          <t xml:space="preserve">
Consecuencia: los efectos o situaciones resultantes de la materialización del riesgo que impactan en el proceso, la entidad, sus grupos de valor y demás partes interesadas.</t>
        </r>
      </text>
    </comment>
    <comment ref="J3" authorId="1" shapeId="0">
      <text>
        <r>
          <rPr>
            <sz val="9"/>
            <color indexed="81"/>
            <rFont val="Arial Narrow"/>
            <family val="2"/>
          </rPr>
          <t>Número de veces que se ejecuta la actividad durante el año</t>
        </r>
        <r>
          <rPr>
            <sz val="9"/>
            <color indexed="81"/>
            <rFont val="Tahoma"/>
            <family val="2"/>
          </rPr>
          <t xml:space="preserve">
</t>
        </r>
      </text>
    </comment>
    <comment ref="S3" authorId="0" shapeId="0">
      <text>
        <r>
          <rPr>
            <b/>
            <sz val="9"/>
            <color indexed="81"/>
            <rFont val="Tahoma"/>
            <family val="2"/>
          </rPr>
          <t>Usuario:</t>
        </r>
        <r>
          <rPr>
            <sz val="9"/>
            <color indexed="81"/>
            <rFont val="Tahoma"/>
            <family val="2"/>
          </rPr>
          <t xml:space="preserve">
La estructura para la descripción del control debe contar con los siguientes variables: responsable de ejecutar el control, acción mediante verbos y el complemento (como se realiza al actividad de control, evidencia, periodicidad, y observaciones o desviaciones de aplicar el control)</t>
        </r>
      </text>
    </comment>
    <comment ref="E5" authorId="0" shapeId="0">
      <text>
        <r>
          <rPr>
            <b/>
            <sz val="9"/>
            <color indexed="81"/>
            <rFont val="Tahoma"/>
            <family val="2"/>
          </rPr>
          <t>Usuario:</t>
        </r>
        <r>
          <rPr>
            <sz val="9"/>
            <color indexed="81"/>
            <rFont val="Tahoma"/>
            <family val="2"/>
          </rPr>
          <t xml:space="preserve">
Recursos Financieros-Económicos: Presupuesto de funcionamiento, recursos de inversión, infraestructura, capacidad instalada.
Planeación: Se refiere al accionar que tiene que ver con políticas, planes, programas y proyectos al interior de la entidad.
Talento Humano: Estructura y cultura organizacional. Competencia del personal, disponibilidad del personal, seguridad y salud ocupacional.  Se analiza posible dolo e intención frente a la corrupción, fraude interno (corrupción, soborno). Para el tema de Seguridad de la información, corresponde al personal que, por su conocimiento, experiencia y criticidad para el proceso, son considerados activos de información.  
Procesos: Eventos relacionados con errores en las actividades que deben realizar los servidores de la organización. Falta de procedimientos, errores de grabación, autorización, errores en cálculos para pagos internos y externos y falta de capacidad.
Tecnología: Eventos relacionados con la infraestructura tecnológica de la entidad. Daños de quipos, caída de aplicaciones, caída de redes, errores en programas.
Infraestructura: Eventos relacionados con la infraestructura física de la entidad. Derrumbes, incendios, inundaciones, daños a activos fijos.
Coordinación y Comunicación: Canales utilizados y su efectividad, así como adecuado y oportuno flujo de la información necesaria para el desarrollo de las operaciones.
Otro: Se refiere a una categoría diferente a las mencionadas anteriormente.
</t>
        </r>
      </text>
    </comment>
    <comment ref="F5" authorId="0" shapeId="0">
      <text>
        <r>
          <rPr>
            <b/>
            <sz val="9"/>
            <color indexed="81"/>
            <rFont val="Tahoma"/>
            <family val="2"/>
          </rPr>
          <t>Usuario:</t>
        </r>
        <r>
          <rPr>
            <sz val="9"/>
            <color indexed="81"/>
            <rFont val="Tahoma"/>
            <family val="2"/>
          </rPr>
          <t xml:space="preserve">
Económico: Disponibilidad de capital, liquidez, mercados financieros, desempleo, competencia.   
Legal y reglamentario: Se refiere a todo lo establecido por la ley o que esté conforme con ella.
Ambiental: emisiones y residuos, energía, catástrofes naturales, desarrollo sostenible.
Político: Cambios de gobierno, políticas públicas, regulación.
Sociales y Culturales: Demografía, responsabilidad social, orden público, atentados, vandalismo, asalto a la oficina.
Tecnológico: Avances en tecnología, acceso a sistemas de información externos, gobierno digital, suplantación de identidad, virus informáticos.
Otro: Se refiere a una categoría diferente a las mencionadas anteriormente.
</t>
        </r>
      </text>
    </comment>
  </commentList>
</comments>
</file>

<file path=xl/comments2.xml><?xml version="1.0" encoding="utf-8"?>
<comments xmlns="http://schemas.openxmlformats.org/spreadsheetml/2006/main">
  <authors>
    <author>Usuario</author>
    <author>luisa</author>
  </authors>
  <commentList>
    <comment ref="D3" authorId="0" shapeId="0">
      <text>
        <r>
          <rPr>
            <b/>
            <sz val="9"/>
            <color indexed="81"/>
            <rFont val="Tahoma"/>
            <family val="2"/>
          </rPr>
          <t>Usuario:</t>
        </r>
        <r>
          <rPr>
            <sz val="9"/>
            <color indexed="81"/>
            <rFont val="Tahoma"/>
            <family val="2"/>
          </rPr>
          <t xml:space="preserve">
INCLUIR EL FACTOR RELACIONADO CON CADA CAUSA</t>
        </r>
      </text>
    </comment>
    <comment ref="F3" authorId="0" shapeId="0">
      <text>
        <r>
          <rPr>
            <b/>
            <sz val="12"/>
            <color indexed="81"/>
            <rFont val="Tahoma"/>
            <family val="2"/>
          </rPr>
          <t>Usuario:</t>
        </r>
        <r>
          <rPr>
            <sz val="12"/>
            <color indexed="81"/>
            <rFont val="Tahoma"/>
            <family val="2"/>
          </rPr>
          <t xml:space="preserve">
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Para los Riesgos Fiscales la redacción inicia con POSIBILIDAD DE + Efecto Dañoso + sobre bienes públicos o sobre recursos públicos o sobre intereses patrimoniales de naturaleza pública (Qué) + Causa Inmediata (Comó) + Causa Raíz (Por qué)
Ejemplo: Posibilidad de efecto dañosos sobre bienes públicos por pérdida, extravio o hurto de bienes muebles de la entidad a causa de la omisión en la aplicación del procedimiento para el ingreso y salida de bienes del almacén.</t>
        </r>
      </text>
    </comment>
    <comment ref="H3" authorId="0" shapeId="0">
      <text>
        <r>
          <rPr>
            <b/>
            <sz val="9"/>
            <color indexed="81"/>
            <rFont val="Tahoma"/>
            <family val="2"/>
          </rPr>
          <t>Usuario:</t>
        </r>
        <r>
          <rPr>
            <sz val="9"/>
            <color indexed="81"/>
            <rFont val="Tahoma"/>
            <family val="2"/>
          </rPr>
          <t xml:space="preserve">
Consecuencia: los efectos o situaciones resultantes de la materialización del riesgo que impactan en el proceso, la entidad, sus grupos de valor y demás partes interesadas.</t>
        </r>
      </text>
    </comment>
    <comment ref="I3" authorId="1" shapeId="0">
      <text>
        <r>
          <rPr>
            <sz val="9"/>
            <color indexed="81"/>
            <rFont val="Arial Narrow"/>
            <family val="2"/>
          </rPr>
          <t>Número de veces que se ejecuta la actividad durante el año</t>
        </r>
        <r>
          <rPr>
            <sz val="9"/>
            <color indexed="81"/>
            <rFont val="Tahoma"/>
            <family val="2"/>
          </rPr>
          <t xml:space="preserve">
</t>
        </r>
      </text>
    </comment>
    <comment ref="Q3" authorId="0" shapeId="0">
      <text>
        <r>
          <rPr>
            <b/>
            <sz val="9"/>
            <color indexed="81"/>
            <rFont val="Tahoma"/>
            <family val="2"/>
          </rPr>
          <t>Usuario:</t>
        </r>
        <r>
          <rPr>
            <sz val="9"/>
            <color indexed="81"/>
            <rFont val="Tahoma"/>
            <family val="2"/>
          </rPr>
          <t xml:space="preserve">
La estructura para la descripción del control debe contar con los siguientes variables: responsable de ejecutar el control, acción mediante verbos y el complemento (como se realiza al actividad de control, evidencia, periodicidad, y observaciones o desviaciones de aplicar el control)</t>
        </r>
      </text>
    </comment>
    <comment ref="D5" authorId="0" shapeId="0">
      <text>
        <r>
          <rPr>
            <b/>
            <sz val="9"/>
            <color indexed="81"/>
            <rFont val="Tahoma"/>
            <family val="2"/>
          </rPr>
          <t>Usuario:</t>
        </r>
        <r>
          <rPr>
            <sz val="9"/>
            <color indexed="81"/>
            <rFont val="Tahoma"/>
            <family val="2"/>
          </rPr>
          <t xml:space="preserve">
Recursos Financieros-Económicos: Presupuesto de funcionamiento, recursos de inversión, infraestructura, capacidad instalada.
Planeación: Se refiere al accionar que tiene que ver con políticas, planes, programas y proyectos al interior de la entidad.
Talento Humano: Estructura y cultura organizacional. Competencia del personal, disponibilidad del personal, seguridad y salud ocupacional.  Se analiza posible dolo e intención frente a la corrupción, fraude interno (corrupción, soborno). Para el tema de Seguridad de la información, corresponde al personal que, por su conocimiento, experiencia y criticidad para el proceso, son considerados activos de información.  
Procesos: Eventos relacionados con errores en las actividades que deben realizar los servidores de la organización. Falta de procedimientos, errores de grabación, autorización, errores en cálculos para pagos internos y externos y falta de capacidad.
Tecnología: Eventos relacionados con la infraestructura tecnológica de la entidad. Daños de quipos, caída de aplicaciones, caída de redes, errores en programas.
Infraestructura: Eventos relacionados con la infraestructura física de la entidad. Derrumbes, incendios, inundaciones, daños a activos fijos.
Coordinación y Comunicación: Canales utilizados y su efectividad, así como adecuado y oportuno flujo de la información necesaria para el desarrollo de las operaciones.
Otro: Se refiere a una categoría diferente a las mencionadas anteriormente.
</t>
        </r>
      </text>
    </comment>
    <comment ref="E5" authorId="0" shapeId="0">
      <text>
        <r>
          <rPr>
            <b/>
            <sz val="9"/>
            <color indexed="81"/>
            <rFont val="Tahoma"/>
            <family val="2"/>
          </rPr>
          <t>Usuario:</t>
        </r>
        <r>
          <rPr>
            <sz val="9"/>
            <color indexed="81"/>
            <rFont val="Tahoma"/>
            <family val="2"/>
          </rPr>
          <t xml:space="preserve">
Económico: Disponibilidad de capital, liquidez, mercados financieros, desempleo, competencia.   
Legal y reglamentario: Se refiere a todo lo establecido por la ley o que esté conforme con ella.
Ambiental: emisiones y residuos, energía, catástrofes naturales, desarrollo sostenible.
Político: Cambios de gobierno, políticas públicas, regulación.
Sociales y Culturales: Demografía, responsabilidad social, orden público, atentados, vandalismo, asalto a la oficina.
Tecnológico: Avances en tecnología, acceso a sistemas de información externos, gobierno digital, suplantación de identidad, virus informáticos.
Otro: Se refiere a una categoría diferente a las mencionadas anteriormente.
</t>
        </r>
      </text>
    </comment>
  </commentList>
</comments>
</file>

<file path=xl/comments3.xml><?xml version="1.0" encoding="utf-8"?>
<comments xmlns="http://schemas.openxmlformats.org/spreadsheetml/2006/main">
  <authors>
    <author>Ivonne Andrea Lopez Rincon</author>
  </authors>
  <commentList>
    <comment ref="A5" authorId="0" shapeId="0">
      <text>
        <r>
          <rPr>
            <b/>
            <sz val="9"/>
            <color indexed="81"/>
            <rFont val="Tahoma"/>
            <family val="2"/>
          </rPr>
          <t>Ivonne Andrea Lopez Rincon:</t>
        </r>
        <r>
          <rPr>
            <sz val="9"/>
            <color indexed="81"/>
            <rFont val="Tahoma"/>
            <family val="2"/>
          </rPr>
          <t xml:space="preserve">
Por cada riesgo de corrupción identificado, se debe diligenciar una tabla de estas.</t>
        </r>
      </text>
    </comment>
    <comment ref="A24" authorId="0" shapeId="0">
      <text>
        <r>
          <rPr>
            <b/>
            <sz val="9"/>
            <color indexed="81"/>
            <rFont val="Tahoma"/>
            <family val="2"/>
          </rPr>
          <t>Ivonne Andrea Lopez Rincon:</t>
        </r>
        <r>
          <rPr>
            <sz val="9"/>
            <color indexed="81"/>
            <rFont val="Tahoma"/>
            <family val="2"/>
          </rPr>
          <t xml:space="preserve">
Si la respuesta a la pregunta 16 es afirmativa, el riesgo
se considera catastrófico.</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<sst xmlns="http://schemas.openxmlformats.org/spreadsheetml/2006/main" count="3022" uniqueCount="1106">
  <si>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</si>
  <si>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</si>
  <si>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</si>
  <si>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</si>
  <si>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</si>
  <si>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</si>
  <si>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</si>
  <si>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</si>
  <si>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</si>
  <si>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</si>
  <si>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</si>
  <si>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</si>
  <si>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</si>
  <si>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</si>
  <si>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</si>
  <si>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</si>
  <si>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</si>
  <si>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</si>
  <si>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</si>
  <si>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</si>
  <si>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</si>
  <si>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</si>
  <si>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</si>
  <si>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</si>
  <si>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Calificación</t>
  </si>
  <si>
    <t>Tratamiento</t>
  </si>
  <si>
    <t>Reducir</t>
  </si>
  <si>
    <t>Aceptar</t>
  </si>
  <si>
    <t>Evitar</t>
  </si>
  <si>
    <t>Estado</t>
  </si>
  <si>
    <t>Finalizado</t>
  </si>
  <si>
    <t>En curso</t>
  </si>
  <si>
    <t>Causa Raíz</t>
  </si>
  <si>
    <t>Probabilidad Residual Final</t>
  </si>
  <si>
    <t>Impacto Residual Final</t>
  </si>
  <si>
    <t>Zona de Riesgo Inherente</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</si>
  <si>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</si>
  <si>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</si>
  <si>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</si>
  <si>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</si>
  <si>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</si>
  <si>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</si>
  <si>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</si>
  <si>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</si>
  <si>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</si>
  <si>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</si>
  <si>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</si>
  <si>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</si>
  <si>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</si>
  <si>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</si>
  <si>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</si>
  <si>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</si>
  <si>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</si>
  <si>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</si>
  <si>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</si>
  <si>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</si>
  <si>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</si>
  <si>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</si>
  <si>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</si>
  <si>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</si>
  <si>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</si>
  <si>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</si>
  <si>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</si>
  <si>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</si>
  <si>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</si>
  <si>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</si>
  <si>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</si>
  <si>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</si>
  <si>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</si>
  <si>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</si>
  <si>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</si>
  <si>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</si>
  <si>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</si>
  <si>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</si>
  <si>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</si>
  <si>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</si>
  <si>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</si>
  <si>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</si>
  <si>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</si>
  <si>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</si>
  <si>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</si>
  <si>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</si>
  <si>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</si>
  <si>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</si>
  <si>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</si>
  <si>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</si>
  <si>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</si>
  <si>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</si>
  <si>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</si>
  <si>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</si>
  <si>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</si>
  <si>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</si>
  <si>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</si>
  <si>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</si>
  <si>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</si>
  <si>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</si>
  <si>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</si>
  <si>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</si>
  <si>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</si>
  <si>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</si>
  <si>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</si>
  <si>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</si>
  <si>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</si>
  <si>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</si>
  <si>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</si>
  <si>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</si>
  <si>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</si>
  <si>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</si>
  <si>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</si>
  <si>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Económico y Reputacional</t>
  </si>
  <si>
    <t>Probabilidad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</si>
  <si>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</si>
  <si>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</si>
  <si>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</si>
  <si>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</si>
  <si>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</si>
  <si>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</si>
  <si>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</si>
  <si>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</si>
  <si>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</si>
  <si>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</si>
  <si>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</si>
  <si>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</si>
  <si>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</si>
  <si>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</si>
  <si>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</si>
  <si>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</si>
  <si>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</si>
  <si>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</si>
  <si>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</si>
  <si>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</si>
  <si>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</si>
  <si>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</si>
  <si>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</si>
  <si>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</si>
  <si>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</si>
  <si>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</si>
  <si>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</si>
  <si>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</si>
  <si>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</si>
  <si>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</si>
  <si>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</si>
  <si>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</si>
  <si>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</si>
  <si>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</si>
  <si>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</si>
  <si>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</si>
  <si>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</si>
  <si>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</si>
  <si>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</si>
  <si>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</si>
  <si>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</si>
  <si>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</si>
  <si>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</si>
  <si>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</si>
  <si>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</si>
  <si>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</si>
  <si>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</si>
  <si>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</si>
  <si>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</si>
  <si>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</si>
  <si>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</si>
  <si>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</si>
  <si>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</si>
  <si>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</si>
  <si>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</si>
  <si>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</si>
  <si>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</si>
  <si>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</si>
  <si>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</si>
  <si>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</si>
  <si>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</si>
  <si>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</si>
  <si>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</si>
  <si>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</si>
  <si>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</si>
  <si>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</si>
  <si>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</si>
  <si>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</si>
  <si>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</si>
  <si>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PROCESO</t>
  </si>
  <si>
    <t>RESPONSABLE</t>
  </si>
  <si>
    <t>ACCIONES A TOMAR</t>
  </si>
  <si>
    <t>PROBABILIDAD</t>
  </si>
  <si>
    <t xml:space="preserve">RIESGO </t>
  </si>
  <si>
    <t>PLAN DE MANEJO DEL RIESGO</t>
  </si>
  <si>
    <t xml:space="preserve">IDENTIFICACIÓN DEL RIESGO </t>
  </si>
  <si>
    <t>Responder afirmativamente de DOCE a DIECINUEVE preguntas genera un impacto CATASTRÒFICO</t>
  </si>
  <si>
    <t>Responder afirmativamente de SEIS a ONCE preguntas genera un impacto MAYOR</t>
  </si>
  <si>
    <t>Responder afirmativamente de UNO a CINCO pregunta(s) genera un impacto MODERADO</t>
  </si>
  <si>
    <t>TOTAL</t>
  </si>
  <si>
    <t>CALIFICACIÓN DE IMPACTO</t>
  </si>
  <si>
    <t>NIVEL</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</si>
  <si>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</si>
  <si>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</si>
  <si>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</si>
  <si>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</si>
  <si>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</si>
  <si>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</si>
  <si>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</si>
  <si>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Dar lugar a procesos disciplinarios</t>
  </si>
  <si>
    <t>Dar lugar a proceso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</si>
  <si>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</si>
  <si>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</si>
  <si>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</si>
  <si>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 de la entidad</t>
  </si>
  <si>
    <t>Generar pérdida de recursos económicos</t>
  </si>
  <si>
    <t>Generar pérdida de confianza de la entidad, afectando su reputación</t>
  </si>
  <si>
    <t>Afectar el cumplimiento de la misión del sector a la que pertenece la entidad</t>
  </si>
  <si>
    <t>Afectar el cumplimiento de la misión de la entidad</t>
  </si>
  <si>
    <t>Afectar el cumplimiento de metas y objetivos de la dependencia</t>
  </si>
  <si>
    <t>Afectar al grupo de funcionarios del proceso</t>
  </si>
  <si>
    <t>No</t>
  </si>
  <si>
    <t>Si el riesgo de corrupción se materializa podría…</t>
  </si>
  <si>
    <t>RESPUESTA</t>
  </si>
  <si>
    <t>PREGUNTA</t>
  </si>
  <si>
    <t>Riesgo:</t>
  </si>
  <si>
    <t>FORMATO PARA DETERMINAR EL IMPACTO EN RIESGOS DE CORRUPCIÓN</t>
  </si>
  <si>
    <t>EXTREMA</t>
  </si>
  <si>
    <t>ALTA</t>
  </si>
  <si>
    <t>MODERADA</t>
  </si>
  <si>
    <t>BAJA</t>
  </si>
  <si>
    <t>CASI SEGURO</t>
  </si>
  <si>
    <t>PROBABLE</t>
  </si>
  <si>
    <t>POSIBLE</t>
  </si>
  <si>
    <t>IMPROBABLE</t>
  </si>
  <si>
    <t>RARO</t>
  </si>
  <si>
    <t>DÉBIL
menor a 85</t>
  </si>
  <si>
    <t xml:space="preserve">MODERADO
entre 86 y 95 </t>
  </si>
  <si>
    <t>DÉBIL = 0
débil + débil</t>
  </si>
  <si>
    <t xml:space="preserve">FUERTE
entre 96 y 100 </t>
  </si>
  <si>
    <t>DÉBIL = 0
débil + moderado</t>
  </si>
  <si>
    <t>RANGO DE CALIFICACIÒN DEL DISEÑO DEL CONTROL</t>
  </si>
  <si>
    <t>Corrupción</t>
  </si>
  <si>
    <t>DÉBIL = 0
débil + fuerte</t>
  </si>
  <si>
    <t>DÉBIL = 0
moderado + débil</t>
  </si>
  <si>
    <t>MODERADO = 50
moderado + moderado</t>
  </si>
  <si>
    <t>Casi Seguro</t>
  </si>
  <si>
    <t>MODERADO =50
moderado + fuerte</t>
  </si>
  <si>
    <t>Probable</t>
  </si>
  <si>
    <t>DÉBIL = 0
fuerte + débil</t>
  </si>
  <si>
    <t>DÉBIL
(no se ejecuta)</t>
  </si>
  <si>
    <t>DÉBIL
menor a 50</t>
  </si>
  <si>
    <t>Posible</t>
  </si>
  <si>
    <t xml:space="preserve">MODERADO = 50
fuerte + moderado </t>
  </si>
  <si>
    <t>MODERADO
(algunas veces)</t>
  </si>
  <si>
    <t>MODERADO
entre 50 y 99</t>
  </si>
  <si>
    <t>Improbable</t>
  </si>
  <si>
    <t>FUERTE = 100
fuerte + fuerte</t>
  </si>
  <si>
    <t>FUERTE
(siempre se ejecuta)</t>
  </si>
  <si>
    <t>FUERTE
igual a 100</t>
  </si>
  <si>
    <t>Rara vez</t>
  </si>
  <si>
    <t>TIPO DE CONTROL</t>
  </si>
  <si>
    <t xml:space="preserve">SOLIDEZ INDIVIDUAL DE CADA CONTROL: FUERTE: 100
 MODERADO 50 
DEBIL 0 </t>
  </si>
  <si>
    <t xml:space="preserve">RANGO DE CALIFICACIÓN DE LA EJECUCIÓN  </t>
  </si>
  <si>
    <t>CALIFICACIÓN DE LA SOLIDES DEL CONJUNTO DE CONTROLES</t>
  </si>
  <si>
    <t>TRATAMIENTO DEL RIESGO</t>
  </si>
  <si>
    <t>CLASIFICACIÓN DEL RIESGO</t>
  </si>
  <si>
    <t>DESCRIPCIÓN DEL CONTROL</t>
  </si>
  <si>
    <t>ZONA DE RIESGO INHERENTE</t>
  </si>
  <si>
    <t>IMPACTO INHERENTE</t>
  </si>
  <si>
    <t xml:space="preserve"> CRITERIOS DE IMPACTO</t>
  </si>
  <si>
    <t>PROBABILIDAD INHERENTE</t>
  </si>
  <si>
    <t>FRECUENCIA CON LA CUAL SE REALIZA LA ACTIVIDAD</t>
  </si>
  <si>
    <t>EVALUACIÓN DEL RIESGO - NIVEL DEL RIESGO RESIDUAL</t>
  </si>
  <si>
    <t>EVALUACIÓN DEL RIESGO - VALORACIÓN DE LOS CONTROLES</t>
  </si>
  <si>
    <t>ANÁLISIS DEL RIESGO INHERENTE</t>
  </si>
  <si>
    <t>VERIFICACIÓN DE CONTROLES ESTABLECIDOS</t>
  </si>
  <si>
    <t>Asignación del responsable</t>
  </si>
  <si>
    <t xml:space="preserve">Segregación y autoridad del responsable </t>
  </si>
  <si>
    <t xml:space="preserve">Propósito </t>
  </si>
  <si>
    <t>Qué pasa con las observaciones o desviaciones</t>
  </si>
  <si>
    <t>Evidencia de la ejecución del control</t>
  </si>
  <si>
    <t>DIRECCIONAMIENTO ESTRATEGICO</t>
  </si>
  <si>
    <t>SISTEMA INTEGRADO DE GESTIÓN</t>
  </si>
  <si>
    <t>COMUNICACIONES</t>
  </si>
  <si>
    <t>EVALUACIÓN, CONTROL Y SEGUIMIENTO</t>
  </si>
  <si>
    <t>GESTIÓN AMBIENTAL Y DESARROLLO RURAL</t>
  </si>
  <si>
    <t>PARTICIPACIÓN Y EDUCACION AMBIENTAL</t>
  </si>
  <si>
    <t>PLANEACION AMBIENTAL</t>
  </si>
  <si>
    <t>GESTIÓN DOCUMENTAL</t>
  </si>
  <si>
    <t>GESTIÓN JURÍDICA</t>
  </si>
  <si>
    <t>GESTIÓN FINANCIERA</t>
  </si>
  <si>
    <t>GESTIÓN ADMINISTRATIVA</t>
  </si>
  <si>
    <t>GESTIÓN TECNOLÓGICA</t>
  </si>
  <si>
    <t>GESTIÓN DEL TALENTO HUMANO</t>
  </si>
  <si>
    <t>GESTIÓN DISCIPLINARIA</t>
  </si>
  <si>
    <t>METROLOGÍA MONITOREO Y MODELACIÓN</t>
  </si>
  <si>
    <t>GESTIÓN CONTRACTUAL</t>
  </si>
  <si>
    <t>SERVICIO A LA CIUDADANÍA</t>
  </si>
  <si>
    <t>CONTROL Y MEJORA</t>
  </si>
  <si>
    <t>SI o NO</t>
  </si>
  <si>
    <t>SI</t>
  </si>
  <si>
    <t>NO</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</si>
  <si>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</si>
  <si>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Teniendo en cuenta que ingresó la información de PROBABILIDAD e IMPACTO, la matriz automáticamente hará el cálculo para la zona de riesgo inherente (Columna O)</t>
  </si>
  <si>
    <t>Esta casilla no se diligencia, depende de la selección en la columna S.</t>
  </si>
  <si>
    <t xml:space="preserve">La matriz automáticamente hará el cálculo para el control analizado (Columna U) </t>
  </si>
  <si>
    <t>Matriz Mapa de Riesgos de Corrupción</t>
  </si>
  <si>
    <t>Ejemplo.</t>
  </si>
  <si>
    <t>MATRIZ DE DEFINICIÓN DE RIESGOS DE CORRUPCIÓN</t>
  </si>
  <si>
    <t xml:space="preserve">Acción u Omisión </t>
  </si>
  <si>
    <t xml:space="preserve">Uso del poder Desviar la gestión de lo público </t>
  </si>
  <si>
    <t>Beneficio particular</t>
  </si>
  <si>
    <t>Posibilidad de recibir o solicitar cualquier dádiva o beneficio a nombre propio o de un tercero con el fin de favorecer a un privado</t>
  </si>
  <si>
    <t>x</t>
  </si>
  <si>
    <t>Causa / Vulnerabilidad</t>
  </si>
  <si>
    <t>Consecuencia</t>
  </si>
  <si>
    <t>Teniendo en cuenta que ingresó la información de PROBABILIDAD e IMPACTO, la matriz automáticamente hará el cálculo para la zona de riesgo inherente (Columna J)</t>
  </si>
  <si>
    <t>Tipo de Control Establecido</t>
  </si>
  <si>
    <t>Periodicidad</t>
  </si>
  <si>
    <t>Cómo se realiza la actividad de control</t>
  </si>
  <si>
    <t>Puntaje</t>
  </si>
  <si>
    <t>El resultado de cada variable de diseño, a excepción de la evidencia, va a afectar la calificación del diseño del control, ya que deben cumplirse todas las variables para que un control se evalúe como bien diseñado.
La matriz automáticamente hará el cálculo, acorde con la verificación del control o controles definidos con sus atributos  (Columnas T - U).</t>
  </si>
  <si>
    <t>Rango de Calificación de la Ejecución del Control</t>
  </si>
  <si>
    <t>Rango de calificación</t>
  </si>
  <si>
    <t>Acciones para fortalecer el control</t>
  </si>
  <si>
    <t>Calificación de la solidez del control</t>
  </si>
  <si>
    <t>De acuerdo a la solidez del conjunto de los controles, este disminuirá el cuadrante de  probabilidad asociado al riesgo.</t>
  </si>
  <si>
    <t>Tratándose de riesgos de corrupción únicamente hay disminución de probabilidad. Es decir, para el impacto no opera el desplazamiento.</t>
  </si>
  <si>
    <t>Opciones de manejo</t>
  </si>
  <si>
    <t xml:space="preserve">Esta casilla dependerá del tratamiento establecido,  se deben diligenciar las acciones que se adelantarán como complemento a los controles establecidos, no necesariamente son controles adicionales.  </t>
  </si>
  <si>
    <t>Plan de Contingencia</t>
  </si>
  <si>
    <t xml:space="preserve">En caso de materialización de riesgo se debe establecer acción a seguir y responsable de su ejecución </t>
  </si>
  <si>
    <t>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</si>
  <si>
    <t xml:space="preserve">Son los efectos ocasionados por la ocurrencia de un riesgo que afecta el proceso o el procedimiento. Consecuencias imagen institucional deteriorada, daño a los recursos públicos, desconfianza del ciudadano y espacios de generación de actos de corrupción complejos. </t>
  </si>
  <si>
    <t>La solidez del conjunto de controles se obtiene calculando el promedio aritmético simple de los controles por cada riesgo.
La matriz automáticamente hará el cálculo  (Columnas AA). 
En la columna AB se desplegara una lista con las opciones:
Fuerte El promedio de la solidez individual de cada control
al sumarlos y ponderarlos es igual a 100.
Moderado El promedio de la solidez individual de cada control al sumarlos y ponderarlos está entre 50 y 99.
Débil El promedio de la solidez individual de cada control al sumarlos y ponderarlos es menor a 50.</t>
  </si>
  <si>
    <t>Seguridad de la Información</t>
  </si>
  <si>
    <t>IMPACTO</t>
  </si>
  <si>
    <t>MATRIZ DE CALOR (NIVELES DE SEVERIDAD DEL RIESGO)</t>
  </si>
  <si>
    <t>FRECUENCIA</t>
  </si>
  <si>
    <t>AFECTACIÓN ECONÓMICA</t>
  </si>
  <si>
    <t>REPUTACIONAL</t>
  </si>
  <si>
    <t xml:space="preserve">La actividad que conlleva el riesgo se ejecuta
como máximos 2 veces por año </t>
  </si>
  <si>
    <t>Leve</t>
  </si>
  <si>
    <t>Afectación menor a 10 SMLMV</t>
  </si>
  <si>
    <t>El riesgo afecta la imagen de algún área de la
organización.</t>
  </si>
  <si>
    <t>Muy Alta 100%</t>
  </si>
  <si>
    <t>ALTO</t>
  </si>
  <si>
    <t>EXTREMO</t>
  </si>
  <si>
    <t>La actividad que conlleva el riesgo se ejecuta de
3 a 24 veces por año</t>
  </si>
  <si>
    <t>Entre 10 y 50 SMLMV</t>
  </si>
  <si>
    <t>El riesgo afecta la imagen de la entidad
internamente, de conocimiento general nivel interno, de junta directiva y accionistas y/o de
proveedores</t>
  </si>
  <si>
    <t>Alta 80%</t>
  </si>
  <si>
    <t>MODERADO</t>
  </si>
  <si>
    <t xml:space="preserve">La actividad que conlleva el riesgo se ejecuta de
24 a 500 veces por año </t>
  </si>
  <si>
    <t>El riesgo afecta la imagen de la entidad con algunos usuarios de relevancia frente al logro de los objetivos.</t>
  </si>
  <si>
    <t>Media 60%</t>
  </si>
  <si>
    <t>La actividad que conlleva el riesgo se ejecuta
mínimo 500 veces al año y máximo 5000 veces
por año</t>
  </si>
  <si>
    <t>Entre 100 y 500 SMLMV</t>
  </si>
  <si>
    <t>El riesgo afecta la imagen de la entidad con efecto publicitario sostenido a nivel de sector administrativo, nivel departamental o municipal.</t>
  </si>
  <si>
    <t>Baja 40%</t>
  </si>
  <si>
    <t>BAJO</t>
  </si>
  <si>
    <t xml:space="preserve">La actividad que conlleva el riesgo se ejecuta más
de 5000 veces por año </t>
  </si>
  <si>
    <t>Mayor a 500 SMLMV</t>
  </si>
  <si>
    <t>El riesgo afecta la imagen de la entidad a nivel nacional, con efecto publicitario sostenido a nivel país.</t>
  </si>
  <si>
    <t>Muy Baja 20%</t>
  </si>
  <si>
    <t>Tipo de Riesgo</t>
  </si>
  <si>
    <t>Menor 40%</t>
  </si>
  <si>
    <t>Pérdida de confidencialidad</t>
  </si>
  <si>
    <t>EFICIENCIA DEL CONTROL</t>
  </si>
  <si>
    <t>Pérdida de integridad</t>
  </si>
  <si>
    <t>Pérdida de disponibilidad</t>
  </si>
  <si>
    <t>IMPLEMENTACIÓN</t>
  </si>
  <si>
    <t>Clasificación del riesgo</t>
  </si>
  <si>
    <t>Con registro</t>
  </si>
  <si>
    <t>Ejecución y administración de procesos</t>
  </si>
  <si>
    <t>Sin documentar</t>
  </si>
  <si>
    <t>Sin registro</t>
  </si>
  <si>
    <t>Fraude externo</t>
  </si>
  <si>
    <t>Mitigar</t>
  </si>
  <si>
    <t>Fraude interno</t>
  </si>
  <si>
    <t>Transferir</t>
  </si>
  <si>
    <t>Fallas tecnológicas</t>
  </si>
  <si>
    <t>Relaciones laborales</t>
  </si>
  <si>
    <t>Usuarios, productos y prácticas</t>
  </si>
  <si>
    <t>Daños a activos fijos</t>
  </si>
  <si>
    <t>Eventos externos</t>
  </si>
  <si>
    <t>Procesos</t>
  </si>
  <si>
    <t>CATEGORÍAS DE ACTIVOS</t>
  </si>
  <si>
    <t>Bases de Datos</t>
  </si>
  <si>
    <t>bd</t>
  </si>
  <si>
    <t>Datos / Información</t>
  </si>
  <si>
    <t>di</t>
  </si>
  <si>
    <t>Equipos Auxiliares</t>
  </si>
  <si>
    <t>ea</t>
  </si>
  <si>
    <t>Hardware / Infraestructura</t>
  </si>
  <si>
    <t>hw</t>
  </si>
  <si>
    <t>Instalaciones</t>
  </si>
  <si>
    <t>ip</t>
  </si>
  <si>
    <t>Personas</t>
  </si>
  <si>
    <t>Redes de Comunicaciones</t>
  </si>
  <si>
    <t>_rc</t>
  </si>
  <si>
    <t>Servicios</t>
  </si>
  <si>
    <t>si</t>
  </si>
  <si>
    <t xml:space="preserve">Software / Aplicaciones Informáticas </t>
  </si>
  <si>
    <t>sw</t>
  </si>
  <si>
    <t>Soportes de Información</t>
  </si>
  <si>
    <t>sa</t>
  </si>
  <si>
    <t>SOFTWARE / APLICACIONES INFORMÁTICAS [SW]</t>
  </si>
  <si>
    <t>Consolidado de Amenazas</t>
  </si>
  <si>
    <t>Vulnerabilidades por tipo de activo</t>
  </si>
  <si>
    <t>[A01] Acceso no autorizado</t>
  </si>
  <si>
    <t>Descripción Amenazas</t>
  </si>
  <si>
    <t>Ausencia o insuficiencia de pruebas de calidad de software</t>
  </si>
  <si>
    <t>[A02] Negación de las acciones realizadas</t>
  </si>
  <si>
    <t>Aceptación de Defectos conocidos en el software</t>
  </si>
  <si>
    <t>[A03] Interceptación no autorizada</t>
  </si>
  <si>
    <t>Ausencia o debilidad en el manejo de la sesiones de acceso</t>
  </si>
  <si>
    <t>[A04] Alteración o modificación no autorizadas</t>
  </si>
  <si>
    <t>Errores de programación en el sistema</t>
  </si>
  <si>
    <t>[A05] Destrucción o eliminación no autorizada</t>
  </si>
  <si>
    <t>Ausencia de registros de auditoria</t>
  </si>
  <si>
    <t>[A06] Divulgación no autorizada</t>
  </si>
  <si>
    <t>Ausencia de soporte, mantenimiento o actualización</t>
  </si>
  <si>
    <t>[A07] Sabotaje (daño intencional)</t>
  </si>
  <si>
    <t>Interfaz de usuario compleja</t>
  </si>
  <si>
    <t>[A08] Hurto, Robo o Pérdida</t>
  </si>
  <si>
    <t>Ausencia de manuales de uso y configuración</t>
  </si>
  <si>
    <t>[A09] Acto de vandalismo o ataque destructivo</t>
  </si>
  <si>
    <t>[A10] Abuso en los privilegios de acceso</t>
  </si>
  <si>
    <t>Instalación y/o configuración incorrecta o por defecto</t>
  </si>
  <si>
    <t>[A12] Uso no previsto o inadecuado</t>
  </si>
  <si>
    <t>Ausencia de validaciones para el registro de información</t>
  </si>
  <si>
    <t>[A11] Daño por fuego, agua, polvo, vibraciones o suciedad</t>
  </si>
  <si>
    <t>[A14] Error en el uso</t>
  </si>
  <si>
    <t>Ausencia de mecanismos de identificación y autenticación de usuario</t>
  </si>
  <si>
    <t>[A16] Fuga o interceptación</t>
  </si>
  <si>
    <t>Ausencia de pruebas de seguridad</t>
  </si>
  <si>
    <t>[A13] Daño por condiciones ambientales inadecuadas</t>
  </si>
  <si>
    <t>[A17] Error por mantenimiento o actualización</t>
  </si>
  <si>
    <t>Software nuevo o inmaduro</t>
  </si>
  <si>
    <t xml:space="preserve">[A20] Alteración de funcionalidades </t>
  </si>
  <si>
    <t>Especificaciones de desarrollo incompletas o incorrectas</t>
  </si>
  <si>
    <t>[A15] Engaño o manipulación (Ingeniería social)</t>
  </si>
  <si>
    <t>[A21] Infección por software dañino o malicioso</t>
  </si>
  <si>
    <t>Ausencia de control de cambios o versionamiento adecuado</t>
  </si>
  <si>
    <t>[A22] Falla o mal funcionamiento</t>
  </si>
  <si>
    <t>Ausencia de manejo de roles y perfiles</t>
  </si>
  <si>
    <t>[A23] Falla o Error en la instalación, administración o custodia</t>
  </si>
  <si>
    <t>Falta de implementación de políticas de desarrollo seguro</t>
  </si>
  <si>
    <t>[A18] Agotamiento de recursos o capacidades</t>
  </si>
  <si>
    <t>[A24] Denegación de acceso o inaccesibilidad</t>
  </si>
  <si>
    <t>Ausencia de copias de respaldo de las configuraciones</t>
  </si>
  <si>
    <t>[A19] Degradación o deterioro</t>
  </si>
  <si>
    <t>[A25] Comportamiento inesperado o anormal</t>
  </si>
  <si>
    <t>[A27] Cambio o ajuste no controlado</t>
  </si>
  <si>
    <t>[A29] Error o falla en el monitoreo</t>
  </si>
  <si>
    <t>[A32] Suplantación de la identidad</t>
  </si>
  <si>
    <t>HARDWARE/ INFRAESTRUCTURA [HW]</t>
  </si>
  <si>
    <t>Ausencia o debilidades en los controles de acceso</t>
  </si>
  <si>
    <t>Ausencia de procedimientos para el transporte o traslado de equipos</t>
  </si>
  <si>
    <t>[A26] Ocupación no autorizada o invasión de espacio</t>
  </si>
  <si>
    <t>Ausencia de esquemas de reemplazo o actualización</t>
  </si>
  <si>
    <t>Ausencia de esquemas de monitoreo y control</t>
  </si>
  <si>
    <t>[A28] Redireccionamiento no autorizado</t>
  </si>
  <si>
    <t>Uso o manejo inadecuado de los equipos</t>
  </si>
  <si>
    <t>Mantenimientos Insuficientes</t>
  </si>
  <si>
    <t xml:space="preserve">[A30] Extorsión o amenazas </t>
  </si>
  <si>
    <t>Instalaciones o configuraciones fallidas o por defecto</t>
  </si>
  <si>
    <t>[A31] Desastres naturales</t>
  </si>
  <si>
    <t>Ausencia de controles de cambios en las configuraciones</t>
  </si>
  <si>
    <t>Ubicación o almacenamiento en lugares inseguros</t>
  </si>
  <si>
    <t>[A33] Corte del suministro eléctrico</t>
  </si>
  <si>
    <t>Falta de controles para la disposición final</t>
  </si>
  <si>
    <t>[A34] Interrupción de suministros esenciales</t>
  </si>
  <si>
    <t>Ausencia de mecanismos de monitoreo y control ambiental</t>
  </si>
  <si>
    <t>[A35] Daño o destrucción no intencional</t>
  </si>
  <si>
    <t xml:space="preserve">Fallas en los servicios de suministros </t>
  </si>
  <si>
    <t>Desconocimiento de los procedimientos de control y cambio</t>
  </si>
  <si>
    <t>Ausencia de mecanismos de continuidad</t>
  </si>
  <si>
    <t>Ausencia de planes y pruebas de continuidad</t>
  </si>
  <si>
    <t>SERVICIOS [SI]</t>
  </si>
  <si>
    <t>Ausencia de pruebas de envío o recepción de mensajes</t>
  </si>
  <si>
    <t>Líneas de comunicación sin protección</t>
  </si>
  <si>
    <t>Tráfico sensible sin protección</t>
  </si>
  <si>
    <t>Conexión deficiente de los cables.</t>
  </si>
  <si>
    <t>Punto único de falla</t>
  </si>
  <si>
    <t>Ausencia de identificación y autentificación de emisor y receptor</t>
  </si>
  <si>
    <t>Arquitectura insegura del servicio</t>
  </si>
  <si>
    <t>Transferencia de contraseñas en claro</t>
  </si>
  <si>
    <t>Gestión inadecuada del servicio (Tolerancia a fallas en el enrutamiento)</t>
  </si>
  <si>
    <t>Conexiones de red públicas o sin protección</t>
  </si>
  <si>
    <t>Falta de separación de Redes</t>
  </si>
  <si>
    <t>Utilización de Protocolos inseguros de comunicación</t>
  </si>
  <si>
    <t>Ausencia de sistemas de monitoreo y control</t>
  </si>
  <si>
    <t>Falta de conciencia acerca de la seguridad</t>
  </si>
  <si>
    <t>Ausencia de pruebas funcionales o de stress</t>
  </si>
  <si>
    <t>SOPORTES DE INFORMACIÓN [SA]</t>
  </si>
  <si>
    <t>Ausencia de esquemas de reemplazo periódico.</t>
  </si>
  <si>
    <t>Susceptibilidad a la humedad, el polvo y la suciedad.</t>
  </si>
  <si>
    <t>Almacenamiento sin protección</t>
  </si>
  <si>
    <t>Falta de cuidado en la disposición final</t>
  </si>
  <si>
    <t>Almacenamiento desprotegido de datos o información</t>
  </si>
  <si>
    <t>Ausencia de controles contra códigos maliciosos</t>
  </si>
  <si>
    <t>Ausencia de copias de  respaldos</t>
  </si>
  <si>
    <t>Falta de estándares y controles para el uso dispositivos</t>
  </si>
  <si>
    <t>Desconocimiento de las recomendaciones o guías de uso</t>
  </si>
  <si>
    <t>EQUIPOS AUXILIARES [EA]</t>
  </si>
  <si>
    <t xml:space="preserve"> Falta de estándares y controles para el uso de elementos</t>
  </si>
  <si>
    <t>Ausencia de pruebas  de funcionamiento</t>
  </si>
  <si>
    <t>Obsolescencia de los equipos o las tecnologías</t>
  </si>
  <si>
    <t>INSTALACIONES Y PERSONAL [IP]</t>
  </si>
  <si>
    <t>Uso inadecuado o descuidado de las instalaciones o recintos</t>
  </si>
  <si>
    <t>Ubicación en un área susceptible a inundaciones, suciedad</t>
  </si>
  <si>
    <t>Red energética inestable</t>
  </si>
  <si>
    <t>Ausencia de protección física de la edificación,  puertas y ventanas</t>
  </si>
  <si>
    <t>Ausencia o indisponibilidad del personal</t>
  </si>
  <si>
    <t>Debilidades en los procedimientos  de contratación</t>
  </si>
  <si>
    <t>Entrenamiento insuficiente en seguridad</t>
  </si>
  <si>
    <t>Trabajo no supervisado del personal externo o de limpieza</t>
  </si>
  <si>
    <t>Ausencia de mecanismos de monitoreo y control</t>
  </si>
  <si>
    <t>Falta de segregación de funciones</t>
  </si>
  <si>
    <t>Ausencia de implementación de perímetros de seguridad</t>
  </si>
  <si>
    <t>Ausencia de procesos disciplinarios</t>
  </si>
  <si>
    <t>Ausencia de control de acceso físico en las instalaciones o recintos</t>
  </si>
  <si>
    <t>DATOS O INFORMACIÓN [DI]</t>
  </si>
  <si>
    <t>Ausencia de requisitos de seguridad con terceros</t>
  </si>
  <si>
    <t xml:space="preserve">Ausencia de acuerdos o cláusulas de confidencialidad </t>
  </si>
  <si>
    <t>Disposición insegura de datos o información</t>
  </si>
  <si>
    <t>Ausencia de copias de respaldo</t>
  </si>
  <si>
    <t>Falta de revisión periódica de las medidas de seguridad</t>
  </si>
  <si>
    <t xml:space="preserve">Tratamiento inadecuado de datos o información </t>
  </si>
  <si>
    <t>Ausencia de lecciones aprendidas sobre incidentes de seguridad</t>
  </si>
  <si>
    <t xml:space="preserve">No corrección de vulnerabilidades conocidas </t>
  </si>
  <si>
    <t>Copias no controladas ni autorizadas de datos o información</t>
  </si>
  <si>
    <t>Ausencia de métodos de cifrado</t>
  </si>
  <si>
    <t>Ausencia de Controles de acceso</t>
  </si>
  <si>
    <t>Habilitación de servicios o accesos innecesarios</t>
  </si>
  <si>
    <t>Desconocimiento de políticas y procedimientos</t>
  </si>
  <si>
    <t>Clasificación inadecuada de la información</t>
  </si>
  <si>
    <t>REDES DE COMUNICACIÓN [RC]</t>
  </si>
  <si>
    <t>BASES DE DATOS [BD]</t>
  </si>
  <si>
    <t>El archivo contiene las siguientes hojas:
- Hoja 1 Contexto 
- Hoja 2 Instructivo R. Gestión
- Hoja 3 R. Gestión: Encontrará el Mapa Final con la totalidad de la estructura para la identificación y valoración de los riesgos por proceso.
- Hoja 4 Instructivo R. Corrupción
- Hoja 5 R. Corrupción:  Encontrará el Mapa Final con la totalidad de la estructura para la identificación y valoración de estos riesgos por proceso.
- Hoja 6 Impacto Corrupción: Formato con el cuestionario para determinar el impacto en riesgos de corrupción</t>
  </si>
  <si>
    <t>Utilice la lista de despliegue que se encuentra parametrizada, le aparecerán las opciones: i) Daños Activos Físicos, ii) Ejecución y Administración de procesos, iii) Fraude Externo, iv) Fraude Interno, v) Fallas Tecnológicas,  vi) Ambiental vii) Relaciones Laborales, viii) Usuarios, productos y practicas organizacionales.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</si>
  <si>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 (Columnas H-J)</t>
  </si>
  <si>
    <t>Utilice la lista de despliegue que se encuentra parametrizada, le aparecerán las opciones de la tabla de Impacto en la Hoja 6 del presente documento. La matriz automáticamente hará el cálculo para el nivel de impacto inherente (Columnas M-N)</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</si>
  <si>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</si>
  <si>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</si>
  <si>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</si>
  <si>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</si>
  <si>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</si>
  <si>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</si>
  <si>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</si>
  <si>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 despliegue que se encuentra parametrizada, le aparecerán las opciones: i)Finalizado, ii)En curso, la selección en este caso dependerá de las acciones del plan que se hayan establecido en cada caso.</t>
  </si>
  <si>
    <t>Es necesario que en la descripción del riesgo concurran los componentes de su definición, así:
ACCIÓN U OMISIÓN + USO DEL PODER + DESVIACIÓN DE LA GESTIÓN DE LO PÚBLICO + EL BENEFICIO PRIVADO. 
Los riesgos de corrupción se establecen sobre procesos.
El riesgo debe estar descrito de manera clara y precisa. Su redacción no debe dar lugar a ambigüedades o confusiones con la causa generadora de los mismos.
Con el fin de facilitar la identificación de riesgos de corrupción y evitar que se presenten confusiones entre un riesgo de gestión y uno de corrupción, se sugiere la utilización de la matriz de definición de riesgo de corrupción, que incorpora cada uno de los componentes de su definición.
De acuerdo con la siguiente matriz, si se marca con una X en la descripción del  riesgo que aparece en cada casilla quiere decir que se trata de un riesgo de corrupción:</t>
  </si>
  <si>
    <t xml:space="preserve">Análisis del Riesgo de Corrupción
Combinación Probabilidad / Impacto
Probabilidad: 5 niveles: Rara vez, Improbables, Posible, Probables. Casi seguro.
Impacto: 3 niveles: 
El Impacto se determinara mediante el diligenciamiento del formato que contiene 19 preguntas. </t>
  </si>
  <si>
    <t xml:space="preserve">Permite definir un consecutivo de riesgos.
Una entidad puede ir en el riesgo 150, pero tener 70 riesgos, lo que permite llevar una traza de los riesgos. Esta información la debe administrar la oficina asesora de planeación o gerencia de riesgos.  Cuando un riesgo salga del mapa no existirá otro riesgo con el mismo número. </t>
  </si>
  <si>
    <t>Debe contar con una redacción clara y concreta del riesgo identificado,  tener en cuenta la estructura de alto nivel establecida en al guía, es necesario que en la descripción del riesgo concurran los componentes de su definición, así: ACCIÓN U OMISIÓN + USO DEL PODER + DESVIACIÓN DE LA GESTIÓN DE LO PÚBLICO + EL BENEFICIO PRIVADO.</t>
  </si>
  <si>
    <t>El impacto se debe analizar y calificar a partir de las consecuencias identificadas en la fase de descripción del riesgo, diligenciando el cuestionario en sus 19 pregunta</t>
  </si>
  <si>
    <t>Evaluación del  Riesgo Inherente</t>
  </si>
  <si>
    <t>Utilice la lista de despliegue que se encuentra parametrizada, le aparecerán las opciones: i)Preventivo, ii)Detectivo</t>
  </si>
  <si>
    <t>¿Existe un responsable asignado a la ejecución del control?
Utilice la lista de despliegue que se encuentra parametrizada, le aparecerán las opciones: Asignado 15; No Asignado 0</t>
  </si>
  <si>
    <t>¿El responsable tiene la autoridad y adecua-da segregación de funciones en la ejecución del control?
Utilice la lista de despliegue que se encuentra parametrizada, le aparecerán las opciones: Adecuado 15, Inadecuado 0</t>
  </si>
  <si>
    <t>¿La oportunidad en que se ejecuta el control ayuda a prevenir la mitigación del riesgo o a detectar la materialización del riesgo de manera oportuna?
Utilice la lista de despliegue que se encuentra parametrizada, le aparecerán las opciones: Oportuna 15. Inoportuna 0</t>
  </si>
  <si>
    <t>¿Las actividades que se desarrollan en el control realmente buscan por si sola prevenir o detectar las causas que pueden dar origen al riesgo, Ej.: verificar, validar, cotejar, comparar, revisar, etc.?
Utilice la lista de despliegue que se encuentra parametrizada, le aparecerán las opciones: Prevenir 15, Detectar 10, No es un control 0</t>
  </si>
  <si>
    <t>¿La fuente de información que se utiliza en el desarrollo del control es información confiable que permita mitigar el riesgo?
Utilice la lista de despliegue que se encuentra parametrizada, le aparecerán las opciones: Confiable 15, No confiable 0</t>
  </si>
  <si>
    <t>¿Las observaciones, desviaciones o diferencias identificadas como resultados de la ejecución del control son investigadas y resueltas de manera oportuna?
Utilice la lista de despliegue que se encuentra parametrizada, le aparecerán las opciones: Se investigan y resuelven oportunamente 15, No se investigan y resuelven oportunamente  0</t>
  </si>
  <si>
    <t>¿Se deja evidencia o rastro de la ejecución del control que permita a cualquier tercero con la evidencia llegar a la misma conclusión?
Utilice la lista de despliegue que se encuentra parametrizada, le aparecerán las opciones: Completa 10,  Incompleta 5, No existe 0</t>
  </si>
  <si>
    <t>Aunque un control esté bien diseñado, este debe ejecutarse de manera  consistente,  debe asegurarse por parte de la primera línea de defensa que el control se ejecute.
Utilice la lista de despliegue que se encuentra parametrizada, le aparecerán las opciones: Fuerte: El control se ejecuta de manera consistente por parte del responsable. Moderado: El control se ejecuta algunas veces por parte del responsable. Débil: El control no se ejecuta por parte del responsable.</t>
  </si>
  <si>
    <t>Evaluación de la Solidez del Control</t>
  </si>
  <si>
    <t>Se determina si se debe establecer acción o acciones para fortalecer el control
Utilice la lista de despliegue que se encuentra parametrizada, le aparecerán las opciones: Si. NO</t>
  </si>
  <si>
    <t>Evaluación del  Riesgo Residual</t>
  </si>
  <si>
    <t>Utilice la lista de despliegue que se encuentra parametrizada, le aparecerán las opciones: i)Aceptar, ii)Evitar, iii)Reducir, iv) Compartir o Transferir.</t>
  </si>
  <si>
    <t>Para la gestión de riesgos de corrupción, continúan vigentes los lineamientos contenidos en la versión 4 de la Guía para la administración del riesgo y el diseño de controles en entidades públicas de 2018. Por lo anterior es necesario que para formular el mapa de riesgos de corrupción, se remita a dicho documento. Para mayor facilidad, a continuación se transcriben algunos de las pautas señaladas en la Guía para la administración del riesgo y el diseño de controles en entidades públicas de 2018, que reiterando sigue vigente. El formato cuenta con celdas parametrizadas y permite contar con los respectivos mapas de calor para riesgo inherente y riesgo residual.</t>
  </si>
  <si>
    <t xml:space="preserve">Antes de iniciar con el diligenciamiento de la información en la matriz, se requiere definir que es RIESGO DE CORRUPCIÓN
Definición de riesgo de corrupción: Es la posibilidad de que, por acción u omisión, se use el poder para desviar la gestión de lo público hacia un beneficio privado.
“Esto implica que las prácticas corruptas son realizadas por actores públicos y/o privados con poder e incidencia en la toma de decisiones y la administración de los bienes públicos” (Conpes N° 167 de 2013). 
</t>
  </si>
  <si>
    <t>Descripción del riesgo</t>
  </si>
  <si>
    <t>Identificar los puntos sensibles en  el proceso, analizar las debilidades que pueden ser causas de hechos de corrupción en las actividades internas de la entidad, así como las amenazas del entorno,  se pueden identificar a partir de los componentes de oportunidad, presión y responsabilidad.
₋ Oportunidad: Las variables que inciden en la oportunidad para la corrupción debido a las fallas de los procedimientos y ausencia de controles en el desarrollo de los trámites,
₋ Presión: Los factores de la dimensión de presión donde es necesario identificar que actores corruptos externos a la entidad inciden.
₋ Responsabilidad: Las fallas éticas y de compromiso con lo público que afectan un desarrollo objetivo e imparcial en el manejo y regulación de los recursos públicos.</t>
  </si>
  <si>
    <t>La calificación de la solidez de cada control será considerada tendiendo en cuenta la calificación del diseño o ejecución con menor calificación entre fuerte, moderado y débil
Utilice la lista de despliegue que se encuentra parametrizada, en la columna X</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</si>
  <si>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1"/>
        <color theme="9" tint="-0.249977111117893"/>
        <rFont val="Arial"/>
        <family val="2"/>
      </rPr>
      <t>Guía para la Administración del Riesgo y el diseño de controles V5</t>
    </r>
    <r>
      <rPr>
        <sz val="11"/>
        <rFont val="Arial"/>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</si>
  <si>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proceso, su objetivo, alcance, actividades clave, considere los lineamientos establecidos en el </t>
    </r>
    <r>
      <rPr>
        <sz val="11"/>
        <color theme="9" tint="-0.249977111117893"/>
        <rFont val="Arial"/>
        <family val="2"/>
      </rPr>
      <t>Paso 2: identificación del riesgo</t>
    </r>
    <r>
      <rPr>
        <sz val="11"/>
        <rFont val="Arial"/>
        <family val="2"/>
      </rPr>
      <t xml:space="preserve">, donde se explica ampliamente las bases para adelantar este análisis.
Así mismo, considere en el </t>
    </r>
    <r>
      <rPr>
        <sz val="11"/>
        <color theme="9" tint="-0.249977111117893"/>
        <rFont val="Arial"/>
        <family val="2"/>
      </rPr>
      <t>Paso 3: valoración del riesgo</t>
    </r>
    <r>
      <rPr>
        <sz val="11"/>
        <rFont val="Arial"/>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sz val="11"/>
        <color theme="9" tint="-0.249977111117893"/>
        <rFont val="Arial"/>
        <family val="2"/>
      </rPr>
      <t>NOTA:</t>
    </r>
    <r>
      <rPr>
        <sz val="11"/>
        <rFont val="Arial"/>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</si>
  <si>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1"/>
        <color theme="9" tint="-0.249977111117893"/>
        <rFont val="Arial"/>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</si>
  <si>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11"/>
        <color theme="9" tint="-0.249977111117893"/>
        <rFont val="Arial"/>
        <family val="2"/>
      </rPr>
      <t>Responsable de ejecutar el control + Acción + Complemento</t>
    </r>
  </si>
  <si>
    <r>
      <t xml:space="preserve">ATRIBUTOS EFICIENCIA
</t>
    </r>
    <r>
      <rPr>
        <sz val="11"/>
        <rFont val="Arial"/>
        <family val="2"/>
      </rPr>
      <t>Tipo</t>
    </r>
  </si>
  <si>
    <r>
      <t xml:space="preserve">ATRIBUTOS EFICIENCIA
</t>
    </r>
    <r>
      <rPr>
        <sz val="11"/>
        <rFont val="Arial"/>
        <family val="2"/>
      </rPr>
      <t>Implementación</t>
    </r>
  </si>
  <si>
    <r>
      <t xml:space="preserve">ATRIBUTOS EFICIENCIA
</t>
    </r>
    <r>
      <rPr>
        <sz val="11"/>
        <rFont val="Arial"/>
        <family val="2"/>
      </rPr>
      <t>Calificación</t>
    </r>
  </si>
  <si>
    <r>
      <t xml:space="preserve">ATRIBUTOS INFORMATIVOS
</t>
    </r>
    <r>
      <rPr>
        <sz val="11"/>
        <rFont val="Arial"/>
        <family val="2"/>
      </rPr>
      <t>Documentación</t>
    </r>
  </si>
  <si>
    <r>
      <t xml:space="preserve">ATRIBUTOS INFORMATIVOS
</t>
    </r>
    <r>
      <rPr>
        <sz val="11"/>
        <rFont val="Arial"/>
        <family val="2"/>
      </rPr>
      <t>Frecuencia</t>
    </r>
  </si>
  <si>
    <r>
      <t xml:space="preserve">ATRIBUTOS INFORMATIVOS
</t>
    </r>
    <r>
      <rPr>
        <sz val="11"/>
        <rFont val="Arial"/>
        <family val="2"/>
      </rPr>
      <t>Registro</t>
    </r>
  </si>
  <si>
    <r>
      <t>La matriz automáticamente hará el cálculo, acorde con el control o controles definidos con sus atributos analizados, lo que permitirá establecer el</t>
    </r>
    <r>
      <rPr>
        <b/>
        <sz val="11"/>
        <color theme="9" tint="-0.249977111117893"/>
        <rFont val="Arial"/>
        <family val="2"/>
      </rPr>
      <t xml:space="preserve"> nivel de riesgo inherente</t>
    </r>
    <r>
      <rPr>
        <sz val="11"/>
        <rFont val="Arial"/>
        <family val="2"/>
      </rPr>
      <t xml:space="preserve"> (Columnas Z- AA -AB- AC-AD).</t>
    </r>
  </si>
  <si>
    <r>
      <t xml:space="preserve">Plan de Acción
</t>
    </r>
    <r>
      <rPr>
        <sz val="11"/>
        <rFont val="Arial"/>
        <family val="2"/>
      </rPr>
      <t xml:space="preserve">Responsable, fecha implementación, fecha seguimiento, seguimiento. </t>
    </r>
  </si>
  <si>
    <r>
      <t xml:space="preserve"> -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</si>
  <si>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</si>
  <si>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 </t>
    </r>
    <r>
      <rPr>
        <b/>
        <sz val="11"/>
        <rFont val="Arial Narrow"/>
        <family val="2"/>
      </rPr>
      <t xml:space="preserve"> Hoja 5 Tabla de probabilidad: </t>
    </r>
    <r>
      <rPr>
        <sz val="11"/>
        <rFont val="Arial Narrow"/>
        <family val="2"/>
      </rPr>
      <t>Tabla referente para todos los cálculos (no se diligencia)</t>
    </r>
  </si>
  <si>
    <r>
      <t xml:space="preserve"> - </t>
    </r>
    <r>
      <rPr>
        <b/>
        <sz val="11"/>
        <rFont val="Arial Narrow"/>
        <family val="2"/>
      </rPr>
      <t xml:space="preserve"> Hoja 6 Tabla de Impacto: </t>
    </r>
    <r>
      <rPr>
        <sz val="11"/>
        <rFont val="Arial Narrow"/>
        <family val="2"/>
      </rPr>
      <t>Tabla referente para todos los cálculos (no se diligencia)</t>
    </r>
  </si>
  <si>
    <r>
      <t xml:space="preserve"> - </t>
    </r>
    <r>
      <rPr>
        <b/>
        <sz val="11"/>
        <rFont val="Arial Narrow"/>
        <family val="2"/>
      </rPr>
      <t xml:space="preserve"> Hoja 7 Tabla de Valoración de Controles: </t>
    </r>
    <r>
      <rPr>
        <sz val="11"/>
        <rFont val="Arial Narrow"/>
        <family val="2"/>
      </rPr>
      <t>Tabla referente para todos los cálculos (no se diligencia)</t>
    </r>
  </si>
  <si>
    <r>
      <t xml:space="preserve">La entidad debe implementar controles orientados a reducir, mitigar o eliminar los riesgos que se puedan presentar. Defina el control (es) considerando la estructura explicada en la guía: </t>
    </r>
    <r>
      <rPr>
        <b/>
        <sz val="11"/>
        <color theme="9" tint="-0.249977111117893"/>
        <rFont val="Arial"/>
        <family val="2"/>
      </rPr>
      <t>Responsable de ejecutar el control + Acción + Complemento</t>
    </r>
    <r>
      <rPr>
        <sz val="11"/>
        <rFont val="Arial"/>
        <family val="2"/>
      </rPr>
      <t xml:space="preserve"> </t>
    </r>
  </si>
  <si>
    <r>
      <t xml:space="preserve">Plan de Manejo de Riesgos
</t>
    </r>
    <r>
      <rPr>
        <sz val="11"/>
        <rFont val="Arial"/>
        <family val="2"/>
      </rPr>
      <t>Accione a tomar, Responsable, fecha de cumplimiento, producto evidencia del cumplimiento</t>
    </r>
  </si>
  <si>
    <r>
      <t xml:space="preserve">PLAN DE CONTINGENCIA
</t>
    </r>
    <r>
      <rPr>
        <sz val="11"/>
        <color theme="1"/>
        <rFont val="Arial"/>
        <family val="2"/>
      </rPr>
      <t>(en caso que se materialice)</t>
    </r>
  </si>
  <si>
    <t>Matriz de Administración de Riesgos</t>
  </si>
  <si>
    <t>GESTIÓN ESTRATÉGICA</t>
  </si>
  <si>
    <t>GESTIÓN DE PROCESOS</t>
  </si>
  <si>
    <t>GESTIÓN DE PROYECTOS</t>
  </si>
  <si>
    <t>GESTIÓN DE COMUNICACIONES</t>
  </si>
  <si>
    <t>GESTIÓN DE RELACIONAMIENTO E INTERNACIONALIZACIÓN</t>
  </si>
  <si>
    <t>MERCADEO ESTRATÉGICO</t>
  </si>
  <si>
    <t>GESTIÓN DE SERVICIO AL CIUDADANO</t>
  </si>
  <si>
    <t>GESTIÓN ESTRATÉGICA DE PERSONAS</t>
  </si>
  <si>
    <t>GESTIÓN ESTRATÉGICA DE TECNOLOGÍA</t>
  </si>
  <si>
    <t>INVESTIGACIÓN E INNOVACIÓN APLICADA</t>
  </si>
  <si>
    <t>PROSPECTIVA</t>
  </si>
  <si>
    <t>GESTIÓN DE INFORMACIÓN DEL TERRITORIO</t>
  </si>
  <si>
    <t>FORMACIÓN DE SOCIOS ESTRATÉGICOS</t>
  </si>
  <si>
    <t>GESTIÓN DE REGULACIÓN</t>
  </si>
  <si>
    <t>GESTIÓN DE GESTIÓN DE HABILITACIÓN</t>
  </si>
  <si>
    <t>GESTIÓN CATASTRAL</t>
  </si>
  <si>
    <t>GESTIÓN AGROLOGICA</t>
  </si>
  <si>
    <t>GESTIÓN CARTOGRÁFICA</t>
  </si>
  <si>
    <t>GESTIÓN GEODÉSICA</t>
  </si>
  <si>
    <t>GESTIÓN DEL CONOCIMIENTO GEOGRÁFICO</t>
  </si>
  <si>
    <t>GESTIÓN VALUATORIA</t>
  </si>
  <si>
    <t>GESTIÓN PRESUPUESTAL, CONTABLE Y FINANCIERA</t>
  </si>
  <si>
    <t>GESTIÓN DE BIENES Y SERVICIOS</t>
  </si>
  <si>
    <t>GESTIÓN DE SERVICIOS TECNOLÓGICOS</t>
  </si>
  <si>
    <t>EVALUACIÓN Y SEGUIMIENTO</t>
  </si>
  <si>
    <t>No.</t>
  </si>
  <si>
    <t>PROCESO / SUBPROCESO</t>
  </si>
  <si>
    <t>OBJETIVO ESTRÁTEGICO RELACIONADO</t>
  </si>
  <si>
    <t>OBJETIVOS ESTRATÉGICOS</t>
  </si>
  <si>
    <t>Objetivo 1. Capital humano y socios estratégicos competentes</t>
  </si>
  <si>
    <t xml:space="preserve">Objetivo 2. Modelo de Gestión Integrado </t>
  </si>
  <si>
    <t>Objetivo 3. Gobernanza del dato y la información de valor público</t>
  </si>
  <si>
    <t>Objetivo 4. Regulación y política pública con enfoque territorial</t>
  </si>
  <si>
    <t>Objetivo 5. Gestión del Conocimiento para la Innovación aplicada</t>
  </si>
  <si>
    <t>Objetivo 6. Automatización, Integración e Interoperabilidad para el territorio</t>
  </si>
  <si>
    <t>Objetivo 7. Posicionamiento Institucional</t>
  </si>
  <si>
    <t>CAUSAS</t>
  </si>
  <si>
    <t>Legal y reglamentario</t>
  </si>
  <si>
    <t>Político</t>
  </si>
  <si>
    <t>Tecnológico</t>
  </si>
  <si>
    <t>Recursos Financieros-Económicos</t>
  </si>
  <si>
    <t>EXTERNO:</t>
  </si>
  <si>
    <t>INTERNO:</t>
  </si>
  <si>
    <t xml:space="preserve">Económico: Disponibilidad de capital, liquidez, mercados financieros, desempleo, competencia.   </t>
  </si>
  <si>
    <t>Ambiental</t>
  </si>
  <si>
    <t>Planeación</t>
  </si>
  <si>
    <t>Talento Humano</t>
  </si>
  <si>
    <t>Coordinación y Comunicación</t>
  </si>
  <si>
    <t>Otro Interno</t>
  </si>
  <si>
    <t>Legal y reglamentario: Se refiere a todo lo establecido por la ley o que esté conforme con ella.</t>
  </si>
  <si>
    <t>Ambiental: emisiones y residuos, energía, catástrofes naturales, desarrollo sostenible.</t>
  </si>
  <si>
    <t>Político: Cambios de gobierno, políticas públicas, regulación.</t>
  </si>
  <si>
    <t>Sociales y Culturales: Demografía, responsabilidad social, orden público, atentados, vandalismo, asalto a la oficina.</t>
  </si>
  <si>
    <t>Tecnológico: Avances en tecnología, acceso a sistemas de información externos, gobierno digital, suplantación de identidad, virus informáticos.</t>
  </si>
  <si>
    <t>Otro: Se refiere a una categoría diferente a las mencionadas anteriormente.</t>
  </si>
  <si>
    <t>Sociales y Culturales</t>
  </si>
  <si>
    <t>Recursos Financieros-Económicos: Presupuesto de funcionamiento, recursos de inversión, infraestructura, capacidad instalada.</t>
  </si>
  <si>
    <t>Planeación: Se refiere al accionar que tiene que ver con políticas, planes, programas y proyectos al interior de la entidad.</t>
  </si>
  <si>
    <t xml:space="preserve">Talento Humano: Estructura y cultura organizacional. Competencia del personal, disponibilidad del personal, seguridad y salud ocupacional.  Se analiza posible dolo e intención frente a la corrupción, fraude interno (corrupción, soborno). Para el tema de Seguridad de la información, corresponde al personal que, por su conocimiento, experiencia y criticidad para el proceso, son considerados activos de información.  </t>
  </si>
  <si>
    <t>Procesos: Eventos relacionados con errores en las actividades que deben realizar los servidores de la organización. Falta de procedimientos, errores de grabación, autorización, errores en cálculos para pagos internos y externos y falta de capacidad.</t>
  </si>
  <si>
    <t>Tecnología: Eventos relacionados con la infraestructura tecnológica de la entidad. Daños de quipos, caída de aplicaciones, caída de redes, errores en programas.</t>
  </si>
  <si>
    <t>Infraestructura</t>
  </si>
  <si>
    <t>Infraestructura: Eventos relacionados con la infraestructura física de la entidad. Derrumbes, incendios, inundaciones, daños a activos fijos.</t>
  </si>
  <si>
    <t>Coordinación y Comunicación: Canales utilizados y su efectividad, así como adecuado y oportuno flujo de la información necesaria para el desarrollo de las operaciones.</t>
  </si>
  <si>
    <t>FACTORES DE RIESGO</t>
  </si>
  <si>
    <t xml:space="preserve">Ejecución y administración de procesos </t>
  </si>
  <si>
    <t xml:space="preserve">Fraude externo </t>
  </si>
  <si>
    <t xml:space="preserve">Fallas tecnológicas </t>
  </si>
  <si>
    <t xml:space="preserve">Relaciones laborales </t>
  </si>
  <si>
    <t xml:space="preserve">Usuarios, productos y prácticas </t>
  </si>
  <si>
    <t xml:space="preserve">Eventos externos </t>
  </si>
  <si>
    <t>Fiscal</t>
  </si>
  <si>
    <t xml:space="preserve"> Otro Externo</t>
  </si>
  <si>
    <r>
      <t>Tecnología</t>
    </r>
    <r>
      <rPr>
        <sz val="10"/>
        <color theme="1"/>
        <rFont val="Arial Narrow"/>
        <family val="2"/>
      </rPr>
      <t/>
    </r>
  </si>
  <si>
    <t>IMPACTO PARA LA ENTIDAD</t>
  </si>
  <si>
    <t>INTERNAS</t>
  </si>
  <si>
    <t>EXTERNAS</t>
  </si>
  <si>
    <t>CONSECUENCIAS</t>
  </si>
  <si>
    <t>Aplicabilidad territorial</t>
  </si>
  <si>
    <t>META DEL CONTROL</t>
  </si>
  <si>
    <t>Meta Anual del Control</t>
  </si>
  <si>
    <t>Meta I Trimestre</t>
  </si>
  <si>
    <t>Meta II Trimestre</t>
  </si>
  <si>
    <t>Meta III Trimestre</t>
  </si>
  <si>
    <t>Meta IV Trimestre</t>
  </si>
  <si>
    <t>PRODUCTO / ENTREGABLE</t>
  </si>
  <si>
    <t>FECHA DE INICIO</t>
  </si>
  <si>
    <t>FECHA FIN</t>
  </si>
  <si>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Periodicidad: Anual
Evidencia:  Matriz de identificación y cumplimiento legal Ambiental actualizada y/o Matriz de Identificación de aspectos y valoración de impactos ambientales actualizada, y sensibilizaciones realizadas (si aplica). </t>
  </si>
  <si>
    <t>El Responsable del Sistema de Gestión Ambiental  en Sede Central realiza la entrega la entrega de residuos peligrosos y especiales a los gestores debidamente certificados con el fin de dar una disposición adecuada a estos residuos. En caso de presentase alguna novedad con el gestor certificado se procederá a mantener los residuos temporalmente en el centro de acopio.(máximo un año)
Periodicidad: Semestral
Evidencia: Bitácora de residuos peligrosos y Formato de gestión externa de RESPEL</t>
  </si>
  <si>
    <t>Posibilidad de afectación Económica y Reputacional  por sanciones de entes reguladores debido a  la gestión inadecuada de los impactos ambientales significativos generados por la entidad</t>
  </si>
  <si>
    <t>El Responsable del Sistema de Gestión Ambiental   realiza seguimiento trimestral al cumplimiento del Plan de Trabajo del Subsistema Ambiental en la Sede Central - Direcciones Territoriales con el fin de asegurar la implementación de las actividades contempladas en el plan, verificando que la información incluida y reportada corresponda al avance, conforme a las evidencias suministradas. En caso de encontrar novedades, el  responsable del SGA realizará los ajustes correspondientes.
Periodicidad: Trimestral
Evidencia: Plan de Trabajo del Subsistema Ambiental con el seguimiento trimestral, incluyendo los ajustes a los que haya lugar.</t>
  </si>
  <si>
    <t>1. Falta de personal en sede Central y Direcciones Territoriales para el cubrimiento de las actividades del SGA.
2. Debilidad en el reporte de información ambiental desde las diferentes Sedes.
3. Debilidad en el conocimiento de las buenas prácticas ambientales en el IGAC.
4. Gestión inadecuada en el manejo de los residuos peligrosos y especiales generados en la entidad.
5. Incumplimiento de los controles operacionales definidos en la matriz de aspectos e impactos ambientales.</t>
  </si>
  <si>
    <t xml:space="preserve">Socialización y divulgación de piezas comunicacionales a todos los funcionarios y contratistas del IGAC de las buenas prácticas ambientales 
</t>
  </si>
  <si>
    <t>Responsable del Sistema de Gestión Ambiental</t>
  </si>
  <si>
    <t>N.A.</t>
  </si>
  <si>
    <t>ZONA DE RIESGO RESIDUAL</t>
  </si>
  <si>
    <t>R5</t>
  </si>
  <si>
    <t>R72</t>
  </si>
  <si>
    <t>Posibilidad de pérdida Reputacional por posibilidad de recibir o solicitar cualquier dádiva o beneficio a nombre propio o de un tercero, durante la prestación del servicio o en la atención al ciudadano, debido a:
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
7. Ofrecimiento de dadivas por parte de los ciudadanos a los funcionarios con ocasión de la prestación del servicio o generación de productos</t>
  </si>
  <si>
    <t>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
7. Ofrecimiento de dadivas por parte de los ciudadanos a los funcionarios con ocasión de la prestación del servicio o generación de productos</t>
  </si>
  <si>
    <t>R9</t>
  </si>
  <si>
    <t>El Responsable de la Oficina de Relación con el Ciudadano - ORC 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Trimestral
Evidencia: Reporte de las encuestas contestadas por los usuarios y/o informe consolidado de las encuestas.</t>
  </si>
  <si>
    <t>Entregable</t>
  </si>
  <si>
    <t>Evidencia: Reporte de las encuestas contestadas por los usuarios y/o informe consolidado de las encuestas.</t>
  </si>
  <si>
    <t>El Responsable de la Oficina de Relación con el Ciudadano - ORC 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Mensual
Evidencia: Reporte mensual de  la revisión de quejas y denuncias</t>
  </si>
  <si>
    <t>Evidencia: Reporte mensual de  la revisión de quejas y denuncias</t>
  </si>
  <si>
    <t>Posibilidad de afectación Económica y pérdida Reputacional por el incumplimiento en la ejecución del presupuesto de inversión y de las metas proyecto y Plan Nacional de Desarrollo - PND debido a: 
1. Deficiencias en la programación y seguimiento del plan anual de adquisiciones.
2. Situaciones imprevistas de carácter misional que afecten la programación y diseño del plan de adquisiciones.
3. Compromisos institucionales no previstos.
4. Deficiencia en la ejecución  de reservas presupuestales constituidas.
5. Deficiencia en la programación y seguimiento de las metas asociadas a los proyectos de inversión y PND.</t>
  </si>
  <si>
    <t>1. Deficiencias en la programación y seguimiento del plan anual de adquisiciones.
2. Situaciones imprevistas de carácter misional que afecten la programación y diseño del plan de adquisiciones.
3. Compromisos institucionales no previstos.
4. Deficiencia en la ejecución  de reservas presupuestales constituidas.
5. Deficiencia en la programación y seguimiento de las metas asociadas a los proyectos de inversión y PND.</t>
  </si>
  <si>
    <t>Afectación de la Imagén Institucional
Sanciones</t>
  </si>
  <si>
    <t>El Responsable designado por la Oficina Asesora de Planeación realiza seguimiento trimestral al plan anual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Periodicidad: Trimestral
Evidencia: Acta de Comité Institucional de Gestión y Desempeño reflejando el seguimiento del plan anual de adquisiciones y/o alertas a los ordenadores del gasto (si aplica)</t>
  </si>
  <si>
    <t>El Responsable designado por la Oficina Asesora de Planeación realiza seguimiento mensual al cumplimiento del presupuesto de inversión y al avance de las metas institucionales en el Comité Institucional de Gestión y Desempeño. En caso de que se presenten novedades en el cumplimiento, se realiza monitoreo al responsable de su ejecución para generar acciones tendientes a completar las metas proyectadas. 
Periodicidad: Mensual
Evidencias: Acta de Comité Institucional de Gestión y Desempeño reflejando el seguimiento al presupuesto de inversión y a las metas institucionales y correos electrónicos de seguimiento al cumplimiento de las metas del PND.</t>
  </si>
  <si>
    <t>Posibilidad de pérdida Reputacional por la desarticulación de los elementos del Plan Estratégico Institucional (PEI) con los planes y proyectos del IGAC y con el Modelo Integrado de Planeación y Gestión - MIPG debido a:
1. Desconocimiento del plan estratégico y objetivos institucionales por parte de las áreas misionales y administrativas. 
2. Falta de articulación y comunicación entre las áreas misionales, estratégicas y de apoyo de la Entidad para el desarrollo de sus funciones.
3. Falta de articulación y comunicación entre la Sede Central y Direcciones Territoriales.
4. Falta de compromiso de la Alta Dirección para el monitoreo del cumplimiento de las metas del plan estratégico.
5. Falta de capacitación en los temas referentes al Sistema de Gestión Integrado y MIPG para el personal antiguo y nuevo de la entidad.</t>
  </si>
  <si>
    <t>1. Desconocimiento del plan estratégico y objetivos institucionales por parte de las áreas misionales y administrativas. 
2. Falta de articulación y comunicación entre las áreas misionales, estratégicas y de apoyo de la Entidad para el desarrollo de sus funciones.
3. Falta de articulación y comunicación entre la Sede Central y Direcciones Territoriales.
4. Falta de compromiso de la Alta Dirección para el monitoreo del cumplimiento de las metas del plan estratégico.
5. Falta de capacitación en los temas referentes al Sistema de Gestión Integrado y MIPG para el personal antiguo y nuevo de la entidad.</t>
  </si>
  <si>
    <t>R1</t>
  </si>
  <si>
    <t>R2</t>
  </si>
  <si>
    <t>El Responsable designado por la Oficina Asesora de Planeación revisa y valida que los planes institucionales estén articulados con el marco estratégico de la entidad y con el Modelo Integrado de Planeación y Gestión MIPG. En caso de que presente desalineación con el marco estratégico definido por la entidad, se realiza la devolución para que el responsable haga las correcciones pertinentes.
Periodicidad: 2 veces en el año
Evidencia: Correo electrónico con la revisión y validación por parte de la OAP a las diferentes dependencias de la entidad.</t>
  </si>
  <si>
    <t>El Responsable designado por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Periodicidad: Variable
Evidencia: Informe de gestión publicado por la OAP en la pagina web de la entidad.</t>
  </si>
  <si>
    <t>El Responsable designado por la Oficina Asesora de Planeación  socializa los elementos del marco estratégico del IGAC a las diferentes dependencias de la entidad. En caso de que se presenten novedades en el envío de estas comunicaciones, se utilizarán medios alternativos para dar a conocer la articulación del marco estratégico. 
Periodicidad: Anual
Evidencia: Comunicaciones, piezas gráficas, publicaciones realizadas y/o registros de asistencia; y Registro de los medios alternativos utilizados (si aplica).</t>
  </si>
  <si>
    <t>R3</t>
  </si>
  <si>
    <t>R52</t>
  </si>
  <si>
    <t>R53</t>
  </si>
  <si>
    <t>Posibilidad de afectación Económica y pérdida Reputacional por inoportunidad en la prestación de servicios administrativos y/o infraestructura física para el funcionamiento de la entidad, debido a :
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</si>
  <si>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</si>
  <si>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 xml:space="preserve">El Responsable designado por el proceso de Gestión Administrativa verifica trimestralmente el Plan Anual de Adquisiciones - PAA del proceso, incluyendo los servicios esenciales (mantenimiento, aseo, cafetería, vigilancia y seguros), con el fin de realizar el seguimiento a su cumplimiento. En caso de que se presenten variaciones o se requieran hacer modificaciones (si aplica), se revisa el Plan y se remite al proceso de Gestión Contractual para su aprobación y actualización.  
Periodicidad: Trimestral
Evidencia: Informe de verificación al Plan Anual de Adquisiciones del proceso con los servicios esenciales  y/o correo que evidencie la solicitud de modificaciones al PAA (si aplica). </t>
  </si>
  <si>
    <t>R54</t>
  </si>
  <si>
    <t>Posibilidad de afectación Económica y pérdida Reputacional por el uso del servicio de transporte del IGAC para actividades personales o que beneficien a terceros diferentes a temas laborales, debido a:
1. Alteraciones o inconsistencias en la herramienta tecnológica donde se realiza la solicitud de transporte.
2. Asignación de vehículos sin surtir los trámites respectivos.</t>
  </si>
  <si>
    <t>1. Alteraciones o inconsistencias en la herramienta tecnológica donde se realiza la solicitud de transporte.
2. Asignación de vehículos sin surtir los trámites respectivos.</t>
  </si>
  <si>
    <t>CRITERIOS DE IMPACTO</t>
  </si>
  <si>
    <t>R51</t>
  </si>
  <si>
    <t>R50</t>
  </si>
  <si>
    <t>R49</t>
  </si>
  <si>
    <t>Posibilidad de afectación Económica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Debilidades en la gestión del supervisor respecto a la liquidación de los contratos de egreso.</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</si>
  <si>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Debilidades en la gestión del supervisor respecto a la liquidación de los contratos de egreso.</t>
  </si>
  <si>
    <t>Sanciones</t>
  </si>
  <si>
    <t>El equipo de profesionales del GIT Gestión Contractual  realiza acompañamientos y/o socializaciones en temas inherentes a la función de supervisión con el fin de afianzar los conocimientos técnicos que permitan mejorar la supervisión de los contratos.
Periodicidad: Trimestral
Evidencia: Soporte de acompañamientos y/o socializaciones (tips, correos electrónicos, capacitaciones, entre otros).</t>
  </si>
  <si>
    <t>En las Direcciones Territoriales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
Periodicidad: Trimestral
Evidencia
Direcciones Territoriales:
1. Listado de los contratos en ejecución del trimestre a reportar
2. Pantallazo del SECOP II del plan de pagos del supervisor. (100% de los contratos)
3. Pantallazo del SECOP II del cargue de los soportes para el pago del contratista y acta de supervisión (100% de los contratos).
4. Pantallazo del SECOP II que evidencie el estado pagado de la obligación (si aplica).
Nota: Para su validez, las evidencias del punto 2 al punto 4 deben estar consolidadas en un solo archivo por cada contrato</t>
  </si>
  <si>
    <t>El GIT de Gestión Contractual, realiza un seguimiento trimestral a los contratos que requieren liquidación y envía a los lideres de las dependencias y/o supervisores mediante memorando y/o correo electrónico, la relación de contratos pendientes de liquidación. En caso de no recibir respuesta reporta al ordenador del gasto mediante correo electrónico.
Periodicidad: Trimestral
Evidencia: Relación de contratos pendientes por liquidar, memorando y/o correo electrónico enviado a los lideres de las dependencias y/o supervisores.
Correo electrónico al ordenador del gasto (si aplica)</t>
  </si>
  <si>
    <t>Posibilidad de pérdida Reputacional por manipulación del proceso contractual  para beneficio particular o de terceros en la adjudicación de un contrato, debido a:
1. Aplicación inadecuada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</si>
  <si>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1. Aplicación inadecuada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</si>
  <si>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El responsable en el GIT de Gestión Contractual o el responsable designado en la Dirección Territorial,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Periodicidad: Variable
Evidencia 
Sede Central: Observaciones y respuestas del proceso en la plataforma SECOP II (si aplica).
Direcciones Territoriales: Observaciones y respuestas de los procesos de Mínima Cuantía  en la plataforma SECOP II (si aplica)</t>
  </si>
  <si>
    <r>
      <rPr>
        <b/>
        <sz val="11"/>
        <color theme="1"/>
        <rFont val="Arial"/>
        <family val="2"/>
      </rPr>
      <t>Sede Central:</t>
    </r>
    <r>
      <rPr>
        <sz val="11"/>
        <color theme="1"/>
        <rFont val="Arial"/>
        <family val="2"/>
      </rPr>
      <t xml:space="preserve"> Observaciones y respuestas del proceso en la plataforma SECOP II (si aplica).
</t>
    </r>
    <r>
      <rPr>
        <b/>
        <sz val="11"/>
        <color theme="1"/>
        <rFont val="Arial"/>
        <family val="2"/>
      </rPr>
      <t xml:space="preserve">Direcciones Territoriales: </t>
    </r>
    <r>
      <rPr>
        <sz val="11"/>
        <color theme="1"/>
        <rFont val="Arial"/>
        <family val="2"/>
      </rPr>
      <t>Observaciones y respuestas de los procesos de Mínima Cuantía  en la plataforma SECOP II (si aplica)</t>
    </r>
  </si>
  <si>
    <t>El responsable en el GIT de Gestión Contractual verifica el cumplimiento de los requisitos de la contratación y en caso de presentar inconsistencias se devolverá el trámite con las observaciones pertinentes para las respectivas correcciones y/o revisiones.
Periodicidad: Variable
Evidencia: Correo electrónico con las observaciones (si aplica)</t>
  </si>
  <si>
    <t>Correo electrónico con las observaciones (si aplica)</t>
  </si>
  <si>
    <t>Posibilidad de afectación Económica y pérdida Reputacionalpor multas, sanciones disciplinarias por inconsistencias en la cobertura y/o identificación del nivel de riesgo en el momento de la afiliación a la ARL, debido a : 
1. Falta de verificación de información al momento de la afiliación
2. Falta de aplicación de los procedimientos internos.</t>
  </si>
  <si>
    <t>1. Falta de verificación de información al momento de la afiliación
2. Falta de aplicación de los procedimientos internos.</t>
  </si>
  <si>
    <t>Afectación de la Imagén Institucional
Sanciones disciplinarias
Multas</t>
  </si>
  <si>
    <t xml:space="preserve">El Grupo Interno de Gestión contractual de la sede central y el profesional con funciones de abogado en las direcciones territoriales, realiza seguimiento al 100% de los contratos de prestación de servicios personales para verificar que la afiliación a la ARL del contratista, se haya realizado por el plazo de ejecución contractual y con el nivel de riesgo identificado por la dependencia solicitante de la contratación. En caso de encontrar inconsistencias se toman los correctivos del caso.
Periodicidad: Trimestral
Evidencia:
Sede Central y Direcciones Territoriales: Informe de seguimiento al 100% de los contratos de prestación de servicios personales del periodo con la verificación de afiliación a la ARL correspondiente. Este archivo debe contener la siguiente información: # Contrato, CC, Nombre Contratista, Fecha Inicio,Fecha Final ,Cobertura Inicial ARL, Cobertura Final ARL , Nivel Riesgo- Estudios Previos, Entidad Aseguradora, Estado, Observación ;Novedad Realizada </t>
  </si>
  <si>
    <t xml:space="preserve">El Responsable de los servicios de transporte en el proceso de Gestión  Administrativa y el asignado por el Director Territorial, en las Direcciones Territoriales aprueba las solicitudes generadas en la plataforma tecnológica verificando que se encuentren: 1.) autorizadas por el Director General, Secretario(a) general, Directores Técnicos, Subdirectores, Jefes de Oficina, Coordinadores y Directores territoriales, según corresponda, 2.) que se encuentran  completamente diligenciadas  acorde al procedimiento "Control y manejo administrativo del parque automotor".   En caso de que la solicitud no se encuentre acorde a lo mencionado en el procedimiento vigente, no se aprueba, dando la respectiva respuesta al solicitante.
Periodicidad: Trimestral
Evidencias 
Sede Central: 
1.) Listado de los casos generados durante el trimestre en la plataforma tecnológica
2.) Informe trimestral que presente el análisis y la trazabilidad del servicio del 10% de los  casos generados en la plataforma tecnológica.
Direcciones Territoriales: 
1.) Listado de los casos generados durante el trimestre en la plataforma tecnológica
</t>
  </si>
  <si>
    <r>
      <rPr>
        <b/>
        <sz val="11"/>
        <color theme="1"/>
        <rFont val="Arial"/>
        <family val="2"/>
      </rPr>
      <t xml:space="preserve">Sede Central: </t>
    </r>
    <r>
      <rPr>
        <sz val="11"/>
        <color theme="1"/>
        <rFont val="Arial"/>
        <family val="2"/>
      </rPr>
      <t xml:space="preserve">
1.) Listado de los casos generados durante el trimestre en la plataforma tecnológica
2.) Informe trimestral que presente el análisis y la trazabilidad del servicio del 10% de los  casos generados en la plataforma tecnológica.
</t>
    </r>
    <r>
      <rPr>
        <b/>
        <sz val="11"/>
        <color theme="1"/>
        <rFont val="Arial"/>
        <family val="2"/>
      </rPr>
      <t xml:space="preserve">
Direcciones Territoriales: </t>
    </r>
    <r>
      <rPr>
        <sz val="11"/>
        <color theme="1"/>
        <rFont val="Arial"/>
        <family val="2"/>
      </rPr>
      <t xml:space="preserve">
1.) Listado de los casos generados durante el trimestre en la plataforma tecnológica</t>
    </r>
  </si>
  <si>
    <t>Socialización o divulgación trimestral a nivel nacional sobre del uso de la herramienta GLPI para la solicitud de servicio de transporte</t>
  </si>
  <si>
    <t>Lorena Correa</t>
  </si>
  <si>
    <t>Piezas comunicacionales y registros de asistencia</t>
  </si>
  <si>
    <t>El Responsable de Gestión Administrativa identifica las necesidades de infraestructura física que requieren adecuación y mantenimiento a nivel nacional. En caso contrario se deben justificar los motivos.
Periodicidad: Semestral
Evidencia: Informe de seguimiento a las necesidades de infraestructura física que requieren adecuación y mantenimiento a nivel nacional</t>
  </si>
  <si>
    <t>Posibilidad de efecto dañoso sobre recursos públicos, por sobrecostos en contratos de la entidad, a causa de la omisión del deber de elaborar estudios de mercado en procesos competitivos.</t>
  </si>
  <si>
    <t>Omisión del deber de elaborar estudios de mercado en procesos competitivos.</t>
  </si>
  <si>
    <t>Sobrecostos
Sanciones</t>
  </si>
  <si>
    <t>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</si>
  <si>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El Responsable designado por la Oficina Asesora de Planeación verifica y valida la consistencia y contenido de la información que se va a cargar en los aplicativos internos y externos de competencia del proceso de Direccionamiento Estratégico y Planeación, por parte del enlace o líder de proceso responsable, realizando el respectivo cargue y notificando al Jefe de la OAP. En caso de identificar inconsistencias o falencias en el reporte, se realiza contacto a través de correo electrónico con el enlace o líder de proceso responsable para corregir la información.  
Periodicidad: Variable
Evidencia: Correo electrónico con la notificación de cargue de la información y/o correo electrónico para corregir la información (Si aplica).</t>
  </si>
  <si>
    <t xml:space="preserve">El Responsable designado por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Periodicidad: Anual
Evidencia: Reporte de usuarios registrados en los aplicativos de competencia del proceso de Direccionamiento Estratégico y Planeación, verificado por el responsable de la OAP. </t>
  </si>
  <si>
    <t xml:space="preserve">R4 </t>
  </si>
  <si>
    <t>Posibilidad de pérdida Reputacional por el incumplimiento de la meta de implementación del MIPG en la entidad, debido a:
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</si>
  <si>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</si>
  <si>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Afectación de la Imagén Institucional</t>
  </si>
  <si>
    <t>El Responsable designado por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Periodicidad: Anual
Evidencias: Archivo de acciones consolidadas para la implementación del FURAG.</t>
  </si>
  <si>
    <t>El Responsable de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Periodicidad: Semestral
Evidencias: Resultados del mecanismo de evaluación utilizado y/o material evidencia de la evaluación realizada.</t>
  </si>
  <si>
    <t>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Periodicidad: Anual
Evidencias: Presentación del desempeño institucional a la Alta Dirección, Acta de Comité presentación de resultados y/o plan de acción establecido desde la Alta Dirección.</t>
  </si>
  <si>
    <t>R6</t>
  </si>
  <si>
    <t>Posibilidad de afectación Económica y pérdida Reputacional por la inoportunidad o imprecisión en la  difusión de la información de la gestión institucional  debido a:
1. Desconocimiento de los procedimientos
2. Incumplimiento de  los lineamientos dados por la oficina asesora de comunicaciones
3. Planeación inadecuada de las actividades.
4. Falta de divulgación oportuna en la invitación para participación en eventos.
5. Ausencia del consentimiento informado para uso de derecho de imagen sobre fotografías y videos</t>
  </si>
  <si>
    <t>1. Desconocimiento de los procedimientos
2. Incumplimiento de  los lineamientos dados por la oficina asesora de comunicaciones
3. Planeación inadecuada de las actividades.
4. Falta de divulgación oportuna en la invitación para participación en eventos.
5. Ausencia del consentimiento informado para uso de derecho de imagen sobre fotografías y videos</t>
  </si>
  <si>
    <t>Los responsables  del subproceso de Gestión de Comunicaciones  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Periodicidad: Trimestral
Evidencia: Base de datos en Excel con información consolidada.</t>
  </si>
  <si>
    <t>Los responsables  del subproceso de Gestión de Comunicaciones, semestralmente, realizan una encuesta de percepción sobre los mensajes publicados a través de los canales de comunicación internos y externo (según aplique).
Periodicidad: Semestral
Evidencia: Informe con los resultados de las encuestas.(Interna y Externa)</t>
  </si>
  <si>
    <t>R7</t>
  </si>
  <si>
    <t>R8</t>
  </si>
  <si>
    <t>Posibilidad de afectación económica y pérdida Reputacional por inoportunidad y/o ineficacia en la promoción y comercialización de los productos y servicios de la entidad. debido a: 
1. Desconocimiento de los procedimientos.
2. Incumplimiento de los lineamientos dados por la Oficina Comercial. 
3. Planeación inadecuada de las actividades.
4. Factores externos al proceso que interactúan en la gestión de la Oficina Comercial</t>
  </si>
  <si>
    <t>1. Desconocimiento de los procedimientos.
2. Incumplimiento de los lineamientos dados por la Oficina Comercial. 
3. Planeación inadecuada de las actividades.
4. Factores externos al proceso que interactúan en la gestión de la Oficina Comercial</t>
  </si>
  <si>
    <t>El jefe de la Oficina Comercial y los responsables designados 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
Periodicidad: Trimestral
Evidencia: 
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</si>
  <si>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Posibilidad de pérdida Reputacional por inoportuna atención a las peticiones, quejas, reclamos, denuncias y sugerencias, solicitados por los ciudadanos, usuarios, grupos de valor y/o grupos de interés en los diferentes canales de atención debido a:
1. Deficiencia en la atención prestada a los ciudadanos, usuarios, grupos de valor y/o grupos de interés
2. No contar con recursos tecnológicos adecuados para hacer seguimiento y agilizar las peticiones presentadas por los ciudadanos en el sistema de gestión de correspondencia.
3. Falta de conocimiento del personal de la normatividad vigente en derechos de petición
4. Falta de verificación del estado de las PQRDSF antes de la terminación o sesión de contratos o periodos de vacaciones, licencias, encargos, traslados de área o finalización del vinculo laboral del personal de planta.</t>
  </si>
  <si>
    <t>El Responsable de la Oficina de Relación con el Ciudadano - ORC de la Sede Central y los responsables designados en  las Direcciones Territoriales ,  realizan seguimiento mensual al estado de PQRSDF registradas en el sistema de gestión documental a cargo de la Sede Central y de las Direcciones Territoriales, identificando las que presentan retrasos, con el fin de que sean atendidas y se dé respuesta por parte de la entidad. 
En caso de encontrar PQRSDF con atrasos se generan las respectivas alertas y las acciones encaminadas a solventar la situación (cuando aplique)
Periodicidad: Mensual
Evidencia : 
Sede Central: Informe PQRSDF y Correo electrónico de seguimiento desde la Oficina de Relación con el Ciudadano.
Evidencia Direcciones Territoriales: Informe de gestión frente al seguimiento del informe remitido por la ORC de la Sede Central.</t>
  </si>
  <si>
    <t>R10</t>
  </si>
  <si>
    <t>Posibilidad de afectación Económica y pérdida Reputacional por demandas o sanciones de entes competentes derivados de la presentación de accidentes de trabajo o enfermedades laborales de servidores públicos y contratistas,  debido a:
1. Ausencia o errores en la afiliación a la ARL de servidores públicos y contratistas afectados
2. Falta de identificación del peligro en la matriz de identificación de peligros, valoración de riesgos y determinación de controles.
3. Incumplimiento de normatividad y lineamientos en seguridad y salud en el trabajo
4. No asignación o no cumplimiento de responsabilidades de alguno de los roles designados en seguridad y salud en el trabajo.
5. No establecimiento o errores en el diseño de los controles ante los peligros detectados.</t>
  </si>
  <si>
    <t>1. Ausencia o errores en la afiliación a la ARL de servidores públicos y contratistas afectados
2. Falta de identificación del peligro en la matriz de identificación de peligros, valoración de riesgos y determinación de controles.
3. Incumplimiento de normatividad y lineamientos en seguridad y salud en el trabajo
4. No asignación o no cumplimiento de responsabilidades de alguno de los roles designados en seguridad y salud en el trabajo.
5. No establecimiento o errores en el diseño de los controles ante los peligros detectados.</t>
  </si>
  <si>
    <t>El profesional responsable del SG-SST, verifica trimestralmente la afiliación y clasificación del riesgo frente a los listados de servidores públicos y contratistas vinculados al IGAC. En caso de encontrar inconsistencias en la afiliación de los contratistas, informa al proceso de Gestión Contractual mediante correo electrónico para la validación y ajustes pertinentes. Si las inconsistencias son de servidores públicos, realiza los ajustes correspondientes en la plataforma de la ARL a la que se encuentre vinculada la Entidad.
Periodicidad: Trimestral
Evidencia: Informe trimestral y/o correo electrónico de las inconsistencias y/o soporte de la modificación en la plataforma de la ARL.</t>
  </si>
  <si>
    <t>El profesional responsable del SG-SST, revisa anualmente la matriz de identificación de peligros, valoración de riesgos y determinación de controles, de acuerdo con los diagnósticos de las condiciones de salud de los trabajadores y físicas de la entidad o del puesto de trabajo, o en el momento que sea requerido por las condiciones que demanda la normatividad. En caso de presentarse la materialización del riesgo, se debe revisar y ajustar la matriz de ser necesario.
Periodicidad: Anual
Evidencia: Matriz de identificación de peligros, valoración de riesgos y determinación de controles, con la ultima fecha de actualización y la firma del profesional que elaboró (con licencia de SST).</t>
  </si>
  <si>
    <t xml:space="preserve">El profesional responsable del SG-SST de manera anual revisa, ajusta y define los roles y responsabilidades y la matriz legal del SG-SST, y remite a la OAP para la actualización del manual operativo MIPG.
Periodicidad: anual
Evidencia: Correo electrónico con la información a actualizar en el Manual operativo de MIPG. </t>
  </si>
  <si>
    <t>R11</t>
  </si>
  <si>
    <t xml:space="preserve">Posibilidad de pérdida Reputacional por  el incumplimiento de los requisitos mínimos para la provisión de empleos vacantes de la planta de personal del IGAC,  debido a:
1. No tener en cuenta los requisitos establecidos en el Manual de funciones para los empleos objeto de provisión.               
2. Desconocimiento o no atender lo dispuesto en la normatividad vigente relacionada con la provisión de empleo.                                  
3. Incumplimiento al cronograma para la provisión de empleos a través de encargos.   
4. Documentación incompleta, desactualizada o falsa respecto a la acreditación de cumplimiento de requisitos </t>
  </si>
  <si>
    <t xml:space="preserve">1. No tener en cuenta los requisitos establecidos en el Manual de funciones para los empleos objeto de provisión.               
2. Desconocimiento o no atender lo dispuesto en la normatividad vigente relacionada con la provisión de empleo.                                  
3. Incumplimiento al cronograma para la provisión de empleos a través de encargos.   
4. Documentación incompleta, desactualizada o falsa respecto a la acreditación de cumplimiento de requisitos </t>
  </si>
  <si>
    <t>Los servidores públicos y/o contratistas designados  por la Subdirección de Talento Humano verifican el cumplimiento de los requisitos del empleo frente a la documentación aportada por el candidato y a la información disponible en los diferentes sistemas de información. En caso de que se generen inconsistencias o falta de documentación se requerirán al candidato y si no subsana se da por finalizado el proceso.
Periodicidad: Variable
Evidencias:  Muestra de los estudios de verificación de requisitos EVR de los servidores vinculados y/o Matriz de consolidación de EVR para encargos.</t>
  </si>
  <si>
    <t>Los servidores públicos y los contratistas designados  por la Subdirección de Talento Humano verifican de acuerdo con el plan de trabajo, la autenticidad de los diplomas, actas de grado, tarjetas profesionales y certificaciones laborales, con las instituciones o empresas que emitieron el respectivo documento. Si se encuentra un documento falso, la Subdirección de Talento Humano remite a la oficina de Control Interno Disciplinario y a la Oficina Asesora Jurídica para lo pertinente. 
Periodicidad: Trimestral
Evidencias. Requerimiento al Ministerio de Educación  o Instituciones de educación superior y respuesta o base de datos con los resultados del seguimiento</t>
  </si>
  <si>
    <t>R12</t>
  </si>
  <si>
    <t>Posibilidad de pérdida Reputacional por perdida de conocimiento adquirido por los servidores públicos que se retiran de la entidad, debido a:
1. Incumplimiento del  procedimiento de transferencia de conocimiento entre servidores del instituto.
2. Inexistencia de un, registro de transferencia de conocimiento al momento del retiro del servidor público.
3. Situaciones de retiro que se producen sin preparación o aviso, las cuales no son controlables por el servidor publico ni por la Subdirección de Talento Humano (insubsistencia y suspensión por orden judicial, muerte, licencia por causa fortuita, entre otras)
4. Falta de voluntad por parte de los servidores para realizar la transferencia de conocimiento
5. Incumplimiento de los lineamientos y estándares establecidos en la política de gestión del conocimiento e innovación</t>
  </si>
  <si>
    <t>1. Incumplimiento del  procedimiento de transferencia de conocimiento entre servidores del instituto.
2. Inexistencia de un, registro de transferencia de conocimiento al momento del retiro del servidor público.
3. Situaciones de retiro que se producen sin preparación o aviso, las cuales no son controlables por el servidor publico ni por la Subdirección de Talento Humano (insubsistencia y suspensión por orden judicial, muerte, licencia por causa fortuita, entre otras)
4. Falta de voluntad por parte de los servidores para realizar la transferencia de conocimiento
5. Incumplimiento de los lineamientos y estándares establecidos en la política de gestión del conocimiento e innovación</t>
  </si>
  <si>
    <t xml:space="preserve">El profesional de la Subdirección de Talento Humano que tiene a cargo la transferencia de conocimiento, realiza actualización, socialización e implementación del  procedimiento de transferencia de conocimiento entre servidores del instituto a nivel nacional. En caso de no realizarse se bebe realizar un informe con los motivos del incumplimiento. 
Periodicidad: Trimestral
Evidencias: Procedimiento de transferencia de conocimiento entre servidores del instituto actualizado, registros de socialización (primer trimestre) y de implementación (en los demás trimestres). </t>
  </si>
  <si>
    <t>El profesional de la Subdirección de Talento Humano, verifica semestralmente  el cumplimiento del procedimiento de transferencia de conocimiento entre servidores del instituto. En caso de encontrar inconsistencias en la realización de las actividades de transferencia, se generaran correos electrónicos, reuniones de retroalimentación e informes semestrales sobre las situaciones presentadas y las acciones correctivas pertinentes.
Periodicidad: Semestral
Evidencias: Informe con el resultado de la verificación del cumplimiento y correos electrónicos o registros de reuniones (si aplica)</t>
  </si>
  <si>
    <t>R13</t>
  </si>
  <si>
    <t>1. Ausencia de un procedimiento que dé lineamientos para la realización de las evaluaciones de desempeño.
2. Desconocimiento de las implicaciones por la no realización o una inadecuada definición de compromisos y evidencias para las evaluaciones de desempeño y acuerdos de gestión 
3. Ineficacia en el seguimiento a la realización de las evaluaciones de desempeño y acuerdos de gestión</t>
  </si>
  <si>
    <t>El profesional encargado de evaluaciones de desempeño de la Subdirección de Talento Humano realiza seguimiento semestral a la elaboración de las evaluaciones de desempeño y acuerdos de gestión acorde al procedimiento. Este seguimiento se realiza con base en el reporte de evaluaciones de desempeño de servidores de carrera administrativa realizadas a través del aplicativo EDL de la CNSC y de las evaluaciones en físico allegadas por los servidores provisionales y acuerdos de gestión de los gerentes públicos.
En caso de evidenciar la no realización de las evaluaciones de desempeño o acuerdos de gestión o inconsistencias en las mismas, se envía comunicación informando el incumplimiento de la normatividad vigente a los evaluadores y evaluados. En caso de persistir el incumplimiento se reportan los casos particulares a la Secretaría General.
Periodicidad: Semestral
Evidencia: Base de datos con el seguimiento de los evaluados, correos electrónicos informando resultados del seguimiento y de los incumplimientos si aplica.</t>
  </si>
  <si>
    <t>R14</t>
  </si>
  <si>
    <t>R15</t>
  </si>
  <si>
    <t>R16</t>
  </si>
  <si>
    <t>R17</t>
  </si>
  <si>
    <t>Posibilidad de afectación Económica y pérdida Reputacional por inconsistencias en los actos administrativos y sus soportes relacionados con las diferentes actuaciones del subproceso de administración de personal ocasionando un posible daño antijurídico, debido a:
1. Carencia de sistemas tecnológicos para la administración de la información general en el proceso de Gestión de Talento Humano.
2. Falta de alertas para controlar las fechas de las situaciones administrativas.
3. Desconocimiento de la normatividad vigente y lineamientos institucionales.</t>
  </si>
  <si>
    <t>1. Carencia de sistemas tecnológicos para la administración de la información general en el proceso de Gestión de Talento Humano.
2. Falta de alertas para controlar las fechas de las situaciones administrativas.
3. Desconocimiento de la normatividad vigente y lineamientos institucionales.</t>
  </si>
  <si>
    <t xml:space="preserve">El profesional responsable verifica los fundamentos de hecho y de derecho de cada acto administrativo a expedir, teniendo en cuenta la solicitud, soportes, información y bases de datos disponibles. El Subdirector de Talento Humano verifica que el acto administrativo se encuentre acorde con lo solicitado. 
Si se detectan inconsistencias estas se verificaran con el profesional encargado del proceso a través de la historia laboral del servidor, SIGAC, base de datos de planta, aplicativo PERNO y/o cualquier medio disponible, y se corrige el acto administrativo antes de su aprobación.
Periodicidad: Trimestral
Evidencia: Una muestra del 5% de los actos administrativos con sus respectivos soportes emitidos en el trimestre.  Una muestra del 5% de actos administrativos que tuvieron modificación o aclaración durante el periodo.  </t>
  </si>
  <si>
    <t>1.  Digitación errada o incompleta de la información referente al tiempo laborado en el IGAC
2. Falta de soportes en la historia laboral que acrediten la estadía y/o la interrupción del tiempo laborado en la Entidad 
3. No registro oportuno de la información por parte de la STH y de factores salariales por parte de las direcciones territoriales y la Subdirección Administrativa y Financiera, según corresponda
4. Ausencia de pagadores en las direcciones territoriales, quienes son los responsables de registrar la información en CETIL
5. Falta de revisión del registro de la información por parte de otra persona diferente a quien la digitó
6. Demora por parte de Certicamara y Min-hacienda en la habilitación de los usuarios para los diferentes roles relacionados con la expedición del CETIL</t>
  </si>
  <si>
    <t>Permanentemente el servidor público designado por la Subdirección de Talento Humano para la expedición del certificado electrónico de tiempos laborados, hace seguimiento de los casos que ha registrado en la plataforma dispuesta por el Ministerio de Hacienda a través de una base de datos de Excel. En caso de encontrar fechas próximas a vencer reitera a la subdirección administrativa y financiera o los pagadores de las Direcciones Territoriales, con copia al respectivo director territorial, para que agilicen el registro de la información correspondiente.
Periodicidad: Mensual
Evidencias: Base de datos en Excel del seguimiento, oficios o correos electrónicos dando respuesta a las solicitudes, o correos electrónicos reiterando la información a quien corresponda</t>
  </si>
  <si>
    <t>1. Acceso a las llaves del archivo de gestión de la Subdirección de talento humano por parte de servidores o contratistas diferentes a los auxiliares administrativos encargados de custodiar esta documentación.
2. Falta de reglas claras divulgadas a los servidores y contratistas de la STH acerca de la entrega y custodia de la documentación en el archivo de gestión.
3. Errores en el archivo al incluir documentos que no pertenecen al servidor o exservidor publico.
4. Documentos en archivo digital sin incorporar a las historias laborales.</t>
  </si>
  <si>
    <t>Afectación de la Imagén del proceso
Reprocesos</t>
  </si>
  <si>
    <t>Los auxiliares administrativos de archivo verifican el cumplimiento de los lineamientos fijados para la entrega, custodia y préstamo de documentos que se encuentran en las historias laborales de los servidores y exservidores del IGAC, dentro de los cuales se encuentra el manejo de las llaves, el horario para solicitar préstamos, la prohibición de ingresar al archivo en ausencia de los servidores responsables de las mismas, diligenciamiento de formato para préstamo de documentos, documentos en archivo digital incorporados a las historias laborales, entre otras.
En caso de encontrar incumplimiento a los lineamientos fijados, informa al técnico encargado para que tome los correctivos necesarios.
Periodicidad: Trimestral
Evidencias. Registro para préstamo de documentos y informe de cumplimiento de los lineamientos</t>
  </si>
  <si>
    <t>Posibilidad de afectación económica y pérdida reputacional ante demandas o sanciones por errores, inconsistencias o no generación de la liquidación de la nómina de los servidores de la Entidad debido a:
1. Errores en el sistema de información de nómina
2. No registro oportuno de novedades en el sistema de información de nómina por olvido del servidor responsable en la STH
3. Ausencia o errores en la parametrización de los cálculos en el sistema de información de nómina 
4. Desconocimiento de la normatividad y manera correcta de realizar los cálculos en la nómina
5. No entrega oportuna de información sobre las novedades del personal por parte de otros subprocesos de la STH, por otras dependencias o por entes externos
6. Ausencia de pagadores en las DT o profesional de STH en sede central, usuarios únicos para generar la nómina de su correspondiente sede.
7. Ausencia del ingeniero de sistemas que presta soporte para corregir los errores del sistema de información de nómina</t>
  </si>
  <si>
    <t>1. Errores en el sistema de información de nómina
2. No registro oportuno de novedades en el sistema de información de nómina por olvido del servidor responsable en la STH
3. Ausencia o errores en la parametrización de los cálculos en el sistema de información de nómina 
4. Desconocimiento de la normatividad y manera correcta de realizar los cálculos en la nómina
5. No entrega oportuna de información sobre las novedades del personal por parte de otros subprocesos de la STH, por otras dependencias o por entes externos
6. Ausencia de pagadores en las DT o profesional de STH en sede central, usuarios únicos para generar la nómina de su correspondiente sede.
7. Ausencia del ingeniero de sistemas que presta soporte para corregir los errores del sistema de información de nómina</t>
  </si>
  <si>
    <t>Afectación de la Imagén de la entidad
Sanciones
Demandas</t>
  </si>
  <si>
    <t>El profesional de la STH encargado de la generación de la nómina y los pagadores en las D.T, revisan que los cálculos realizados por el sistema de información PERNO sean correctos, al compararlos con los resultados de los cálculos manuales realizados en el archivo Excel para cada situación administrativa reportada. En caso de encontrar inconsistencias, se solicita a través de GLPI para que realice la corrección respectiva. 
Periodicidad:  Mensual
Evidencias Sede Central y Direcciones Territoriales: Archivo de Excel con los cálculos manuales, GLPI generados y/o correos electrónicos enviados al ingeniero de sistemas</t>
  </si>
  <si>
    <t>El profesional designado por la Subdirección de Talento Humano y el profesional con funciones de pagador en las Direcciones Territoriales debe constatar que la novedad administrativa que afecta a la nómina remitida esté debidamente diligenciada, contenga los soportes correspondientes y se encuentre firmada o radicada cuando así se requiera.
En caso de que el trámite solicitado no sea viable, se debe comunicar a quien
remite la novedad para su aclaración, corrección y/o ajuste según corresponda.
Periodicidad: Mensual
Evidencias Sede Central y Direcciones Territoriales: Soportes de las novedades registradas, comunicaciones cuando se requiere aclaración, corrección y/o ajuste de las novedades</t>
  </si>
  <si>
    <t>R18</t>
  </si>
  <si>
    <t>Posibilidad de Afectación Económica y pérdida Reputacionalpor no cumplir con los requerimientos acordados con los usuarios funcionales en el desarrollo e implementación de sistemas de información y aplicaciones,debido a:
1. No participación activa de los usuarios en la definición de los requerimientos.
2. Ausencia de aprobación de las HU por parte de los líderes funcionales o su delegado.
3. No tener configurados los ambientes de desarrollo, pruebas, preproducción (si aplica) y producción. 
4. No tener definida la arquitectura tecnológica. 
5. No tener implementado un procedimiento o una metodología de desarrollo de sistemas. 
6. No contar con una estructura organizacional que pueda atender los desarrollos internos y externos.
7. La carga laboral no permite un adecuado ejercicio de la supervisión de convenios y contratos.
8. La asignación de supervisión que se realiza sin alineación entre las obligaciones del contratista y las actividades del supervisor. 
9. La ausencia de planes de mantenimiento que hacen obsoletos los sistemas de información.
10. Dificultad en la consecucion del personal idóneo para las actividades del ciclo de vida del desarrollo del software</t>
  </si>
  <si>
    <t>1. No participación activa de los usuarios en la definición de los requerimientos.
2. Ausencia de aprobación de las HU por parte de los líderes funcionales o su delegado.
3. No tener configurados los ambientes de desarrollo, pruebas, preproducción (si aplica) y producción. 
4. No tener definida la arquitectura tecnológica. 
5. No tener implementado un procedimiento o una metodología de desarrollo de sistemas. 
6. No contar con una estructura organizacional que pueda atender los desarrollos internos y externos.
7. La carga laboral no permite un adecuado ejercicio de la supervisión de convenios y contratos.
8. La asignación de supervisión que se realiza sin alineación entre las obligaciones del contratista y las actividades del supervisor. 
9. La ausencia de planes de mantenimiento que hacen obsoletos los sistemas de información.
10. Dificultad en la consecucion del personal idóneo para las actividades del ciclo de vida del desarrollo del software</t>
  </si>
  <si>
    <t>Afectación de la Imagén Institucional
Quejas</t>
  </si>
  <si>
    <t>El profesional responsable de cada fase del proyecto debe realizar solicitud de asignación del personal idóneo de las áreas funcionales y registrar la asistencia en el formato correspondiente, con el fin de garantizar la participación activa para definir los requerimientos en las sesiones de trabajo y aprobar dentro de las mismas los documentos generados. En caso de no cumplirse se solicita cambio de personal al responsable del área funcional.
Periodicidad: Variable
Evidencia: Registro de asistencia y documentos de requerimientos aprobados, correo  electrónico solicitando la asignación de personal idóneo o cambio del mismo. (si aplica)</t>
  </si>
  <si>
    <t>El profesional responsable de cada fase del proyecto debe realizar solicitud de asignación del personal idóneo de las subdirecciones de la DTIC  y registrar la asistencia en el formato correspondiente, con el fin de garantizar la participación activa para atender los requerimientos y lograr la aprobación de los desarrollos. En caso de no cumplirse se solicita cambio de personal al responsable de la DTIC.
Periodicidad: Variable
Evidencia: Registro de asistencia y documentos de técnicos asociados, correo  electrónico solicitando la asignación de personal idóneo o cambio del mismo. (si aplica)</t>
  </si>
  <si>
    <t>El grupo de arquitectos de la Dirección de tecnologías de la información y las comunicaciones DTIC debe incluir en el documento de arquitectura tecnológica  los ajustes necesarios asociados al mantenimiento o nuevo sistema de información que se vaya a desarrollar a través de reuniones y solicitar mediante caso en la mesa de servicios tecnológico el aprovisionamiento de los ambientes de desarrollo, pruebas, preproducción o producción según aplique.
Periodicidad: Variable
Evidencia: Registro de asistencia y documentos de arquitectura tecnológica ajustados o actualizados y caso en la mesa de servicios tecnológicos solicitando los ambientes.</t>
  </si>
  <si>
    <t>El profesional responsable de cada aplicativo en producción debe gestionar  el plan de mantenimiento correctivo y actualizacion tecnológica de la aplicación  en cada vigencia, con el propósito de mantener los sistemas de información actualizados y no caer en obsolescencias.
Periodicidad: Anual
Evidencia: Plan de mantenimiento con seguimientos, Memorandos, correos electrónicos y/o registros de asistencia de reuniones.</t>
  </si>
  <si>
    <t>R19</t>
  </si>
  <si>
    <t>Posibilidad de pérdida Reputacional por el incumplimiento en los estandartes calidad de la información  publicada en la Infraestructura de Datos Espaciales - IDE  debido a:
1. Ausencia de procedimientos internos  para evaluar la calidad de datos geoespaciales que se van a publicar.
2. Falta de validación de la información misional de acuerdo con los lineamientos de la ICDE.
3. Falta de gestión del dato por parte del custodio del mismo.</t>
  </si>
  <si>
    <t>1. Ausencia de procedimientos internos  para evaluar la calidad de datos geoespaciales que se van a publicar.
2. Falta de validación de la información misional de acuerdo con los lineamientos de la ICDE.
3. Falta de gestión del dato por parte del custodio del mismo.</t>
  </si>
  <si>
    <t>El responsable designado por la Subdirección de Información realiza cada vez que se solicita la publicación de un nuevo geoservicio en la IDE, valida que se cumplan los estándares de calidad de la ICDE. en caso de que se presenten inconsistencias no se publica la información y se devuelve al área productora para su corrección.
Periodicidad: Variable
Evidencia: Reporte de validación de geoservicios y/o correo electrónico de la devolución (si aplica)</t>
  </si>
  <si>
    <t>R20</t>
  </si>
  <si>
    <t>GESTIÓN DEL CONOCIMIENTO APLICADO</t>
  </si>
  <si>
    <t>R22</t>
  </si>
  <si>
    <t>Posibilidad de afectación Económica y pérdida Reputacional por inoportunidad en la prestación de servicios o en la entrega de productos debido a:
1. Inadecuada gestión de la infraestructura física y tecnológica.
2. Demoras en los procesos contractuales 
3. Baja capacidad institucional, por la alta rotación de personal, se pierde continuidad y conocimientos de funcionarios y contratistas.
4. Deficiencia en la comunicación y coordinación dentro de los procesos del IGAC para la entrega de productos internos a tiempo.
5. Insuficiente asignación de recursos frente a los compromisos del proceso.
6. Contingencias que dificulten los desplazamientos de personal para realizar trabajos en campo.
7. Bajas capacidades en el recurso humano a cargo del desarrollo de los proyectos de prospectiva. 
8. No tener las suficientes  licencias de software o licencias de uso o desactualización de las mismas para los sistemas de información requeridos.</t>
  </si>
  <si>
    <t xml:space="preserve">
1. Inadecuada gestión de la infraestructura física y tecnológica.
2. Demoras en los procesos contractuales 
3. Baja capacidad institucional, por la alta rotación de personal, se pierde continuidad y conocimientos de funcionarios y contratistas.
4. Deficiencia en la comunicación y coordinación dentro de los procesos del IGAC para la entrega de productos internos a tiempo.
5. Insuficiente asignación de recursos frente a los compromisos del proceso.
6. Contingencias que dificulten los desplazamientos de personal para realizar trabajos en campo.
7. Bajas capacidades en el recurso humano a cargo del desarrollo de los proyectos de prospectiva. 
8. No tener las suficientes  licencias de software o licencias de uso o desactualización de las mismas para los sistemas de información requeridos.</t>
  </si>
  <si>
    <t>Afectación de la Imagén Institucional
Reprocesos
Quejas</t>
  </si>
  <si>
    <t>El Director de Investigación y Prospectiva, 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 
Periodicidad: Mensual
Evidencia: Informe mensual consolidado de seguimiento al Plan de Acción Anual (PAA) y/o correos electrónicos de entrega de informes</t>
  </si>
  <si>
    <t>El Funcionario y/o contratista delegado por el Director de Investigación y Prospectiva,  realiza quincenalmente el seguimiento al estado de las peticiones descargando el reporte de SIGAC. En caso de encontrar peticiones que no se han respondido, informa al responsable antes de vencer el plazo de respuesta y comunica al Director de Investigación y Prospectiva, sobre las peticiones pendientes por responder. 
Periodicidad: quincenal
Evidencia:  Reporte de pendientes del aplicativo de correspondencia y/o correos electrónicos informando las peticiones pendientes (según sea el caso).</t>
  </si>
  <si>
    <t xml:space="preserve">El Director de Investigación y Prospectiva anualmente  revisa las necesidades de formación en prospectiva requeridas para su operación. 
En caso de encontrar necesidades de formación se comunican al proceso de Gestión de Talento Humano a través del instrumento dispuesto.
Periodicidad: anual
Evidencia: Correo electrónico del envío de la ficha de necesidades de formación y capacitación diligenciada. </t>
  </si>
  <si>
    <t>El Director de Investigación y Prospectiva anualmente  revisa junto con los líderes de proceso las necesidades de personal experto requerido para su operación programando las mismas en el plan anual de adquisiciones.
Evidencia: Plan anual de adquisiciones con la programación del personal experto.</t>
  </si>
  <si>
    <t>R21</t>
  </si>
  <si>
    <t>Posibilidad de pérdida Reputacional por recibir o solicitar cualquier dádiva o beneficio a nombre propio o de terceros con el fin de obtener información reservada o clasificada, o conseguir un resultado de un proyecto de investigación antes de ser publicado, debido a:
1. Falta de información integrada, completa y oportuna.
2. Deficiencias en la comunicación y desconocimiento de los usuarios sobre los trámites de la entidad.
3. Falta de integración de los sistemas de información institucional
4. Inadecuado control del repositorio de la información de los proyectos.
5. Tráfico de influencias
6. Falta de apropiación de valores institucionales.
7. Falta de control sobre los procedimientos administrativos
8. Procesos con bajo nivel de automatización</t>
  </si>
  <si>
    <t>1. Falta de información integrada, completa y oportuna.
2. Deficiencias en la comunicación y desconocimiento de los usuarios sobre los trámites de la entidad.
3. Falta de integración de los sistemas de información institucional
4. Inadecuado control del repositorio de la información de los proyectos.
5. Tráfico de influencias
6. Falta de apropiación de valores institucionales.
7. Falta de control sobre los procedimientos administrativos
8. Procesos con bajo nivel de automatización</t>
  </si>
  <si>
    <t>El funcionario de planta designado (líder de proceso, supervisor de contratista, supervisor de convenio/contrato interadministrativo),  trimestralmente verifica los perfiles, permisos o accesos de los funcionarios o contratistas, al repositorio único de información de la Dirección, con el fin de asegurar el uso adecuado de la misma y evitar su sustracción o perdida. En caso de encontrar alguna novedad o asignación no permitida, se solicita la eliminación de permisos al funcionario o contratista identificado a través del GLPI.
Evidencia: Reporte de GLPI de permisos designados al repositorio único de información de la Dirección.</t>
  </si>
  <si>
    <t xml:space="preserve">  
Evidencia: Reporte de GLPI de permisos designados al repositorio único de información de la Dirección.</t>
  </si>
  <si>
    <t>Posibilidad de pérdida Reputacional por la posibilidad de entregar un  producto o prestar un  servicio que no cumpla con las especificaciones técnicas establecidas o con las necesidades y expectativas de los usuarios debido a:
1. Insuficiente personal especializado para responder a las demandas del proceso.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</si>
  <si>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1. Insuficiente personal especializado para responder a las demandas del proceso.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</si>
  <si>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Los responsables de los proyectos verifican periódicamente el cumplimiento de las especificaciones del producto o servicio mediante reuniones de seguimiento. En caso de encontrar un producto o servicio que tenga algún inconveniente se realiza la corrección respectiva.
Periodicidad: Variable
Evidencia: Acta de reunión de seguimiento.</t>
  </si>
  <si>
    <t xml:space="preserve">El responsable designado por I+D+I,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Coordinador del proceso de I+D+I solicita la contratación de la calibración y mantenimiento de todos los espectroradiómetros para asegurar la precisión de los datos. 
Periodicidad: Variable
Evidencias: Hoja de vida de equipos espectroradiómetros donde se relacionan calibraciones y mantenimientos, registro de captura de campo de las firmas espectrales y/o certificado de calibraciones de los equipos conforme a la fecha programada. </t>
  </si>
  <si>
    <t>El responsable designado de los proyectos anualmente  revisa la necesidad de actualizar la infraestructura tecnológica y software requerido para su operación. En caso de encontrar un requerimiento de infraestructura tecnológica y/o software, cada responsable solicita al líder del proceso la destinación de los recursos y la presentación del requerimiento a la Dirección de Tecnología de la Información y comunicaciones -DTIC, para que realicen la adquisición y/o actualización de la infraestructura tecnológica y las licencias.
Periodicidad: anual
Evidencia:  Plan anual de adquisiciones con la programación de las licencias y/o la infraestructura tecnológica requerida.</t>
  </si>
  <si>
    <t>R23</t>
  </si>
  <si>
    <t>Posibilidad de pérdida Reputacional por la habilitación de un gestor catastral no idóneo para la prestación del servicio publico catastral, debido a:
1. Al no cumplimiento de la normatividad legal vigente
2. Falta de conocimiento y experticia de los actores que intervienen.</t>
  </si>
  <si>
    <t xml:space="preserve">
1. Al no cumplimiento de la normatividad legal vigente
2. Falta de conocimiento y experticia de los actores que intervienen.</t>
  </si>
  <si>
    <t>El Funcionario público o contratista designado revisa el cumplimiento de las condiciones en los aspectos jurídicos, técnicos, económicos y financieros cada vez que se presente una solicitud de habilitación. En caso de encontrar algún incumplimiento de la normatividad legal vigente se realiza un requerimiento de ajuste a la propuesta de habilitación.
Periodicidad: Variable
Evidencia: Acto administrativo (rechazo, desistimiento, inicio o habilitación) u oficio de requerimiento.</t>
  </si>
  <si>
    <t>R24</t>
  </si>
  <si>
    <t>Posibilidad de pérdida Reputacional por la habilitación de un gestor catastral no idóneo para la prestación del servicio publico catastral con el fin de obtener un beneficio propio o de un tercero debido a:
1. Intereses particulares
2. Falta de apropiación e interiorización del código de integridad.
3. Conflictos de interés presentados durante el proceso de evaluación.
4. Presión de niveles jerárquicos superiores para influenciar el resultado de la evaluación.</t>
  </si>
  <si>
    <t>1. Intereses particulares
2. Falta de apropiación e interiorización del código de integridad.
3. Conflictos de interés presentados durante el proceso de evaluación.
4. Presión de niveles jerárquicos superiores para influenciar el resultado de la evaluación.</t>
  </si>
  <si>
    <t>El Responsable del subproceso gestiona que en el contrato de vinculación de contratistas se establezcan obligaciones de confidencialidad,  transparencia y exclusividad en los temas del subproceso. En caso de no encontrar las clausulas de  confidencialidad,  transparencia y exclusividad solicitará la inclusión correspondiente al proceso de gestión contractual.
Periodicidad: Variable.
Evidencia: Contrato legalizado o Correo electrónico solicitando la inclusión</t>
  </si>
  <si>
    <t>Evidencia: Contrato legalizado o Correo electrónico solicitando la inclusión</t>
  </si>
  <si>
    <t>R25</t>
  </si>
  <si>
    <t>Posibilidad de pérdida Reputacional por inobservancia de las actividades tendientes a expedir regulación por parte de la entidad lo que puede conllevar a inseguridad jurídica en el acto administrativo. debido a: 
1. Falta de generación de espacios internos y externos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
4. Presión de niveles jerárquicos superiores para influenciar la expedición del acto.</t>
  </si>
  <si>
    <t>1. Falta de generación de espacios internos y externos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
4. Presión de niveles jerárquicos superiores para influenciar la expedición del acto.</t>
  </si>
  <si>
    <t>Afectación de la Imagen Institucional</t>
  </si>
  <si>
    <t>El Director de Regulación y Habilitación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Periodicidad: Variable
Evidencia: Correo de envío del proyecto de Acto Administrativo a la Oficina Asesora de Planeación para publicación en la página web; y/o link de publicación del Acto Administrativo.</t>
  </si>
  <si>
    <t>El Director de Regulación y Habilitación realiza conjuntamente con la Oficina Asesora Jurídica un control de legalidad de los proyectos de acto administrativo, cada vez que sea requerido, con el fin de determinar si se deben realizar ajustes previos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</si>
  <si>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El Director de Regulación y Habilitación verifica el contenido del proyecto de Acto administrativo del subproceso de regulación, posteriormente envía para revisión de la Oficina Asesora Jurídica previa aprobación de esta y firma por parte de la Dirección General. Esta actividad se hace en cada evento.
Periodicidad: Variable
Evidencia: Correo de envío del proyecto de Acto Administrativo al proceso a la Oficina Asesora Jurídica y Acto administrativo firmado por la Dirección General</t>
  </si>
  <si>
    <t>R26</t>
  </si>
  <si>
    <t>Posibilidad de pérdida Reputacional por declaratoria de inaplicación de la regulación expedida por la entidad debido a: 
1. Identificación de la ilegalidad del acto por parte de un ente judicial.
2. Inaplicabilidad de la norma por vacíos técnicos y conceptuales.</t>
  </si>
  <si>
    <t>1. Identificación de la ilegalidad del acto por parte de un ente judicial.
2. Inaplicabilidad de la norma por vacíos técnicos y conceptuales.</t>
  </si>
  <si>
    <t>El Responsable de la Dirección de Regulación y Habilitación  realiza un control de legalidad de los proyectos de acto administrativo, cada vez que sea requerido, con el fin de determinar si se deben realizar ajustes previo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</si>
  <si>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 xml:space="preserve">El Responsable de la Dirección de Regulación y Habilitación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Periodicidad: Variable
Evidencia: Fallo del ente judicial recibido por la entidad y/o nuevo acto administrativo generado (en caso de presentarse la inaplicabilidad). </t>
  </si>
  <si>
    <t>R27</t>
  </si>
  <si>
    <t>Posibilidad de pérdida Reputacional por incumplimiento de los estándares de producción (Oportunidad) en la prestación del servicio público Catastral por excepción debido a :
1. Falta de conocimiento de los procedimientos establecidos.
2. Recursos inadecuados o insuficientes (personal  y presupuestal).
3. Deficiencia en la infraestructura tecnológica a nivel nacional.
4. Falta de compromiso y sentido de pertenencia por parte del personal de las Direcciones Territoriales.</t>
  </si>
  <si>
    <r>
      <t xml:space="preserve">El Director Territorial o quien él designe, elabora el cronograma de los trámites que serán atendidos durante el mes, dando prioridad a los más antiguos. Al final del mes se debe evaluar el cumplimiento del cronograma, identificar los trámites programados y no atendidos, así como las causales. En caso de identificar novedades en el cumplimiento se reprograman las actividades en el mes siguiente.
Periodicidad: trimestral.
</t>
    </r>
    <r>
      <rPr>
        <b/>
        <sz val="11"/>
        <color theme="1"/>
        <rFont val="Arial"/>
        <family val="2"/>
      </rPr>
      <t xml:space="preserve">
Evidencia: 
Aplica únicamente en las Direcciones Territoriales: </t>
    </r>
    <r>
      <rPr>
        <sz val="11"/>
        <color theme="1"/>
        <rFont val="Arial"/>
        <family val="2"/>
      </rPr>
      <t xml:space="preserve">
1.) Cronograma de trabajo trimestral 
2.) Reporte del seguimiento trimestral descargado de la herramienta APEX, en el cual se visualicen las fechas de radicación, seguimiento a ejecutores, saldos y peticiones tramitadas, en cumplimiento, respecto a lo programado.
3.) En caso de no cumplir con lo programado, memorando interno mediante el cual se da  respuesta a las causales de incumplimiento contra el memorando enviado desde Dirección de Gestión Catastral</t>
    </r>
  </si>
  <si>
    <t>Posibilidad de pérdida Reputacional por Inoportunidad en los tiempos establecidos para la entrega de los productos resultados del  proceso de formación y actualización catastral con los municipios en jurisdicción del IGAC debido a:
1. Situaciones de orden Público en  los municipios a Intervenir
2. Condiciones medioambientales que afectan la prestación del servicio.
3. Incumplimiento de los pagos de la entidad contratante.
4. Falta de personal capacitado en los municipios donde se realizan los procesos de formación y/o actualización catastral y demoras en la contratación.
5. Desconocimiento por parte de la ciudadanía y de las entidades municipales donde se realizan los procesos de formación y/o actualización catastral.</t>
  </si>
  <si>
    <t>1. Situaciones de orden Público en  los municipios a Intervenir
2. Condiciones medioambientales que afectan la prestación del servicio.
3. Incumplimiento de los pagos de la entidad contratante.
4. Falta de personal capacitado en los municipios donde se realizan los procesos de formación y/o actualización catastral y demoras en la contratación.
5. Desconocimiento por parte de la ciudadanía y de las entidades municipales donde se realizan los procesos de formación y/o actualización catastral.</t>
  </si>
  <si>
    <t>R28</t>
  </si>
  <si>
    <t>El Subdirector de Proyectos y el Director de Gestión Catastral  elaboran el cronograma y tablero de control de ejecución del proceso de formación o actualización catastral a partir del inicio del proyecto.  
La dirección de gestión catastral y las áreas que sean requeridas en el marco del proceso, realizan seguimiento 2 veces al mes al cronograma de ejecución a fin de identificar retrasos, causas y definir las acciones a realizar para el cumplimiento.
Periodicidad: Quincenal.
Evidencia:  Presentación comité de seguimiento y/o listas de asistencia al seguimiento y/o actas de reunión.</t>
  </si>
  <si>
    <t>R29</t>
  </si>
  <si>
    <t>Posibilidad de pérdida Reputacional por solicitar o recibir dinero o dádivas por la realización u omisión de actos en la prestación de servicios o trámites catastrales, con el propósito de beneficiar a un particular debido a:
1. Falta de personal.
2. Falta de apropiación del código de integridad de la entidad.
3. Baja remuneración del personal
4. Deficiencias en el seguimiento por parte de la sede central y direcciones territoriales.</t>
  </si>
  <si>
    <t>1. Falta de personal.
2. Falta de apropiación del código de integridad de la entidad.
3. Baja remuneración del personal
4. Deficiencias en el seguimiento por parte de la sede central y direcciones territoriales.</t>
  </si>
  <si>
    <t>El Director Territorial o quien él designe, elabora el cronograma de los trámites que serán atendidos durante el mes, dando prioridad a los más antiguos. Al final del mes se debe evaluar el cumplimiento del cronograma, identificar los trámites programados y no atendidos, así como las causales. En caso de identificar novedades en el cumplimiento se reprograman las actividades en el mes siguiente.
Periodicidad: trimestral.
Evidencia: 
Aplica únicamente en las Direcciones Territoriales: 
1.) Cronograma de trabajo trimestral 
2.) Reporte del seguimiento trimestral descargado de la herramienta APEX, en el cual se visualicen las fechas de radicación, seguimiento a ejecutores, saldos y peticiones tramitadas, en cumplimiento, respecto a lo programado.
3.) En caso de no cumplir con lo programado, memorando interno mediante el cual se da  respuesta a las causales de incumplimiento contra el memorando enviado desde Dirección de Gestión Catastral</t>
  </si>
  <si>
    <r>
      <rPr>
        <b/>
        <sz val="11"/>
        <color theme="1"/>
        <rFont val="Arial"/>
        <family val="2"/>
      </rPr>
      <t xml:space="preserve">Evidencia: 
Aplica únicamente en las Direcciones Territoriales: </t>
    </r>
    <r>
      <rPr>
        <sz val="11"/>
        <color theme="1"/>
        <rFont val="Arial"/>
        <family val="2"/>
      </rPr>
      <t xml:space="preserve">
1.) Cronograma de trabajo trimestral 
2.) Reporte del seguimiento trimestral descargado de la herramienta APEX, en el cual se visualicen las fechas de radicación, seguimiento a ejecutores, saldos y peticiones tramitadas, en cumplimiento, respecto a lo programado.
3.) En caso de no cumplir con lo programado, memorando interno mediante el cual se da  respuesta a las causales de incumplimiento contra el memorando enviado desde Dirección de Gestión Catastral</t>
    </r>
  </si>
  <si>
    <t>R30</t>
  </si>
  <si>
    <t>R32</t>
  </si>
  <si>
    <t>Posibilidad de afectación Económica por solicitud o recibimiento de dádivas para generar lineamientos geográficos, certificados o  deslindes que no cumplan con la normatividad vigente,  estándares  o especificaciones técnicas para beneficio propio o de un tercero debido a: 
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</si>
  <si>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</si>
  <si>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Los  funcionarios designados de la Subdirección de Geografía, durante el proceso de generación, y una vez finalizado, un estudio o investigación geográfica, acta e informe de deslindes, verifican el cumplimiento de normatividad, especificaciones técnicas y procedimientos vigentes por medio de reuniones, donde se analiza el producto final. En caso de encontrar inconsistencias con el cumplimiento, se solicitan a los responsables de cada proyecto el ajuste del documento.  
Periodicidad: Variable
Evidencia: Versiones de documentos y/o certificaciones con observaciones o evidencia de asistencia a las reuniones.</t>
  </si>
  <si>
    <r>
      <t xml:space="preserve">
</t>
    </r>
    <r>
      <rPr>
        <b/>
        <sz val="11"/>
        <color theme="1"/>
        <rFont val="Arial"/>
        <family val="2"/>
      </rPr>
      <t xml:space="preserve">Evidencia: </t>
    </r>
    <r>
      <rPr>
        <sz val="11"/>
        <color theme="1"/>
        <rFont val="Arial"/>
        <family val="2"/>
      </rPr>
      <t>Versiones de documentos y/o certificaciones con observaciones o evidencia de asistencia a las reuniones.</t>
    </r>
  </si>
  <si>
    <t>R31</t>
  </si>
  <si>
    <t>Posibilidad de pérdida Reputacional por manipulación y/o sustracción indebida de información  geográfica durante el proceso  previo a su publicación o presentación de resultados, para beneficio propio o de un tercero. debido a: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t>
  </si>
  <si>
    <t xml:space="preserve">
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6. Falta de mecanismos para identificar la presentación riesgos de corrupción en la Entidad
7. Debilidades en la socialización de la normatividad, controles e instrumentos desarrollados por el IGAC para evitar hechos de corrupción</t>
  </si>
  <si>
    <t xml:space="preserve">Los funcionarios designados de la Subdirección de Geografía, responsables de almacenar los productos en el repositorio oficial, verifican la restricción de permisos sobre el repositorio, de manera que se cuente con un único acceso, sin tener posibilidades de edición. En caso de ser requerido, se solicita a través del GLPI la asignación de permisos para el acceso de acuerdo con las personas designadas. En caso de encontrar novedades o perfiles que no deban tener acceso, se debe generar la incidencia en GLPI para retirar los privilegios de acceso, y se informa a la Dirección de Gestión de información Geográfica y a la Subdirección de Geografía para que adelante la investigación dependiendo la situación.  
Periodicidad: Variable
Evidencias: Reporte de GLPI con la asignación de permisos al repositorio oficial y/o mensajes de correo electrónico remitidos (si aplica) </t>
  </si>
  <si>
    <r>
      <rPr>
        <b/>
        <sz val="11"/>
        <color theme="1"/>
        <rFont val="Arial"/>
        <family val="2"/>
      </rPr>
      <t xml:space="preserve">
Evidencias: </t>
    </r>
    <r>
      <rPr>
        <sz val="11"/>
        <color theme="1"/>
        <rFont val="Arial"/>
        <family val="2"/>
      </rPr>
      <t xml:space="preserve">Reporte de GLPI con la asignación de permisos al repositorio oficial y/o mensajes de correo electrónico remitidos (si aplica) </t>
    </r>
  </si>
  <si>
    <t>El funcionario designado de la Subdirección de Geografía, antes de la publicación de una investigación, revisa que no se haya hecho una publicación anterior de una parte o de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Periodicidad: Variable
Evidencia: Memorando y/o mensaje de correo electrónico informando la situación (si aplica).</t>
  </si>
  <si>
    <r>
      <rPr>
        <b/>
        <sz val="11"/>
        <color theme="1"/>
        <rFont val="Arial"/>
        <family val="2"/>
      </rPr>
      <t xml:space="preserve">
Evidencia: </t>
    </r>
    <r>
      <rPr>
        <sz val="11"/>
        <color theme="1"/>
        <rFont val="Arial"/>
        <family val="2"/>
      </rPr>
      <t>Memorando y/o mensaje de correo electrónico informando la situación (si aplica).</t>
    </r>
  </si>
  <si>
    <t>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asesorías en temas de ordenamiento territorial y registro de los nombres geográficos del país. debido a:
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</si>
  <si>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</si>
  <si>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Los responsables designados por la Subdirección de Geografía,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Periodicidad: Variable
Evidencia: Documentos de investigación versionados con control de cambios o evidencia de la revisión en línea y/o mensajes de correo electrónico con la revisión del informe final de los procesos de deslindes y los documentos de estudios e investigaciones geográficas.</t>
  </si>
  <si>
    <t>Los funcionarios designados por la Subdirección de Geografía, anualmente, o cada vez que se requiera, revisan que los procedimientos estén acorde a la normatividad y estándares vigentes. En caso de requerirse, se realiza la correspondiente actualización.
Periodicidad: Variable
Evidencia: Mensaje de correo electrónico que evidencia la realización de la revisión de los procedimientos cuando aplique y/o plan de trabajo para la actualización de documentos</t>
  </si>
  <si>
    <t>Posibilidad de pérdida Reputacional por incumplimiento en los tiempos programados para la generación, actualización y publicación de metodologías, estudios e investigaciones geográficas, deslindes y delimitación de las entidades territoriales y fronteras, asesorías en temas de ordenamiento territorial y registro de los nombres geográficos del país. debido a:
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y fronteras.
5. Demoras en los procesos administrativos que apoyan el desarrollo de las actividades técnicas.
6. Demoras para la aprobación o autorización de productos por parte de entes externos</t>
  </si>
  <si>
    <t>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y fronteras.
5. Demoras en los procesos administrativos que apoyan el desarrollo de las actividades técnicas.
6. Demoras para la aprobación o autorización de productos por parte de entes externos</t>
  </si>
  <si>
    <t>R33</t>
  </si>
  <si>
    <t>Afectación de la Imagén de la entidad
Quejas</t>
  </si>
  <si>
    <t>Los funcionarios designados por la Subdirección de Geografía,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Periodicidad: Mensual
Evidencia: Herramientas para el seguimiento del plan de acción y proyectos de inversión, y/o correo electrónico enviado con el seguimiento.</t>
  </si>
  <si>
    <t xml:space="preserve">Los funcionarios de la Subdirección de Geografía revisan la disponibilidad de personal, así como otros recursos necesarios para estimar las necesidades con base en el presupuesto designado. En caso de que el personal existente sea insuficiente, o no sea el requerido, se solicitará la asignación del personal a la Subdirección de Geografía, sujetos a disponibilidad de presupuesto designado. 
Periodicidad: Variable
Evidencias: Plan anual de adquisiciones con las necesidades de personal y demás recursos necesarios y/o mensaje de correo electrónico enviando el plan </t>
  </si>
  <si>
    <t>R34</t>
  </si>
  <si>
    <t>Posibilidad de afectación Económica y perdida Reputacional por inoportunidad en la transferencia de datos de las estaciones de funcionamiento continuo CORS a nivel nacional debido a:
1. Fallas y/o desconocimiento en la funcionalidad de los equipos
2. Vandalismo o pérdida de los equipos
3. Fallas o desconexión del servicio de internet ya sea satelital o de datos</t>
  </si>
  <si>
    <t>1. Fallas y/o desconocimiento en la funcionalidad de los equipos
3. Fallas o desconexión del servicio de internet ya sea satelital o de datos</t>
  </si>
  <si>
    <t>2. Vandalismo o pérdida de los equipos</t>
  </si>
  <si>
    <t>Afectación de la Imagen Institucional
Quejas</t>
  </si>
  <si>
    <t>El funcionario designado de la Subdirección Cartográfica y Geodésica, realiza mensualmente el monitoreo a las estaciones de funcionamiento continuo CORS con el propósito de identificar aquellas que tengan fallas e impidan contar con los datos. En caso de que se presenten fallas se informara al responsable de la red geodésica activa de la entidad.
Periodicidad: Mensual
Evidencia: Reporte mensual de monitoreo de estaciones geodésicas con la identificación de aquellas que están inactivas y requieren mantenimiento y/o correo electrónico dirigido al responsable de la red geodésica activa de la entidad.</t>
  </si>
  <si>
    <t>El  funcionario designado de la Subdirección Cartográfica y Geodésica, realiza mensualmente el monitoreo del servicio de internet, con el propósito de verificar el funcionamiento de las estaciones CORS. En caso de encontrar fallas en el servicio de internet, se enviará mensaje de correo electrónico al operador para restablecerlo. 
Periodicidad: Mensual
Evidencia: Reporte mensual de monitoreo de estaciones geodésicas y correo electrónico al subdirector de Geodesia en caso de presentarse el evento.</t>
  </si>
  <si>
    <t>El  funcionario designado de la Subdirección Cartográfica y Geodésica que realiza la visita en campo y evidencia un evento de vandalismo y/o perdida de elementos de una estación de operación continua CORS, realiza la denuncia correspondiente ante las  autoridades competentes y documenta lo sucedido.
Periodicidad: Variable
Evidencia: Reporte de visita a la estación y denuncia</t>
  </si>
  <si>
    <t>R35</t>
  </si>
  <si>
    <t>Posibilidad de pérdida Reputacional por incumplimiento de estándares de calidad nacionales e internacionales en la generación de información geodésica debido a:
1. Omisión del control de calidad a los procedimientos.
2. Falla en los equipos de recepción de datos.
3. Desconfiguración de los módulos del software de procesamiento y ajustes generando valores atípicos.</t>
  </si>
  <si>
    <t>1. Omisión del control de calidad a los procedimientos.
2. Falla en los equipos de recepción de datos.
3. Desconfiguración de los módulos del software de procesamiento y ajustes generando valores atípicos.</t>
  </si>
  <si>
    <t xml:space="preserve">El  funcionario designado de la Subdirección Cartográfica y Geodésica, verifica que los equipos a utilizar en el proceso de nivelación, posicionamiento GNSS y estaciones totales, se encuentren operando correctamente, de acuerdo con los estándares de calidad establecidos en los procedimientos antes de su salida a campo, previo a la instalación o utilización de los mismos, y al llegar a la Sede Central para su entrega  a la instancia de la administración de equipos geodésicos y topográficos. En caso de no cumplir con los parámetros establecidos, no se autorizará la salida del equipo a campo.
Periodicidad: Variable
Evidencia: Reporte de verificación de equipos y/o el Reporte de Novedades </t>
  </si>
  <si>
    <t>El  funcionario designado de la Subdirección Cartográfica y Geodésica, realiza mensualmente el control de calidad de los datos RINEX para llevar a cabo el procesamiento y publicación de los mismos. En caso de encontrar desviaciones los archivos no serán reportados en el portal institucional.
Periodicidad: Mensual
Evidencia: Reporte de publicación de los archivos RINEX</t>
  </si>
  <si>
    <t>El  funcionario designado de la Subdirección Cartográfica y Geodésica, revisa la configuración del software BERNESE previo a la verificación de datos con el propósito de procesarlos de acuerdo con los estándares internacionales
Periodicidad: Variable
Evidencia: Reporte de los resultados obtenidos con el software BERNESE</t>
  </si>
  <si>
    <t>El  funcionario designado de la Subdirección Cartográfica y Geodésica realiza la verificación del software y aplicativos para el procesamiento de datos geodésicos y en caso de evidenciar fallos generara la respectiva incidencia al proceso de Gestión de Sistemas de información e infraestructura.
Periodicidad: Variable
Evidencia: Informe de calculo y/o incidencia GLPI (si aplica)</t>
  </si>
  <si>
    <t>R36</t>
  </si>
  <si>
    <t xml:space="preserve">Posibilidad de pérdida Reputacional por Impedimento en el acceso a los sitios donde se desarrollaran actividades de campo propias del área, debido a:
la presencia de factores externos asociados a la seguridad, clima, topografía y orden público.
</t>
  </si>
  <si>
    <t>El  funcionario designado de la Subdirección Cartográfica y Geodésica, informa a las autoridades locales y regionales mediante oficio y/o mensaje de correo electrónico, con el propósito de contar con la autorización para el desplazamiento de los funcionarios en la zona elegida y la actividad a realizar en campo.
Periodicidad: Variable
Evidencia: Oficio y/o mensaje de correo electrónico remitido a las autoridades civiles y/o militares del lugar.</t>
  </si>
  <si>
    <t>Presencia de factores externos asociados a la seguridad, clima, topografía y orden público.</t>
  </si>
  <si>
    <t>R37</t>
  </si>
  <si>
    <t>Posibilidad de pérdida Reputacional por validar e integrar los vértices a la Red Geodésica Nacional que se encuentren fuera de las especificaciones técnicas debido a:
1. Falta control de calidad a cada una de las características definidas a vértices geodésicos de acuerdo con la resolución vigente
2. Ausencia o insuficiencia de información para la validación</t>
  </si>
  <si>
    <t>1. Falta control de calidad a cada una de las características definidas a vértices geodésicos de acuerdo con la resolución vigente
2. Ausencia o insuficiencia de información para la validación</t>
  </si>
  <si>
    <t>El  funcionario designado de la Subdirección Cartográfica y Geodésica, realiza la verificación de la totalidad de los productos e insumos entregados y sus características generales, con el propósito de contar con vértices acorde con los parámetros definidos. En caso de encontrar desviaciones, el dato no será publicado en la plataforma institucional y quedará registrado en el formato de control de calidad.
Periodicidad: Variable
Evidencia: Lista de chequeo</t>
  </si>
  <si>
    <t>El  funcionario designado de la Subdirección Cartográfica y Geodésica, realiza el control de calidad de los datos de los vértices geodésicos, con el propósito de identificar que se encuentren de acuerdo con las especificaciones establecidas. En caso de encontrar desviaciones, se le informará al tercero sobre la inconsistencia de los datos para que realicen los  ajustes correspondientes.
Periodicidad: Variable
Evidencia: Formatos de control de calidad</t>
  </si>
  <si>
    <t>Posibilidad de afectación Económica y pérdida Reputacional por incumplimiento de las especificaciones y estándares de producción cartográfica debido a:
1. Alta rotación de personal que genera pérdida de recurso humano con conocimiento y experticia en los procesos.
2. Falta de verificación del cumplimiento de normatividad vigente, estándares o especificaciones técnicas durante las diferentes etapas del proceso de producción de información cartográfica básica
3. Falta o insuficiente mantenimiento y/o calibración de equipos de oficina y de campo que permitan la captura y procesamiento de insumos con la calidad requerida</t>
  </si>
  <si>
    <t>R38</t>
  </si>
  <si>
    <t>1. Alta rotación de personal que genera pérdida de recurso humano con conocimiento y experticia en los procesos.
2. Falta de verificación del cumplimiento de normatividad vigente, estándares o especificaciones técnicas durante las diferentes etapas del proceso de producción de información cartográfica básica
3. Falta o insuficiente mantenimiento y/o calibración de equipos de oficina y de campo que permitan la captura y procesamiento de insumos con la calidad requerida</t>
  </si>
  <si>
    <t>El  funcionario designado de la Subdirección Cartográfica y Geodésica, antes y después de realizar el trabajo en campo realiza la verificación de los equipos para realizar el trabajo designado llevando a cabo pruebas de funcionamiento. En caso de encontrar fallas en los equipos, los reporta al responsable de la Administración de los equipos geodésicos y topográficos para que actualice el listado sobre el estado operativo de los equipos y se programe su revisión y mantenimiento respectivo.
Periodicidad: Variable
Evidencia: Reporte de verificación de equipos</t>
  </si>
  <si>
    <t xml:space="preserve">El  funcionario designado de la Subdirección Cartográfica y Geodésica,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cartográfica para que se tomen las acciones pertinentes para el  cumplimiento de las especificaciones. 
Periodicidad: Variable
Evidencias: Listas de chequeo o de aseguramiento de la calidad de los productos cartográficos </t>
  </si>
  <si>
    <t>El  funcionario designado de la Subdirección Cartográfica y Geodésica, responsable de validar los productos cartográficos, en cada proyecto realiza el seguimiento y control a los elementos de calidad establecidos en las especificaciones técnicas vigentes, mediante muestreo y verificación del cumplimiento de las mismas en los productos finales establecidos. En caso de presentarse desviaciones se genera el reporte con las inconsistencias presentadas y realiza la  devolución.
Periodicidad: Variable
Evidencia: Informe de aprobación o rechazo del producto cartográfico</t>
  </si>
  <si>
    <t>Posibilidad de pérdida Reputacional por demoras en los procesos de producción y entrega de la cartografía básica debido a:
1. Eventos externos que impactan los tiempos de producción o actualización de la información cartográfica.
2. Fallas en los equipos usados
3. Insuficientes recursos utilizados para la producción.</t>
  </si>
  <si>
    <t xml:space="preserve">
2. Fallas en los equipos usados
3. Insuficientes recursos utilizados para la producción.</t>
  </si>
  <si>
    <t>1. Eventos externos que impactan los tiempos de producción o actualización de la información cartográfica.</t>
  </si>
  <si>
    <t>R39</t>
  </si>
  <si>
    <t>El  funcionario designado de la Subdirección Cartográfica y Geodésica,  verifica las condiciones de orden público en la zona de trabajo, comunicándose con las autoridades civiles y militares del lugar, y gestiona los permisos o autorizaciones con esas autoridades. En caso de no obtener los permisos se reporta al  Subdirector para posponer la comisión de campo hasta que las condiciones de seguridad sean las adecuadas.
Periodicidad: Variable
Evidencia: Comunicaciones remitidas a las autoridades civiles y militares del lugar.</t>
  </si>
  <si>
    <t xml:space="preserve">El  funcionario designado de la Subdirección Cartográfica y Geodésica, realiza seguimiento y control periódico a los cronogramas de trabajo y estándares de producción, indagando con los líderes de las etapas del proceso de producción a través de reuniones de seguimiento o mesas de trabajo, los inconvenientes presentados o retrasos en las actividades. En caso de identificarse retrasos en la programación se definen los correctivos que se deben tomar para cumplir con la meta. 
Periodicidad: Variable
Evidencia: Actas de reunión y/o mensajes de correos electrónicos y/o grabaciones de reunión u otro material soporte de los seguimientos realizados. </t>
  </si>
  <si>
    <t>R40</t>
  </si>
  <si>
    <t>Posibilidad de pérdida Reputacional por oficializar información de terceros que no cumplan con la normatividad o las especificaciones técnicas definidas en el IGAC para beneficio propio o de un tercero. debido a :
1. Falta control de calidad de los productos finales
2. Ausencia de información o insumo suficientes para la validación.
3. Omitir el control de calidad de los insumos con los cuales se generaron los  productos cartográficos.
4. Falta de apropiación de valores éticos 
5. Tráfico de influencias y/o amiguismos</t>
  </si>
  <si>
    <t>1. Falta control de calidad de los productos finales
2. Ausencia de información o insumo suficientes para la validación.
3. Omitir el control de calidad de los insumos con los cuales se generaron los  productos cartográficos.
4. Falta de apropiación de valores éticos 
5. Tráfico de influencias y/o amiguismos</t>
  </si>
  <si>
    <t>El  funcionario designado de la Subdirección Cartográfica y Geodésica, realiza el control de calidad de los productos cartográficos para verificar el cumplimiento de las especificaciones técnicas establecidas para cartografía básica. En caso contrario, se devuelve al profesional responsable de la etapa que le antecede para que realice los ajustes correspondientes.
Periodicidad: Variable
Evidencia: Reporte de control de calidad de la generación de productos cartográficos.</t>
  </si>
  <si>
    <r>
      <rPr>
        <b/>
        <sz val="11"/>
        <color theme="1"/>
        <rFont val="Arial"/>
        <family val="2"/>
      </rPr>
      <t xml:space="preserve">Evidencia: </t>
    </r>
    <r>
      <rPr>
        <sz val="11"/>
        <color theme="1"/>
        <rFont val="Arial"/>
        <family val="2"/>
      </rPr>
      <t>Reporte de control de calidad de la generación de productos cartográficos.</t>
    </r>
  </si>
  <si>
    <t>El  funcionario designado de la Subdirección Cartográfica y Geodésica, realiza la verificación de la totalidad de los productos e insumos cartográficos recibidos y sus características generales con el propósito de realizar el proceso de validación. En caso de encontrar algún faltante, se devuelve al tercero con el respectivo informe por medio  de oficio y/o mensaje de correo electrónico.
Periodicidad: Variable
Evidencia: Lista de verificación de productos e insumos.</t>
  </si>
  <si>
    <r>
      <rPr>
        <b/>
        <sz val="11"/>
        <color theme="1"/>
        <rFont val="Arial"/>
        <family val="2"/>
      </rPr>
      <t xml:space="preserve">Evidencia: </t>
    </r>
    <r>
      <rPr>
        <sz val="11"/>
        <color theme="1"/>
        <rFont val="Arial"/>
        <family val="2"/>
      </rPr>
      <t>Lista de verificación de productos e insumos.</t>
    </r>
  </si>
  <si>
    <t>El  funcionario designado de la Subdirección Cartográfica y Geodésica, realiza el control de calidad a los puntos de control terrestre y los de chequeo, con el fin de contar con insumos óptimos en la generación y validación de productos cartográficos.
Periodicidad: Variable
Evidencia: Reportes de control de calidad de la información obtenida en campo.</t>
  </si>
  <si>
    <r>
      <rPr>
        <b/>
        <sz val="11"/>
        <color theme="1"/>
        <rFont val="Arial"/>
        <family val="2"/>
      </rPr>
      <t xml:space="preserve">Evidencia: </t>
    </r>
    <r>
      <rPr>
        <sz val="11"/>
        <color theme="1"/>
        <rFont val="Arial"/>
        <family val="2"/>
      </rPr>
      <t>Reportes de control de calidad de la información obtenida en campo.</t>
    </r>
  </si>
  <si>
    <t>R41</t>
  </si>
  <si>
    <t>Posibilidad de pérdida Reputacional por incumplimiento en la elaboración de los productos programados en el proceso de Gestión Agrológica debido a:
1. Insuficiencia y reducción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y del procesamiento analítico de las muestras.
5. Inadecuada ejecución de las actividades documentadas en los procedimientos e instructivos del SGI.</t>
  </si>
  <si>
    <t>1. Insuficiencia y reducción en el presupuesto asignado.
4. Planeación inadecuada de las actividades de los estudios agrológicos y del procesamiento analítico de las muestras.
5. Inadecuada ejecución de las actividades documentadas en los procedimientos e instructivos del SGI.</t>
  </si>
  <si>
    <t>2. Entrega de productos supeditados al suministro de insumos por parte de terceros lo que dificulta la entrega de los mismos.
3. Problemas de orden público a nivel nacional que pueden afectar las actividades de campo.</t>
  </si>
  <si>
    <t>Los responsables de los diferentes temas y proyectos de la Subdirección de  Agrología, mensualmente realizan el seguimiento a las actividades programadas con el fin de verificar el cumplimiento en la generación de los productos del subproceso de Gestión Agrológica. En caso de que se detecten desviaciones se analizan las causas y se determinan las acciones que deben adelantar los responsables. 
Periodicidad: Mensual
Evidencia: Acta de seguimiento de los diferentes temas y proyectos del subproceso de Gestión Agrologica y registro de asistencia.</t>
  </si>
  <si>
    <t>El jefe del Laboratorio Nacional de Suelos junto con los responsables de tema revisan permanentemente el estado de las solicitudes de análisis de muestras próximas a vencerse en los diferentes temas por medio del aplicativo SIGA. En caso de detectar retrasos se implementaran las acciones necesarias para cumplir dichas fechas. 
Periodicidad: Mensual
Evidencia: Acta de seguimiento de las solicitudes de análisis muestras y de las acciones implementadas (si aplica).</t>
  </si>
  <si>
    <t>5. Problemas de orden público a nivel nacional que pueden afectar las actividades de campo.</t>
  </si>
  <si>
    <t>Posibilidad de pérdida Reputacional por calidad deficiente de los productos generados por la Gestión Agrológica debido a:
1. Incumplimiento de los estándares de producción de información geográfica
2. Ausencia o deficiencia de controles de calidad en las diferentes etapas del proceso.
3. Deficiencia en la información básica para realizar estudios agrológicos.
4. Inadecuada ejecución de las actividades documentadas en los procedimientos e instructivos del SGI.
5. Problemas de orden público a nivel nacional que pueden afectar las actividades de campo.
6. Baja calidad de los insumos utilizados para el procesamiento analítico de las muestras.
7. Incorrecta operación o manipulación de los equipos e instrumentos para el procesamiento analítico de las muestras.</t>
  </si>
  <si>
    <t>R42</t>
  </si>
  <si>
    <t>1. Incumplimiento de los estándares de producción de información geográfica
2. Ausencia o deficiencia de controles de calidad en las diferentes etapas del proceso.
3. Deficiencia en la información básica para realizar estudios agrológicos.
4. Inadecuada ejecución de las actividades documentadas en los procedimientos e instructivos del SGI.
6. Baja calidad de los insumos utilizados para el procesamiento analítico de las muestras.
7. Incorrecta operación o manipulación de los equipos e instrumentos para el procesamiento analítico de las muestras.</t>
  </si>
  <si>
    <t>El responsable del Sistema de Gestión Integrado (SGI) del subproceso de Gestión Agrológica o el profesional de apoyo del SGI en el Laboratorio Nacional de Suelos (LNS) realiza el seguimiento al cumplimiento de la documentación del SGI, formatos y sus controles, como mínimo una vez al mes, lo cual se hace a través de la aplicación de listas de chequeo que permitan evaluar el cumplimiento del paso a paso para generar los productos agrológicos y verificar el cumplimiento de los requisitos especificados para el análisis de las muestras. En caso que se encuentre una desviación o desconocimiento en el procedimiento para generar los productos por alguno de los servidores públicos, se procederá a hacer una reinducción del proceso, se realiza un análisis de causas y se determinan las acciones correctivas o de mejora a ejecutar por parte de los responsables (si aplica).
Periodicidad: Mensual
Evidencia: Listas de chequeo diligenciadas, Registro de la implementación y seguimiento a las acciones implementadas (si aplica) y soportes de la reinducción (si aplica).</t>
  </si>
  <si>
    <t>Los funcionarios designados a las diferentes temáticas aplican los controles de calidad establecidos por el subproceso de Gestión Agrológica y reportan mensualmente el estado de los mismos, con el propósito de verificar que se cumplen todos los parámetros establecidos en cada etapa del subproceso. En caso de encontrar desviaciones se regresa a la etapa anterior para su respectivo ajuste.
Periodicidad: Mensual
Evidencia: Reporte mensual del estado de las temáticas o registros de los controles de calidad realizados.</t>
  </si>
  <si>
    <t>Posibilidad de afectación Económica  por extravío de las muestras a ser analizadas en el LNS debido a:
1.  Inadecuada ejecución de las actividades documentadas en los procedimientos e instructivos del SGI.
2. Inadecuada manipulación, almacenamiento y transporte de la muestra.
3. Inadecuada rotulación de la muestra
4. Incumplimiento por parte de la empresa de mensajería en el transporte de las muestras.</t>
  </si>
  <si>
    <t xml:space="preserve">1.  Inadecuada ejecución de las actividades documentadas en los procedimientos e instructivos del SGI.
2. Inadecuada manipulación, almacenamiento y transporte de la muestra.
3. Inadecuada rotulación de la muestra
</t>
  </si>
  <si>
    <t>4. Incumplimiento por parte de la empresa de mensajería en el transporte de las muestras.</t>
  </si>
  <si>
    <t>R43</t>
  </si>
  <si>
    <t>Afectación Economica
Quejas</t>
  </si>
  <si>
    <t>Los edafólogos en campo envían las muestras a la Oficina del Laboratorio Nacional de Suelos (LNS); el profesional enlace realiza el control y seguimiento al comparar el formato de solicitud de muestras cliente interno con las muestras que se recibieron en el laboratorio. En caso de encontrar inconsistencias lleva a cabo el seguimiento respectivo hasta encontrar la razón de la pérdida de las muestras, y  se solicita el envío de una nueva muestra. Este control se aplica siempre y cuando haya comisión para la realización del trabajo en campo.
Periodicidad: Variable
Evidencias: Formato Control de envío y recepción de muestras y soportes del seguimiento o solicitud de una nueva muestra (si aplica).</t>
  </si>
  <si>
    <t>El funcionario de apoyo al Sistema de Gestión Integrado (SGI) en el  Laboratorio Nacional de Suelos (LNS) mensualmente realiza el seguimiento a la aplicación de los procedimientos asociados a la manipulación, almacenamiento, preparación, transporte y codificación de las muestras en el LNS, a través de la aplicación de una lista de chequeo donde se especifican todos los requisitos que se deben cumplir en esta etapa del proceso. En caso de encontrar desviaciones realiza una reinducción o se analizan las causas de la situación presentada y se implementan las acciones correctivas o de mejora necesarias (si aplica).
Periodicidad: Mensual
Evidencia: Listas de chequeo aplicadas o soportes de la reinducción, Registro de la implementación y seguimiento a las acciones (si aplica).</t>
  </si>
  <si>
    <t>Posibilidad de afectación Económica y pérdida Reputacional por manipulación de la información, en el manejo de las muestras del LNS y alteración de los resultados de los productos agrológicos para beneficio propio o de un tercero debido a :
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</si>
  <si>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6. Clientelismo y amiguismo</t>
  </si>
  <si>
    <t>5. Presiones por proveedores o clientes.</t>
  </si>
  <si>
    <t>El responsable del Sistema de Gestión Integrado (SGI) del subproceso de Gestión Agrologica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y de ser necesario se implementan las acciones correctivas o de mejora de acuerdo a la situación presentada (si aplica). 
Periodicidad: Mensual
Evidencia: Listas de chequeo diligenciadas, Registro de la implementación y seguimiento a las acciones y soportes de la reinducción o cambio de actividad (si aplica).</t>
  </si>
  <si>
    <r>
      <rPr>
        <b/>
        <sz val="11"/>
        <color theme="1"/>
        <rFont val="Arial"/>
        <family val="2"/>
      </rPr>
      <t xml:space="preserve">Evidencia: </t>
    </r>
    <r>
      <rPr>
        <sz val="11"/>
        <color theme="1"/>
        <rFont val="Arial"/>
        <family val="2"/>
      </rPr>
      <t>Listas de chequeo diligenciadas, Registro de la implementación y seguimiento a las acciones y soportes de la reinducción o cambio de actividad (si aplica).</t>
    </r>
  </si>
  <si>
    <t xml:space="preserve">El funcionario de calidad en el Laboratorio Nacional de Suelos (LNS) realiza seguimiento mensual a los datos registrados en las cartas control de los procesos en curso y las evalúa trimestralmente, con el fin de garantizar el control de los procedimientos analíticos. En caso de encontrar comportamientos anormales o atípicos, se realiza el análisis de causas y se determinan las acciones que se deben llevar a cabo para identificar la falla y corregirla posteriormente. 
Periodicidad: Mensual
Evidencia: Cartas control diligenciadas y Formato de evaluación de las cartas control  </t>
  </si>
  <si>
    <r>
      <rPr>
        <b/>
        <sz val="11"/>
        <color theme="1"/>
        <rFont val="Arial"/>
        <family val="2"/>
      </rPr>
      <t xml:space="preserve">Evidencia: </t>
    </r>
    <r>
      <rPr>
        <sz val="11"/>
        <color theme="1"/>
        <rFont val="Arial"/>
        <family val="2"/>
      </rPr>
      <t xml:space="preserve">Cartas control diligenciadas y Formato de evaluación de las cartas control  </t>
    </r>
  </si>
  <si>
    <t>El (los) responsable(s) de ejercer funciones de atención al usuario en la recepción del Laboratorio Nacional de Suelos (LNS) cada vez que se realice una solicitud de muestra para análisis químico, físico, mineralógico y biológico, debe(n) entregar únicamente la orden de consignación al usuario y por ningún motivo entregar datos como el número de solicitud, número de laboratorio, ni los datos de quienes serán los encargados de realizar el análisis, con el fin de que el personal del LNS desconozca la identidad del usuario quien realizó la solicitud y así mismo que el cliente no conozca los datos relacionados con la identificación de sus muestras ni quienes serán los encargados de analizarlas. De esta manera se garantiza la confidencialidad e imparcialidad en las actividades y en el  manejo de las muestras en el laboratorio. En caso de que el usuario requiera  tener mayor información se debe aplicar lo establecido en el procedimiento "Análisis de muestras en el LNS". 
Periodicidad: Variable
Evidencia: Compromisos firmados de confidencialidad, imparcialidad e independencia por parte de los responsables de la recepción en el LNS.</t>
  </si>
  <si>
    <t>El responsable del Sistema de Gestión Integrado (SGI) o el funcionario de apoyo en el Laboratorio Nacional del Suelos (LNS), cada vez que ingrese un funcionario o contratista a desarrollar actividades en el LNS, debe verificar que se firme el compromiso de confidencialidad, imparcialidad e independencia, con el fin de garantizar que todas las personas se comprometan a implementar y mantener los lineamientos de imparcialidad establecidos en el LNS. El responsable del Sistema de Gestión Integrado (SGI) realiza seguimiento periódico a los compromisos de confidencialidad, imparcialidad e independencia para garantizar su cumplimiento.
Periodicidad: Variable
Evidencia: Compromisos firmados de confidencialidad, imparcialidad e independencia por parte del personal del LNS.</t>
  </si>
  <si>
    <r>
      <rPr>
        <b/>
        <sz val="11"/>
        <color theme="1"/>
        <rFont val="Arial"/>
        <family val="2"/>
      </rPr>
      <t xml:space="preserve">Evidencia: </t>
    </r>
    <r>
      <rPr>
        <sz val="11"/>
        <color theme="1"/>
        <rFont val="Arial"/>
        <family val="2"/>
      </rPr>
      <t>Compromisos firmados de confidencialidad, imparcialidad e independencia por parte de los responsables de la recepción en el LNS.</t>
    </r>
  </si>
  <si>
    <r>
      <rPr>
        <b/>
        <sz val="11"/>
        <color theme="1"/>
        <rFont val="Arial"/>
        <family val="2"/>
      </rPr>
      <t xml:space="preserve">
Evidencia:</t>
    </r>
    <r>
      <rPr>
        <sz val="11"/>
        <color theme="1"/>
        <rFont val="Arial"/>
        <family val="2"/>
      </rPr>
      <t xml:space="preserve"> Compromisos firmados de confidencialidad, imparcialidad e independencia por parte del personal del LNS.</t>
    </r>
  </si>
  <si>
    <t>R45</t>
  </si>
  <si>
    <t>Posibilidad de pérdida Reputacional por la inoportunidad en los tiempos establecidos para la entrega de los avalúos comerciales debido a:
1. Situaciones de orden Público en  los municipios a Intervenir
2. Condiciones medioambientales que afectan la prestación del servicio.
3. Incumplimiento de los pagos de la entidad contratante.
4. Falta de capacidad operativa y administrativa.</t>
  </si>
  <si>
    <t>1. Situaciones de orden Público en  los municipios a Intervenir
2. Condiciones medioambientales que afectan la prestación del servicio.
3. Incumplimiento de los pagos de la entidad contratante.</t>
  </si>
  <si>
    <r>
      <t xml:space="preserve">El subdirector de Avalúos  o quien haga sus veces, así como los Directores Territoriales, realizan seguimiento quincenal a la ejecución de los avalúos comerciales, con el fin de verificar el cumplimiento de los tiempos de respuesta e identificar situaciones que afecten la oportunidad en la entrega de los mismos.
Periodicidad: Quincenal
</t>
    </r>
    <r>
      <rPr>
        <b/>
        <sz val="11"/>
        <color theme="1"/>
        <rFont val="Arial"/>
        <family val="2"/>
      </rPr>
      <t xml:space="preserve">
Evidencia: 
Sede Central: </t>
    </r>
    <r>
      <rPr>
        <sz val="11"/>
        <color theme="1"/>
        <rFont val="Arial"/>
        <family val="2"/>
      </rPr>
      <t xml:space="preserve">
Reporte quincenal en la herramienta de seguimiento de los avalúos comerciales.
</t>
    </r>
    <r>
      <rPr>
        <b/>
        <sz val="11"/>
        <color theme="1"/>
        <rFont val="Arial"/>
        <family val="2"/>
      </rPr>
      <t xml:space="preserve">Direcciones Territoriales: </t>
    </r>
    <r>
      <rPr>
        <sz val="11"/>
        <color theme="1"/>
        <rFont val="Arial"/>
        <family val="2"/>
      </rPr>
      <t xml:space="preserve">
1.) Correo electrónico quincenal con el envío del reporte en la herramienta de seguimiento de los avalúos comerciales.
2.) Reporte en la herramienta de seguimiento de los avalúos comerciales.</t>
    </r>
  </si>
  <si>
    <t>R46</t>
  </si>
  <si>
    <t>Posibilidad de afectación Económica y pérdida Reputacional por registros presupuestales y  contables generados inoportunamente, debido a:
1. Desconocimiento de las dependencias ordenadoras de los procedimientos del proceso de gestión financiera.
2. Omisión involuntaria por parte del servidor publico y/o contratista de los procesos de gestión financiera.
3. No contar con una solución tecnológica que gestione de manera integral todos los procesos de gestión financiera.</t>
  </si>
  <si>
    <t>1. Desconocimiento de las dependencias ordenadoras de los procedimientos del proceso de gestión financiera.
2. Omisión involuntaria por parte del servidor publico y/o contratista de los procesos de gestión financiera.
3. No contar con una solución tecnológica que gestione de manera integral todos los procesos de gestión financiera.</t>
  </si>
  <si>
    <t>Afectación de la Imagén de la Entidad
Sanciones</t>
  </si>
  <si>
    <r>
      <t xml:space="preserve">Los funcionarios y contratistas de presupuesto, así como los pagadores de las Direcciones Territoriales, verifican que la fecha de los documentos soporte de los registros presupuestales sea anterior al comienzo de la ejecución del gasto y validan que la información coincida con la respectiva minuta.
En caso contrario, se abstienen de realizar el registro, aplicando lo establecido en el procedimiento de elaboración de CDP y RP.
Periodicidad: Variable
</t>
    </r>
    <r>
      <rPr>
        <b/>
        <sz val="11"/>
        <color theme="1"/>
        <rFont val="Arial"/>
        <family val="2"/>
      </rPr>
      <t xml:space="preserve">
Evidencia: 
Sede Central: </t>
    </r>
    <r>
      <rPr>
        <sz val="11"/>
        <color theme="1"/>
        <rFont val="Arial"/>
        <family val="2"/>
      </rPr>
      <t xml:space="preserve">una muestra de los documentos soporte de los registros presupuestales (memorandos o minutas de contratos o comisiones)
</t>
    </r>
    <r>
      <rPr>
        <b/>
        <sz val="11"/>
        <color theme="1"/>
        <rFont val="Arial"/>
        <family val="2"/>
      </rPr>
      <t xml:space="preserve">Direcciones Territoriales: </t>
    </r>
    <r>
      <rPr>
        <sz val="11"/>
        <color theme="1"/>
        <rFont val="Arial"/>
        <family val="2"/>
      </rPr>
      <t>1.)  Listado de compromisos del trimestre generado por el sistema SIIF  y  2.)  muestra del 50%  de los RP generados durante el trimestre con sus soportes debidamente firmados, según corresponda (un archivo consolidado con los documentos por cada RP).</t>
    </r>
  </si>
  <si>
    <r>
      <t xml:space="preserve">El responsable de cartera designado en GIT Contabilidad de la sede central y el profesional con funciones de contador en las Direcciones Territoriales, trimestralmente, realiza la conciliación de cartera validando que la información contable se encuentre correcta  y verifica que los saldos de las cuenta en SIIF Nación contra el reporte de edades de cartera. Si se presenta diferencias, con base en esta verificación, se realizan los ajustes correspondientes, acorde al procedimiento.
Periodicidad: Trimestral
</t>
    </r>
    <r>
      <rPr>
        <b/>
        <sz val="11"/>
        <color theme="1"/>
        <rFont val="Arial"/>
        <family val="2"/>
      </rPr>
      <t xml:space="preserve">Evidencia 
Sede Central: </t>
    </r>
    <r>
      <rPr>
        <sz val="11"/>
        <color theme="1"/>
        <rFont val="Arial"/>
        <family val="2"/>
      </rPr>
      <t xml:space="preserve">
1.) Informe de conciliación de cartera
2.) Informe de cartera por edades 
3.) Correos electrónicos en caso de inconsistencias (si aplica).
</t>
    </r>
    <r>
      <rPr>
        <b/>
        <sz val="11"/>
        <color theme="1"/>
        <rFont val="Arial"/>
        <family val="2"/>
      </rPr>
      <t xml:space="preserve">
Direcciones Territoriales:  </t>
    </r>
    <r>
      <rPr>
        <sz val="11"/>
        <color theme="1"/>
        <rFont val="Arial"/>
        <family val="2"/>
      </rPr>
      <t xml:space="preserve">
1.) Informe de conciliación de cartera
2.) Informe de cartera por edades y 
3.) Correos electrónicos en caso de inconsistencias (si aplica)</t>
    </r>
  </si>
  <si>
    <t>R47</t>
  </si>
  <si>
    <t>Posibilidad de afectación Económica y pérdida Reputacional por registros presupuestales, contables y de tesorería que no coincidan con la realidad debido a: 
1. Utilización inadecuada de conceptos parametrizados por la entidad para el registro de hechos económicos en el SIIF Nación
2. No contar con una solución tecnológica que gestione de manera integral todos los procesos de gestión financiera.</t>
  </si>
  <si>
    <t>1. Utilización inadecuada de conceptos parametrizados por la entidad para el registro de hechos económicos en el SIIF Nación
2. No contar con una solución tecnológica que gestione de manera integral todos los procesos de gestión financiera.</t>
  </si>
  <si>
    <t>El líder de Gestión Contable valida y aprueba los reportes con la información financiera suministrados por los responsables encargados al interior del subproceso, quienes comparan que la información coincida con los documentos soporte y normatividad vigente. En caso contrario, se devuelve la información a las áreas o Direcciones Territoriales solicitando los ajustes correspondientes mediante correos electrónicos
Periodicidad: Trimestral
Evidencia: Una muestra de la información financiera (reporte de edades de cartera y/o conciliaciones bancarias y/o declaraciones de impuestos y/o correos electrónicos cuando aplique).</t>
  </si>
  <si>
    <t>R48</t>
  </si>
  <si>
    <t>Posibilidad de afectación Económica por manejo indebido de recursos financieros por parte de quienes los administran en la entidad, para beneficio propio o de terceros, debido a la manipulación de la información financiera.</t>
  </si>
  <si>
    <t>Manipulación de la información financiera.</t>
  </si>
  <si>
    <r>
      <rPr>
        <b/>
        <sz val="11"/>
        <color theme="1"/>
        <rFont val="Arial"/>
        <family val="2"/>
      </rPr>
      <t xml:space="preserve">
Evidencia: 
Sede Central:</t>
    </r>
    <r>
      <rPr>
        <sz val="11"/>
        <color theme="1"/>
        <rFont val="Arial"/>
        <family val="2"/>
      </rPr>
      <t xml:space="preserve">
1.) Listado de ordenes de pago con traspaso a pagaduría generadas durante el trimestre
2.) Órdenes de pago con traspaso a pagaduría con sus respectivos soportes
</t>
    </r>
    <r>
      <rPr>
        <b/>
        <sz val="11"/>
        <color theme="1"/>
        <rFont val="Arial"/>
        <family val="2"/>
      </rPr>
      <t xml:space="preserve">Direcciones Territoriales: </t>
    </r>
    <r>
      <rPr>
        <sz val="11"/>
        <color theme="1"/>
        <rFont val="Arial"/>
        <family val="2"/>
      </rPr>
      <t xml:space="preserve">
1.) Listado de ordenes de pago con traspaso a pagaduría generadas durante el trimestre
2.) Órdenes de pago con traspaso a pagaduría con sus respectivos soportes.</t>
    </r>
  </si>
  <si>
    <t>R55</t>
  </si>
  <si>
    <t>R56</t>
  </si>
  <si>
    <t>R57</t>
  </si>
  <si>
    <t>R58</t>
  </si>
  <si>
    <t>Posibilidad de pérdida Reputacional por inoportunidad en la actualización e implementación de los instrumentos archivísticos debido a:
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</si>
  <si>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</si>
  <si>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Los responsables designados por el proceso Gestión Documental realizan seguimiento semestral a la implementación de  instrumentos archivísticos asociados al Programa de Gestión Documental - PGD.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Reporte de seguimiento al PGD y/o Registros de asistencia y actas de reunión. Para el caso de incumplimiento envío correos electrónicos.</t>
  </si>
  <si>
    <t>R59</t>
  </si>
  <si>
    <t>Posibilidad de pérdida Reputacional por pérdida de la memoria institucional debido a:
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Condiciones físicas y ambientales que afectan la conservación de la documentación.</t>
  </si>
  <si>
    <t xml:space="preserve">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t>
  </si>
  <si>
    <t>7. Condiciones físicas y ambientales que afectan la conservación de la documentación.</t>
  </si>
  <si>
    <t>Los responsables designados por el proceso Gestión Documental realizan seguimiento y socializaciones semestral a través de visitas técnicas programadas a las Oficinas Productoras Sede Central, en la implementación de los lineamientos, Tabla de Retención Documental  TRD y normatividad vigente.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Registros de asistencia y actas de reunión. Para el caso de incumplimiento envío correos electrónicos.</t>
  </si>
  <si>
    <t>R60</t>
  </si>
  <si>
    <t>Posibilidad de pérdida Reputacional por sustracción, eliminación o manipulación indebida de la documentación en el Archivo Central para beneficio particular o de terceros debido a:
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</si>
  <si>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</si>
  <si>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Los responsables designados por el proceso Gestión Documental  realizan el control de la documentación entregada a modo de préstamo a los funcionarios de la entidad, a través del formato o formatos establecidos en el procedimiento de préstamo de archivo central.
Periodicidad: Mensual. 
Evidencias: Registro vigente firmado por el solicitante de los documentos en Archivo Central</t>
  </si>
  <si>
    <t xml:space="preserve">Los responsables designados por el proceso Gestión Documental  realizan seguimiento semestral a la actualización y verificación del inventario documental del Archivo Central, con el fin de controlar la documentación que reposa en el Archivo Central. En caso de evidenciar que no se ha llevado a cabo la actualización del inventario documental, el proceso de Gestión Documental tomará las acciones pertinentes para efectuar dicha actualización.
Periodicidad: Semestral
Evidencias: Registro Inventario documental actualizado. Para el caso de incumplimiento, plan de trabajo correspondiente. </t>
  </si>
  <si>
    <r>
      <rPr>
        <b/>
        <sz val="11"/>
        <color theme="1"/>
        <rFont val="Arial"/>
        <family val="2"/>
      </rPr>
      <t>Evidencias:</t>
    </r>
    <r>
      <rPr>
        <sz val="11"/>
        <color theme="1"/>
        <rFont val="Arial"/>
        <family val="2"/>
      </rPr>
      <t xml:space="preserve"> Registro vigente firmado por el solicitante de los documentos en Archivo Central</t>
    </r>
  </si>
  <si>
    <r>
      <rPr>
        <b/>
        <sz val="11"/>
        <color theme="1"/>
        <rFont val="Arial"/>
        <family val="2"/>
      </rPr>
      <t xml:space="preserve">
Evidencias: </t>
    </r>
    <r>
      <rPr>
        <sz val="11"/>
        <color theme="1"/>
        <rFont val="Arial"/>
        <family val="2"/>
      </rPr>
      <t xml:space="preserve">Registro Inventario documental actualizado. Para el caso de incumplimiento, plan de trabajo correspondiente. </t>
    </r>
  </si>
  <si>
    <t>R61</t>
  </si>
  <si>
    <t>Posibilidad de pérdida Reputacional por incumplimiento de los acuerdos de niveles de servicio del proceso, debido a:
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</si>
  <si>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</si>
  <si>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7. Ataques a la infraestructura tecnológica por agentes externos o internos</t>
  </si>
  <si>
    <t>El gestor de la mesa de servicios mensualmente verifica el estado de las solicitudes de atención y los seguimientos asociados a las 'No solucionadas' (en curso y en espera) y las solucionadas fuera de los tiempos establecidos en los Acuerdos de Niveles de Servicio (ANS), con el objetivo de identificar los motivos por los cuales no se ha dado solución o se dio solución fuera del tiempo de los ANS. En caso de encontrar solicitudes  resueltas fuera de los tiempos establecidos en los Acuerdos de Niveles de Servicio (ANS), o no resueltas se realiza un informe para la dirección de tecnología para la generación de acciones.
Periodicidad: Mensual
Evidencia: Reporte de la herramienta de gestión de soporte técnico - GLPI con la información que incluye las solicitudes no solucionadas y solucionadas fuera del tiempo establecido en los ANS.</t>
  </si>
  <si>
    <t>R62</t>
  </si>
  <si>
    <t xml:space="preserve">Posibilidad de pérdida Reputacional por inoportunidad en la ejecución de mantenimientos preventivos de la infraestructura tecnológica de la entidad debido a:
1. Una inadecuada programación de mantenimientos o inexistencia de la misma.
2. Falta de recursos para la adquisición de insumos para la realización de mantenimientos.
3. Falta de recursos para la contratación de servicios de mantenimiento.
4. Deficiente gestión de recursos para la adquisición de insumos o contratación de los mantenimientos requeridos
5. Ausencia o inasistencia del personal crítico de DTIC,  cuyo conocimiento especializado es requerido para el desarrollo de la jornada normal de trabajo </t>
  </si>
  <si>
    <t xml:space="preserve">1. Una inadecuada programación de mantenimientos o inexistencia de la misma.
2. Falta de recursos para la adquisición de insumos para la realización de mantenimientos.
3. Falta de recursos para la contratación de servicios de mantenimiento.
4. Deficiente gestión de recursos para la adquisición de insumos o contratación de los mantenimientos requeridos
5. Ausencia o inasistencia del personal crítico de DTIC,  cuyo conocimiento especializado es requerido para el desarrollo de la jornada normal de trabajo </t>
  </si>
  <si>
    <t>El Profesional designado de la subdirección de Infraestructura Tecnológica,  semestralmente  realiza seguimiento al cronograma de mantenimientos preventivos de la infraestructura tecnológica programados en la vigencia, con el fin de asegurar la disponibilidad de los servicios de TI. En caso de identificar retrasos se informa a la jefatura de la DTIC  para que se realicen las gestiones pertinentes para efectuar las actividades.
Periodicidad: Semestral
Evidencia: Cronograma de mantenimiento con seguimiento y control registro de mantenimientos</t>
  </si>
  <si>
    <t>El Profesional designado de la subdirección de Infraestructura Tecnológica,  permanentemente  monitorea de manera aleatoria los recursos de TIC, con el fin de identificar la ocurrencia de un evento que pueda representar la no disponibilidad del servicio de TIC. En caso de encontrar novedades o fallas en la infraestructura tecnológica, se informa a jefatura de la DTIC para priorizar su mantenimiento. 
Periodicidad: Variable
Evidencia: Correo electrónico con el reporte de la novedad o falla y/o reporte de la verificación aleatoria de la infraestructura tecnológica realizada.</t>
  </si>
  <si>
    <t>R63</t>
  </si>
  <si>
    <t xml:space="preserve">Posibilidad de pérdida Económica y Reputacional por posibilidad de otorgar accesos a la infraestructura tecnológica sin seguir procedimientos  formales para favorecer a un tercero  debido a:
1. Deficiencias en el control de perfiles y roles de acceso a las bases de datos
2. Auditoria insuficiente en las bases de datos
3. Falta de manifestación de conflictos de interés </t>
  </si>
  <si>
    <t xml:space="preserve">1. Deficiencias en el control de perfiles y roles de acceso a las bases de datos
2. Auditoria insuficiente en las bases de datos
3. Falta de manifestación de conflictos de interés </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</si>
  <si>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</si>
  <si>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r>
      <rPr>
        <b/>
        <sz val="11"/>
        <color theme="1"/>
        <rFont val="Arial"/>
        <family val="2"/>
      </rPr>
      <t xml:space="preserve">Evidencia: </t>
    </r>
    <r>
      <rPr>
        <sz val="11"/>
        <color theme="1"/>
        <rFont val="Arial"/>
        <family val="2"/>
      </rPr>
      <t>Reporte de  solicitudes de permiso de acceso a los recursos tecnológicos.</t>
    </r>
  </si>
  <si>
    <t>El Administrador de bases de datos atiende cada solicitud de permisos de acceso a las bases de datos institucionales las cuales se gestionan a través de requerimientos en la herramienta tecnológica de la mesa de servicios, a solicitud del responsable de la dependencia, analizando los documentos pertinentes anexos a la solicitud. En caso de que los privilegios no sean autorizados por ellos se rechaza la solicitud y  no se asignan los permisos en las bases de datos.
Periodicidad: Variable
Evidencia: Reportes de solicitudes de permisos de acceso a las bases de datos institucionales.</t>
  </si>
  <si>
    <r>
      <rPr>
        <b/>
        <sz val="11"/>
        <color theme="1"/>
        <rFont val="Arial"/>
        <family val="2"/>
      </rPr>
      <t xml:space="preserve">Evidencia: </t>
    </r>
    <r>
      <rPr>
        <sz val="11"/>
        <color theme="1"/>
        <rFont val="Arial"/>
        <family val="2"/>
      </rPr>
      <t>Reportes de solicitudes de permisos de acceso a las bases de datos institucionales.</t>
    </r>
  </si>
  <si>
    <t>R64</t>
  </si>
  <si>
    <t>Posibilidad de pérdida Reputacional por el uso de infraestructura tecnológica para fines personales o comerciales  debido a:
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</si>
  <si>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</si>
  <si>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</si>
  <si>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r>
      <rPr>
        <b/>
        <sz val="11"/>
        <color theme="1"/>
        <rFont val="Arial"/>
        <family val="2"/>
      </rPr>
      <t>Evidencia:</t>
    </r>
    <r>
      <rPr>
        <sz val="11"/>
        <color theme="1"/>
        <rFont val="Arial"/>
        <family val="2"/>
      </rPr>
      <t xml:space="preserve"> Reporte de  solicitudes de permiso de acceso a los recursos tecnológicos.</t>
    </r>
  </si>
  <si>
    <t>R65</t>
  </si>
  <si>
    <t>Posibilidad de pérdida Reputacional Por incumplimiento de términos en los procesos disciplinarios, que conlleve a la declaratoria de prescripción y, en consecuencia, a la imposibilidad de continuar ejerciendo al acción disciplinaria. Debido a:
1. Exceso de procesos
2. Falta de recursos tecnológicos
3. Carencia de personal 
4. Falta de apoyo técnico estable y/o continuo.
5. Falta de respuesta por parte de las dependencias  requeridas en curso del proceso disciplinario.</t>
  </si>
  <si>
    <t>1. Exceso de procesos
2. Falta de recursos tecnológicos
3. Carencia de personal 
4. Falta de apoyo técnico estable y/o continuo.
5. Falta de respuesta por parte de las dependencias  requeridas en curso del proceso disciplinario.</t>
  </si>
  <si>
    <t>Afectación de la Imagen Institucional
Sanciones</t>
  </si>
  <si>
    <t>El jefe de la Oficina de Control  Interno Disciplinario y Directivo a cargo de la función de juzgamiento disciplinario, desde la Sede Central, hacen seguimiento mensual a los procesos disciplinarios, con el propósito de verificar el cumplimiento de los parámetros normativos establecidos para el adelantamiento de la acción disciplinaria, en las etapas de instrucción y juzgamiento, respectivamente. En caso de determinar  posibles incumplimientos de términos, debe priorizarse el trámite del respectivo proceso disciplinario.
Periodicidad: Mensual
Evidencia:  
1. Registro de asistencia presenciales y/o convocatorias y registros de asistencia virtuales con los abogados sustanciadores, con el fin de verificar el cumplimiento de los parámetros normativos establecidos para el adelantamiento de la acción disciplinaria.
2. Relación del estado de los procesos disciplinarios activos.</t>
  </si>
  <si>
    <t>R66</t>
  </si>
  <si>
    <t>1. Deficiente o inadecuado control y seguimiento de las actuaciones llevadas a cabo en curso de los procesos disciplinarios, en las diferentes etapas.
2. Incumplimiento de la funciones y obligaciones por parte de los servidores  públicos y contratistas comisionados por el jefe de la Oficina de Control Interno Disciplinario y Directivo a cargo de la función de juzgamiento disciplinario, para las etapas de instrucción y juzgamiento, respectivamente.</t>
  </si>
  <si>
    <t>R67</t>
  </si>
  <si>
    <t>Posibilidad de afectación Económica y perdida Reputacional por incumplimiento del Plan Anual de Auditorias Internas de Gestión debido a:
1. Recortes en el presupuesto de la OCI
2. Decisiones administrativas de supresión de auditorias internas de gestión.
3. Falta de funcionarios de planta y una alta rotación de personal contratista en la OCI.
4. Falta de competencia de los auditores internos para la ejecución de auditorías.
5. Falta de tiempo y disponibilidad del auditado</t>
  </si>
  <si>
    <t>1. Recortes en el presupuesto de la OCI
2. Decisiones administrativas de supresión de auditorias internas de gestión.
3. Falta de funcionarios de planta y una alta rotación de personal contratista en la OCI.
4. Falta de competencia de los auditores internos para la ejecución de auditorías.
5. Falta de tiempo y disponibilidad del auditado</t>
  </si>
  <si>
    <t>El Jefe de la Oficina de Control Interno (OCI) realiza mensualmente seguimiento al Plan anual de auditorias internas de Gestión junto con el equipo de la OCI. En caso de detectar un posible incumplimiento del Plan, se realiza un ajuste al cronograma de las actividades. 
Periodicidad: Mensual
Evidencia: Acta de reunión del equipo y/o cronograma de auditoría verificado.</t>
  </si>
  <si>
    <t xml:space="preserve">El Jefe de la Oficina de Control Interno (OCI) realiza la consolidación semestral de las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Periodicidad: Semestral
Evidencia: Resultados de la evaluación a los auditores y/o plan de mejoramiento individual (si aplica). </t>
  </si>
  <si>
    <t>R68</t>
  </si>
  <si>
    <t>Posibilidad de pérdida Reputacional por incumplimiento de alguna de las normas legales, técnicas y de la entidad durante el ejercicio de auditoria debido a:
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t>
  </si>
  <si>
    <t>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t>
  </si>
  <si>
    <t>El líder y equipo auditor realiza la verificación de la normatividad legal vigente aplicable a las auditorias internas de gestión durante la fase de planeación. En caso de no contemplar la totalidad de las normas vigentes aplicables se procederá a realizar el ajuste al alcance de la auditoria.
Periodicidad: Mensual
Evidencia: Programa de auditoria y/o correo electrónico donde se valida el alcance de la auditoria.</t>
  </si>
  <si>
    <t>R69</t>
  </si>
  <si>
    <t>Posibilidad de pérdida Reputacional por el desarrollo de ejercicios auditores con resultados subjetivos y/o parciales debido a:
1. Falta de apropiación e interiorización del Estatuto de Auditoría Interna y Código de ética del auditor.
2. Debilidad en las competencias de los auditores e insuficiente capacitación.</t>
  </si>
  <si>
    <t>1. Falta de apropiación e interiorización del Estatuto de Auditoría Interna y Código de ética del auditor.
2. Debilidad en las competencias de los auditores e insuficiente capacitación.</t>
  </si>
  <si>
    <t>R70</t>
  </si>
  <si>
    <t>Posibilidad de pérdida Reputacional por omisión y/o encubrimiento deliberado durante la revisión y verificación de situaciones irregulares conocidas y/o encontradas en el proceso auditor, para favorecimiento propio o de terceros debido a:
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t>
  </si>
  <si>
    <t>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t>
  </si>
  <si>
    <t>El Jefe de la Oficina de Control Interno (OCI) realiza la verificación del informe de auditoria y del plan de mejoramiento, con el fin de detectar situaciones de omisiones deliberadas por parte de los auditores. En caso de detectar una posible omisión deliberada se procede a confirmar su existencia y solicitar la investigación disciplinaria correspondiente para el auditor.  
Periodicidad: Variable.
Evidencia: Declaratoria del no conflicto de interés por parte de los integrantes del equipo auditor.</t>
  </si>
  <si>
    <r>
      <rPr>
        <b/>
        <sz val="11"/>
        <color theme="1"/>
        <rFont val="Arial"/>
        <family val="2"/>
      </rPr>
      <t xml:space="preserve">Evidencia: </t>
    </r>
    <r>
      <rPr>
        <sz val="11"/>
        <color theme="1"/>
        <rFont val="Arial"/>
        <family val="2"/>
      </rPr>
      <t>Declaratoria del no conflicto de interés por parte de los integrantes del equipo auditor.</t>
    </r>
  </si>
  <si>
    <t>R71</t>
  </si>
  <si>
    <r>
      <t xml:space="preserve">El Grupo Interno de Gestión contractual de la sede central y el profesional con funciones de abogado en las direcciones territoriales, validará que las dependencias que solicitan adelantar un proceso de contratación para la adquisición del bien, servicio, obra requerido por una modalidad de selección distinta a la contratación directa, hayan adjuntado el estudio de mercado.
</t>
    </r>
    <r>
      <rPr>
        <b/>
        <sz val="11"/>
        <color theme="1"/>
        <rFont val="Arial"/>
        <family val="2"/>
      </rPr>
      <t>Evidencia:
Sede Central:</t>
    </r>
    <r>
      <rPr>
        <sz val="11"/>
        <color theme="1"/>
        <rFont val="Arial"/>
        <family val="2"/>
      </rPr>
      <t xml:space="preserve"> Estudio de mercado del 5% de los procesos de contratación (distintos a contratación directa) del periodo a reportar.
</t>
    </r>
    <r>
      <rPr>
        <b/>
        <sz val="11"/>
        <color theme="1"/>
        <rFont val="Arial"/>
        <family val="2"/>
      </rPr>
      <t>Direcciones Territoriales:</t>
    </r>
    <r>
      <rPr>
        <sz val="11"/>
        <color theme="1"/>
        <rFont val="Arial"/>
        <family val="2"/>
      </rPr>
      <t xml:space="preserve"> Estudio de mercado de los procesos de contratación (distintos a contratación directa) del periodo a reportar.</t>
    </r>
  </si>
  <si>
    <t>Posibilidad de efecto dañoso sobre bienes públicos por pérdida, extravío, hurto de bienes muebles en bodega de almacen pertenecientes a la entidad, a causa de la omisión en la aplicación de controles de seguridad en la custodia de los activos o  elementos, en la apliacación de control en la custodia de los bienes en las instalaciones del Almacén, falencias en el registro de ingresos y egresos en el aplicativo de inventarios y desconocimiento de los lineamientos de manejo de inventarios.</t>
  </si>
  <si>
    <t>Afectación de la Imagén del proceso
Afectación de la Poliza
Investigaciones Disciplinarias</t>
  </si>
  <si>
    <r>
      <t xml:space="preserve">El Responsable del Almacén General y el profesional con funciones de contador almacenista en las Direcciones Territoriales realiza, trimestralmente, un inventario aleatorio  de los bienes en bodega catalogados como activos propiedad planta y equipo, y registrados contablemente, generando un informe de la conciliación de los registros en el sistema frente a los físicos. En caso de presentar diferencias se llevan a cabo las acciones correctivas pertinentes.
Periodicidad: Trimestral
</t>
    </r>
    <r>
      <rPr>
        <b/>
        <sz val="11"/>
        <color theme="1"/>
        <rFont val="Arial"/>
        <family val="2"/>
      </rPr>
      <t xml:space="preserve">
Evidencias
Sede Central:</t>
    </r>
    <r>
      <rPr>
        <sz val="11"/>
        <color theme="1"/>
        <rFont val="Arial"/>
        <family val="2"/>
      </rPr>
      <t xml:space="preserve">
1.) Informe de inventario y conciliación (Fecha del inventario, Responsable, Descripción del bien, número de la placa, fecha de ingreso, valor histórico, valor en libros y ubicación)
2.) Memorando o notificación por correo electrónico al Subdirector(a) Administrativo(a)  y Financiero(a)
</t>
    </r>
    <r>
      <rPr>
        <b/>
        <sz val="11"/>
        <color theme="1"/>
        <rFont val="Arial"/>
        <family val="2"/>
      </rPr>
      <t xml:space="preserve">
Direcciones Territoriales: </t>
    </r>
    <r>
      <rPr>
        <sz val="11"/>
        <color theme="1"/>
        <rFont val="Arial"/>
        <family val="2"/>
      </rPr>
      <t xml:space="preserve">
1.) Informe de inventario y conciliación (Fecha del inventario, Responsable, Descripción del bien, número de la placa, fecha de ingreso, valor histórico, valor en libros y ubicación)
2.) Memorando o notificación por correo electrónico al Director territorial</t>
    </r>
  </si>
  <si>
    <r>
      <t xml:space="preserve">El Responsable del Almacén General solicita reporte mensual de la apertura y cierre de las bodegas a la empresa de vigilancia y seguridad a cargo, con el fin de verificar las fechas de apertura, cierre y novedades relevantes presentadas, propendiendo por el manejo y custodia eficiente de los recursos físicos.
Periodicidad: Mensual.
</t>
    </r>
    <r>
      <rPr>
        <b/>
        <sz val="11"/>
        <color theme="1"/>
        <rFont val="Arial"/>
        <family val="2"/>
      </rPr>
      <t xml:space="preserve">Evidencias:  </t>
    </r>
    <r>
      <rPr>
        <sz val="11"/>
        <color theme="1"/>
        <rFont val="Arial"/>
        <family val="2"/>
      </rPr>
      <t>Reporte mensual recibido por la empresa de seguridad y reporte de novedades realizadas por el Almacén.</t>
    </r>
  </si>
  <si>
    <r>
      <t xml:space="preserve">El Responsable del Almacén General y el profesional con funciones de contador almacenista en las Direcciones Territoriales, mensualmente valida las entradas y salidas registradas en el aplicativo de inventarios.
Periodicidad: Mensual
</t>
    </r>
    <r>
      <rPr>
        <b/>
        <sz val="11"/>
        <color theme="1"/>
        <rFont val="Arial"/>
        <family val="2"/>
      </rPr>
      <t>Evidencia: Sede Central:</t>
    </r>
    <r>
      <rPr>
        <sz val="11"/>
        <color theme="1"/>
        <rFont val="Arial"/>
        <family val="2"/>
      </rPr>
      <t xml:space="preserve"> Reporte mensual detallado de movimiento de ingresos y egresos de bienes de consumo, control administrativo y activos, generado en el sistema de inventarios.
</t>
    </r>
    <r>
      <rPr>
        <b/>
        <sz val="11"/>
        <color theme="1"/>
        <rFont val="Arial"/>
        <family val="2"/>
      </rPr>
      <t xml:space="preserve">Direcciones Territoriales: </t>
    </r>
    <r>
      <rPr>
        <sz val="11"/>
        <color theme="1"/>
        <rFont val="Arial"/>
        <family val="2"/>
      </rPr>
      <t>Reporte mensual detallado de movimiento de ingresos y egresos de bienes de consumo, control administrativo y activos, generado en el sistema de inventarios.</t>
    </r>
  </si>
  <si>
    <t xml:space="preserve">Posibilidad de efecto dañoso sobre los recursos públicos, por pago de intereses y sanciones por mora, evidenciándose una omisión de funciones administrativas para la  presentación y pago de las declaraciones tributarias oportunamente.
</t>
  </si>
  <si>
    <t>Omisión de funciones administrativas para la  presentación y pago de las declaraciones tributarias oportunamente.</t>
  </si>
  <si>
    <t>Pago de Intereses 
Sanciones
Corrección de las declaraciones</t>
  </si>
  <si>
    <r>
      <t xml:space="preserve">El líder de Gestión Contable en la sede central y el profesional con funciones de contador en las Direcciones Territoriales verifica en los calendarios tributarios de las entidades correspondientes, las fechas establecidas para la presentación y pago de las declaraciones tributarias, con el fin de realizar los tramites de manera oportuna.
Periodicidad: Se realiza en el primer semestre de cada vigencia.
</t>
    </r>
    <r>
      <rPr>
        <b/>
        <sz val="11"/>
        <color theme="1"/>
        <rFont val="Arial"/>
        <family val="2"/>
      </rPr>
      <t xml:space="preserve">
Evidencia Sede Central y Direcciones Territoriales: </t>
    </r>
    <r>
      <rPr>
        <sz val="11"/>
        <color theme="1"/>
        <rFont val="Arial"/>
        <family val="2"/>
      </rPr>
      <t>Calendario Tributario</t>
    </r>
  </si>
  <si>
    <t>MAPA DE RIESGOS INSTITUCIONAL VIGENCIA 2024</t>
  </si>
  <si>
    <t>MAPA DE RIESGOS DE CORRUPCIÓN VIGENCIA 2024</t>
  </si>
  <si>
    <t>Afectación de la Imagen del proceso e Institucional</t>
  </si>
  <si>
    <t>Posibilidad de pérdida Reputacional por Idas inconsistencias en la información reportada en los aplicativos internos y externos de la entidad debido a: 
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</si>
  <si>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Afectación de imagen Institucional</t>
  </si>
  <si>
    <t>Sanciones
Afectación de la Imagen Institucional
Sobrepresión del relleno sanitario
Contaminación del Recursos Suelo
Disminución de los Recursos Naturales</t>
  </si>
  <si>
    <t xml:space="preserve">Registros de Asistencia y/o Correos electrónicos de divulgación
</t>
  </si>
  <si>
    <t>Afectación de la Imagen Institucional
Afectación de ingresos</t>
  </si>
  <si>
    <t>Afectación de la Imagen de la entidad
Sanciones</t>
  </si>
  <si>
    <t>Afectación de la Imagen Institucional
Sanciones
Demandas</t>
  </si>
  <si>
    <t>Fuga del Conocimiento
Afectación de la Imagen Institucional
Reprocesos</t>
  </si>
  <si>
    <t>Posibilidad de afectación Económica y pérdida Reputacionalpor una posible sanción a la entidad, por incumplimiento de la normatividad vigente sobre  evaluaciones de desempeño y/o acuerdos de gestión. Debido a:
1. Ausencia de un procedimiento que dé lineamientos para la realización de las evaluaciones de desempeño.
2. Desconocimiento de las implicaciones por la no realización o una inadecuada definición de compromisos y evidencias para las evaluaciones de desempeño y acuerdos de gestión 
3. Ineficacia en el seguimiento a la realización de las evaluaciones de desempeño y acuerdos de gestión</t>
  </si>
  <si>
    <t xml:space="preserve">Afectación de la Imagen Institucional
Sanciones </t>
  </si>
  <si>
    <t>Posibilidad de afectación económica y pérdida reputacional por demandas de ex servidores o servidores o sanciones de entes competentes por inconsistencias o generación fuera de términos del certificado electrónico de tiempos laborados (CETIL) debido a:
1.  Digitación errada o incompleta de la información referente al tiempo laborado en el IGAC
2. Falta de soportes en la historia laboral que acrediten la estadía y/o la interrupción del tiempo laborado en la Entidad 
3. No registro oportuno de la información por parte de la STH y de factores salariales por parte de las direcciones territoriales y la Subdirección Administrativa y Financiera, según corresponda
4. Ausencia de pagadores en las direcciones territoriales, quienes son los responsables de registrar la información en CETIL
5. Falta de revisión del registro de la información por parte de otra persona diferente a quien la digitó
6. Demora por parte de Certicamara y Min-hacienda en la habilitación de los usuarios para los diferentes roles relacionados con la expedición del CETIL</t>
  </si>
  <si>
    <t>Afectación de la Imagen Institucional
Demandas
Sanciones</t>
  </si>
  <si>
    <t>Posibilidad de  pérdida reputacionalpor la pérdida de documentos que hacen parte de la historia laboral de servidores o ex servidores de la Entidad que se encuentran en el archivo de gestión de la Subdirección de Talento Humano debido a:
1. Acceso a las llaves del archivo de gestión de la Subdirección de talento humano por parte de servidores o contratistas diferentes a los auxiliares administrativos encargados de custodiar esta documentación.
2. Falta de reglas claras divulgadas a los servidores y contratistas de la STH acerca de la entrega y custodia de la documentación en el archivo de gestión.
3. Errores en el archivo al incluir documentos que no pertenecen al servidor o exservidor publico.
4. Documentos en archivo digital sin incorporar a las historias laborales.</t>
  </si>
  <si>
    <t>Afectación de la imagen institucional
Sanciones</t>
  </si>
  <si>
    <t>Sanciones
Afectación de la Imagen Institucional</t>
  </si>
  <si>
    <r>
      <t xml:space="preserve">El responsable de gestión de Tesorería en la sede central y los profesionales con funciones de Pagadores en las Direcciones Territoriales, reciben las obligaciones, verificando los  soportes requeridos, en caso de determinar que es un traspaso a pagaduría, se elaboran y autorizan las ordenes de pago en el sistema SIIF Nación.  En caso contrario, se devuelve la documentación solicitando los ajustes correspondientes a los responsables.
Periodicidad: Trimestral
</t>
    </r>
    <r>
      <rPr>
        <b/>
        <sz val="11"/>
        <color theme="1"/>
        <rFont val="Arial"/>
        <family val="2"/>
      </rPr>
      <t>Evidencia: 
Sede Central:</t>
    </r>
    <r>
      <rPr>
        <sz val="11"/>
        <color theme="1"/>
        <rFont val="Arial"/>
        <family val="2"/>
      </rPr>
      <t xml:space="preserve">
1.) Listado de ordenes de pago con traspaso a pagaduría generadas durante el trimestre
2.) Órdenes de pago con traspaso a pagaduría con sus respectivos soportes
</t>
    </r>
    <r>
      <rPr>
        <b/>
        <sz val="11"/>
        <color theme="1"/>
        <rFont val="Arial"/>
        <family val="2"/>
      </rPr>
      <t xml:space="preserve">
Direcciones Territoriales: </t>
    </r>
    <r>
      <rPr>
        <sz val="11"/>
        <color theme="1"/>
        <rFont val="Arial"/>
        <family val="2"/>
      </rPr>
      <t xml:space="preserve">
1.) Listado de ordenes de pago con traspaso a pagaduría generadas durante el trimestre
2.) Órdenes de pago con traspaso a pagaduría con sus respectivos soportes.</t>
    </r>
  </si>
  <si>
    <t>Posibilidad de pérdida Reputacional Por conductas indebidas, por acción u omisión, para favorecer a servidores o ex servidores públicos en el desarrollo del proceso disciplinario. Debido a:
1. Deficiente o inadecuado control y seguimiento de las actuaciones llevadas a cabo en curso de los procesos disciplinarios, en las diferentes etapas.
2. Incumplimiento de la funciones y obligaciones por parte de los servidores  públicos y contratistas comisionados por el jefe de la Oficina de Control Interno Disciplinario y Directivo a cargo de la función de juzgamiento disciplinario, para las etapas de instrucción y juzgamiento, respectivamente.</t>
  </si>
  <si>
    <t>El jefe de la Oficina de Control  Interno Disciplinario y  Directivo a cargo de la función de juzgamiento disciplinario, desde la Sede Central, hacen seguimiento semestral  a los procesos disciplinarios, con el propósito de determinar la existencia o no de conductas indebidas, por acción u omisión, para favorecer a servidores o ex servidores públicos en el adelantamiento de la acción disciplinaria.
Periodicidad: Semestral
Evidencia:  Documento registro de revisión de procesos de expedientes disciplinarios, de acuerdo al criterio del jefe de área, con el fin de determinar la existencia o no de conductas indebidas, por acción u omisión, para favorecer a servidores o ex servidores públicos en el adelantamiento de la acción disciplinaria.</t>
  </si>
  <si>
    <r>
      <rPr>
        <b/>
        <sz val="11"/>
        <color theme="1"/>
        <rFont val="Arial"/>
        <family val="2"/>
      </rPr>
      <t xml:space="preserve">Evidencia: </t>
    </r>
    <r>
      <rPr>
        <sz val="11"/>
        <color theme="1"/>
        <rFont val="Arial"/>
        <family val="2"/>
      </rPr>
      <t xml:space="preserve"> Documento registro de revisión de procesos de expedientes disciplinarios, de acuerdo al criterio del jefe de área, con el fin de determinar la existencia o no de conductas indebidas, por acción u omisión, para favorecer a servidores o ex servidores públicos en el adelantamiento de la acción disciplinaria.</t>
    </r>
  </si>
  <si>
    <t>1. Falta de conocimiento de los procedimientos establecidos.
2. Recursos inadecuados o insuficientes (personal  y presupuestal).
3. Deficiencia en la infraestructura tecnológica a nivel nacional.
4. Falta de compromiso y sentido de pertenencia por parte del personal de las Direcciones Territoriales.</t>
  </si>
  <si>
    <t xml:space="preserve">1. Demora en la asignación de procesos prejudiciales, judiciales y administrativos
2. Falta de seguimiento a los estados, y/o notificaciones en los procesos. 
3. Falta de seguimiento y o seguimiento inoportuno a los procesos.  
4. Falta de coordinación interinstitucional y con las dependencias encargadas del suministro de insumos para la defensa de los intereses de la entidad.  </t>
  </si>
  <si>
    <t xml:space="preserve">1. Falta de seguimiento a la realización de las actividades fijadas en la PPDA.
2. Falta de seguimiento a las conciliaciones prejudiciales, demandas y condenas a la entidad que tengan como hecho generador las causas priorizadas en al PPDA.  </t>
  </si>
  <si>
    <t>1. Deficiencia en la atención prestada a los ciudadanos, usuarios, grupos de valor y/o grupos de interés
2. No contar con recursos tecnológicos adecuados para hacer seguimiento y agilizar las peticiones presentadas por los ciudadanos en el sistema de gestión de correspondencia.
3. Falta de conocimiento del personal de la normatividad vigente en derechos de petición
4. Falta de verificación del estado de las PQRDSF antes de la terminación o sesión de contratos o periodos de vacaciones, licencias, encargos, traslados de área o finalización del vinculo laboral del personal de planta.</t>
  </si>
  <si>
    <t>4. Falta de capacidad operativa y administrativa.</t>
  </si>
  <si>
    <t>1. Omisión en la aplicación de controles de seguridad en la custodia de los activos o  elementos.
2. Omiión en la apliacación de control en la custodia de los bienes en las instalaciones del Almacén.
3. Falencias en el registro de ingresos y egresos en el aplicativo de inventarios.
4. Desconocimiento de los lineamientos de manejo de inventarios.</t>
  </si>
  <si>
    <t xml:space="preserve">Posibilidad de pérdida Económica y Reputacional por inoportunidad  en la respuesta a los requerimientos en procesos judiciales o por condenas en litigios que deberían haber sido favorables a la entidad 
debido a :
1. Demora en la asignación de procesos prejudiciales, judiciales y administrativos
2. Falta de seguimiento a los estados, y/o notificaciones en los procesos. 
3. Falta de seguimiento y o seguimiento inoportuno a los procesos.  
4. Falta de coordinación interinstitucional y con las dependencias encargadas del suministro de insumos para la defensa de los intereses de la entidad.  </t>
  </si>
  <si>
    <t>Afectación de la Imagén Institucional
Quejas
Pérdida de oportunidad en la defensa de los intereses de la entidad. 
 Incumplimiento en las metas y objetivos del proceso de gestión jurídica.</t>
  </si>
  <si>
    <r>
      <t xml:space="preserve">El funcionario o contratista en Sede Central  con funciones de reparto y control de procesos prejudiciales, judiciales y administrativos cada vez que conozca de uno de esos procesos deberá efectuar control de asignación, otorgamiento de poder y seguimiento de asignación. 
</t>
    </r>
    <r>
      <rPr>
        <b/>
        <sz val="11"/>
        <color theme="1"/>
        <rFont val="Arial"/>
        <family val="2"/>
      </rPr>
      <t>Periodicidad:</t>
    </r>
    <r>
      <rPr>
        <sz val="11"/>
        <color theme="1"/>
        <rFont val="Arial"/>
        <family val="2"/>
      </rPr>
      <t xml:space="preserve"> Variable
</t>
    </r>
    <r>
      <rPr>
        <b/>
        <sz val="11"/>
        <color theme="1"/>
        <rFont val="Arial"/>
        <family val="2"/>
      </rPr>
      <t xml:space="preserve">Evidencia: </t>
    </r>
    <r>
      <rPr>
        <sz val="11"/>
        <color theme="1"/>
        <rFont val="Arial"/>
        <family val="2"/>
      </rPr>
      <t>Matriz Seguimiento y Control proceso judiciales, extrajudiciales y administrativos.</t>
    </r>
  </si>
  <si>
    <r>
      <t xml:space="preserve">El funcionario o contratista en Sede Central con funciones de reparto y control de procesos prejudiciales, judiciales y administrativos trimestralmente verifica y  realiza un seguimiento a los términos de los memoriales de los distintos procesos en los que interviene el IGAC, en los registros realizados por los apoderados en los formatos establecidos en los procedimientos. Si al momento de realizar el seguimiento, identifica memoriales próximos a vencerse, prioriza estos procesos. 
</t>
    </r>
    <r>
      <rPr>
        <b/>
        <sz val="11"/>
        <color theme="1"/>
        <rFont val="Arial"/>
        <family val="2"/>
      </rPr>
      <t>Periodicidad:</t>
    </r>
    <r>
      <rPr>
        <sz val="11"/>
        <color theme="1"/>
        <rFont val="Arial"/>
        <family val="2"/>
      </rPr>
      <t xml:space="preserve">Trimestralmente
</t>
    </r>
    <r>
      <rPr>
        <b/>
        <sz val="11"/>
        <color theme="1"/>
        <rFont val="Arial"/>
        <family val="2"/>
      </rPr>
      <t xml:space="preserve">Evidencia: </t>
    </r>
    <r>
      <rPr>
        <sz val="11"/>
        <color theme="1"/>
        <rFont val="Arial"/>
        <family val="2"/>
      </rPr>
      <t>Correos con alertas de vencimiento, para los abogados que lleven los diferentes procesos.</t>
    </r>
  </si>
  <si>
    <r>
      <t xml:space="preserve">El Responsable designado de la Oficina Asesora Jurídica en Sede Central y el Abogado en las Direcciones Territoriales, trimestralmente verifican y reportan al funcionario designado por la Oficina Asesora Jurídica el estado de los procesos a su cargo, quien consolidará en un archivo Excel dichos reportes.
</t>
    </r>
    <r>
      <rPr>
        <b/>
        <sz val="11"/>
        <color theme="1"/>
        <rFont val="Arial"/>
        <family val="2"/>
      </rPr>
      <t xml:space="preserve">Periodicidad: </t>
    </r>
    <r>
      <rPr>
        <sz val="11"/>
        <color theme="1"/>
        <rFont val="Arial"/>
        <family val="2"/>
      </rPr>
      <t xml:space="preserve">Trimestral
</t>
    </r>
    <r>
      <rPr>
        <b/>
        <sz val="11"/>
        <color theme="1"/>
        <rFont val="Arial"/>
        <family val="2"/>
      </rPr>
      <t xml:space="preserve">
Evidencia: </t>
    </r>
    <r>
      <rPr>
        <sz val="11"/>
        <color theme="1"/>
        <rFont val="Arial"/>
        <family val="2"/>
      </rPr>
      <t xml:space="preserve">
Sede Central: Matriz consolidada de estado de procesos judiciales
Direcciones Territoriales: 1.) Correo electrónico mensual con el envío de los registros de los formatos del estado de los procesos judiciales;  2.) Matriz consolidada trimestralmente, con los registros de los formatos del estado de los procesos judiciales</t>
    </r>
  </si>
  <si>
    <r>
      <t xml:space="preserve">El apoderado judicial  tanto en Sede Central como en Direcciones Territoriales, establecerá contacto con las áreas misionales o entidades mediante correo electrónico con el fin de coordinar y obtener insumo para la defensa de la entidad. 
</t>
    </r>
    <r>
      <rPr>
        <b/>
        <sz val="11"/>
        <color theme="1"/>
        <rFont val="Arial"/>
        <family val="2"/>
      </rPr>
      <t xml:space="preserve">Periodicidad: </t>
    </r>
    <r>
      <rPr>
        <sz val="11"/>
        <color theme="1"/>
        <rFont val="Arial"/>
        <family val="2"/>
      </rPr>
      <t xml:space="preserve">Semestral
</t>
    </r>
    <r>
      <rPr>
        <b/>
        <sz val="11"/>
        <color theme="1"/>
        <rFont val="Arial"/>
        <family val="2"/>
      </rPr>
      <t xml:space="preserve">
Evidencia:
Sede Central y Direcciones Territoriales: </t>
    </r>
    <r>
      <rPr>
        <sz val="11"/>
        <color theme="1"/>
        <rFont val="Arial"/>
        <family val="2"/>
      </rPr>
      <t xml:space="preserve"> Correo electrónico remitido por el apoderado a la dependencia de la entidad, o a otra entidad que también obre como demandada, dentro del proceso a su cargo (si aplica)</t>
    </r>
  </si>
  <si>
    <r>
      <t xml:space="preserve">El Secretario (a) Técnico (a) del Comité de Conciliación en la Sede Central deberá en los meses de febrero y Agosto verificará el cumplimiento de las actividades fijadas dentro de la PPDA, de conformidad con el cronograma de las mismas.
</t>
    </r>
    <r>
      <rPr>
        <b/>
        <sz val="11"/>
        <color theme="1"/>
        <rFont val="Arial"/>
        <family val="2"/>
      </rPr>
      <t xml:space="preserve">Periodicidad: </t>
    </r>
    <r>
      <rPr>
        <sz val="11"/>
        <color theme="1"/>
        <rFont val="Arial"/>
        <family val="2"/>
      </rPr>
      <t xml:space="preserve">Semestral
</t>
    </r>
    <r>
      <rPr>
        <b/>
        <sz val="11"/>
        <color theme="1"/>
        <rFont val="Arial"/>
        <family val="2"/>
      </rPr>
      <t xml:space="preserve">Evidencia:  </t>
    </r>
    <r>
      <rPr>
        <sz val="11"/>
        <color theme="1"/>
        <rFont val="Arial"/>
        <family val="2"/>
      </rPr>
      <t xml:space="preserve">Reporte de seguimiento del Modulo de PPDA en el Ekogui </t>
    </r>
  </si>
  <si>
    <r>
      <t xml:space="preserve">El Secretario (a) Técnico (a) del Comité de Conciliación en la Sede Central, trimestralmente informará a las áreas involucradas de los procesos prejudiciales o judiciales que tenga como hecho generador las causas priorizadas dentro de la PPDA, y semestralmente a los miembros del Comité de Conciliación de la entidad sobre nuevas demandas o solicitudes de conciliaciones por esas causas.
</t>
    </r>
    <r>
      <rPr>
        <b/>
        <sz val="11"/>
        <color theme="1"/>
        <rFont val="Arial"/>
        <family val="2"/>
      </rPr>
      <t xml:space="preserve">
Evidencia: </t>
    </r>
    <r>
      <rPr>
        <sz val="11"/>
        <color theme="1"/>
        <rFont val="Arial"/>
        <family val="2"/>
      </rPr>
      <t xml:space="preserve">Trimestralmente Correo electrónico o memorando enviado a las áreas y semestralmente acta Comité de Conciliación. </t>
    </r>
  </si>
  <si>
    <t>Afectación de la Imagén Institucional
Condenas
Aumento de la litigiosidad de la entidad que tengan como hecho generador las causas priorizadas en la PPDA</t>
  </si>
  <si>
    <t xml:space="preserve">Posibilidad de afectación Económica y perdida Reputacional por aumento en el volumen de demandas y condenas a la entidad por las causas que tiene  la Política de prevención del daño antijurídico - PPDA,debido a:
1. Falta de seguimiento a la realización de las actividades fijadas en la PPDA.
2. Falta de seguimiento a las conciliaciones prejudiciales, demandas y condenas a la entidad que tengan como hecho generador las causas priorizadas en al PPDA.  </t>
  </si>
  <si>
    <t>Afectación de la Imagen Institucional
Reprocesos</t>
  </si>
  <si>
    <t xml:space="preserve">El jefe de la Oficina de Control  Interno Disciplinario y  Directivo a cargo de la función de juzgamiento disciplinario, desde la Sede Central, hacen seguimiento semestral  a los procesos disciplinarios, con el propósito de determinar la existencia o no de conductas indebidas, por acción u omisión, para favorecer a servidores o ex servidores públicos en el adelantamiento de la acción disciplinaria.
Periodicidad: Semestral
Evidencia:  Documento registro de revisión de procesos de expedientes disciplinarios, de acuerdo al criterio del jefe de área, con el fin de determinar la existencia o no de conductas indebidas, por acción u omisión, para favorecer a servidores o ex servidores públicos en el adelantamiento de la acción disciplinaria... </t>
  </si>
  <si>
    <r>
      <t xml:space="preserve">
El funcionario o contratista con funciones de reparto y control de procesos en Sede Central, junto con el reparto  de los mismos verifica que elapoderado efectúe si aplica o no,  la  manifestación de conflicto de interés, inhabilidad o incompatibilidad para actuar en el proceso judicial. 
</t>
    </r>
    <r>
      <rPr>
        <b/>
        <sz val="11"/>
        <color theme="1"/>
        <rFont val="Arial"/>
        <family val="2"/>
      </rPr>
      <t xml:space="preserve">Periodicidad: </t>
    </r>
    <r>
      <rPr>
        <sz val="11"/>
        <color theme="1"/>
        <rFont val="Arial"/>
        <family val="2"/>
      </rPr>
      <t xml:space="preserve">Trimestral.
</t>
    </r>
    <r>
      <rPr>
        <b/>
        <sz val="11"/>
        <color theme="1"/>
        <rFont val="Arial"/>
        <family val="2"/>
      </rPr>
      <t>Evidencia:</t>
    </r>
    <r>
      <rPr>
        <sz val="11"/>
        <color theme="1"/>
        <rFont val="Arial"/>
        <family val="2"/>
      </rPr>
      <t xml:space="preserve"> Correo electrónico remitido al apoderado sobre  manifestación de conflicto de interés,  inhabilidad o incompatibilidad, y si aplica, la manifestación hecha por este por correo o memorando</t>
    </r>
  </si>
  <si>
    <r>
      <rPr>
        <b/>
        <sz val="11"/>
        <color theme="1"/>
        <rFont val="Arial"/>
        <family val="2"/>
      </rPr>
      <t xml:space="preserve">
Evidencia: </t>
    </r>
    <r>
      <rPr>
        <sz val="11"/>
        <color theme="1"/>
        <rFont val="Arial"/>
        <family val="2"/>
      </rPr>
      <t xml:space="preserve">Correo electrónico remitido al apoderado sobre  manifestación de conflicto de interés,  inhabilidad o incompatibilidad, y si aplica, la manifestación hecha por este por correo o memorando </t>
    </r>
  </si>
  <si>
    <t>1. No manifestación de conflicto de interés, inhabilidad o incompatibilidad para actuar dentro del proceso.</t>
  </si>
  <si>
    <t>Posibilidad de pérdida Reputacional por respuesta indebida o fuera de los términos legales a los  procesos judiciales, para beneficiar los intereses de un tercero debido a:
1. No manifestación de conflicto de interés, inhabilidad o incompatibilidad para actuar dentro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</si>
</sst>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2" x14ac:knownFonts="1">
    <font>
      <sz val="11"/>
      <color theme="1"/>
      <name val="Calibri"/>
      <family val="2"/>
      <scheme val="minor"/>
    </font>
    <font>
      <sz val="10"/>
      <color theme="1"/>
      <name val="Arial Narrow"/>
      <family val="2"/>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9"/>
      <color indexed="81"/>
      <name val="Tahoma"/>
      <family val="2"/>
    </font>
    <font>
      <b/>
      <sz val="10"/>
      <color theme="1"/>
      <name val="Arial Narrow"/>
      <family val="2"/>
    </font>
    <font>
      <b/>
      <sz val="9"/>
      <color indexed="81"/>
      <name val="Tahoma"/>
      <family val="2"/>
    </font>
    <font>
      <b/>
      <sz val="10"/>
      <color rgb="FF000000"/>
      <name val="Arial Narrow"/>
      <family val="2"/>
    </font>
    <font>
      <sz val="9"/>
      <color indexed="81"/>
      <name val="Arial Narrow"/>
      <family val="2"/>
    </font>
    <font>
      <b/>
      <sz val="11"/>
      <color theme="1"/>
      <name val="Arial"/>
      <family val="2"/>
    </font>
    <font>
      <b/>
      <sz val="11"/>
      <name val="Arial"/>
      <family val="2"/>
    </font>
    <font>
      <sz val="11"/>
      <name val="Arial"/>
      <family val="2"/>
    </font>
    <font>
      <b/>
      <sz val="12"/>
      <name val="Arial"/>
      <family val="2"/>
    </font>
    <font>
      <b/>
      <sz val="10"/>
      <name val="Arial"/>
      <family val="2"/>
    </font>
    <font>
      <sz val="11"/>
      <color theme="1"/>
      <name val="Arial"/>
      <family val="2"/>
    </font>
    <font>
      <b/>
      <u/>
      <sz val="11"/>
      <name val="Arial"/>
      <family val="2"/>
    </font>
    <font>
      <b/>
      <sz val="11"/>
      <color theme="1"/>
      <name val="Calibri"/>
      <family val="2"/>
      <scheme val="minor"/>
    </font>
    <font>
      <b/>
      <sz val="16"/>
      <color theme="1"/>
      <name val="Calibri"/>
      <family val="2"/>
      <scheme val="minor"/>
    </font>
    <font>
      <b/>
      <sz val="18"/>
      <color theme="1"/>
      <name val="Calibri"/>
      <family val="2"/>
      <scheme val="minor"/>
    </font>
    <font>
      <b/>
      <sz val="8"/>
      <color theme="1"/>
      <name val="Arial"/>
      <family val="2"/>
    </font>
    <font>
      <sz val="8"/>
      <color theme="1"/>
      <name val="Arial"/>
      <family val="2"/>
    </font>
    <font>
      <sz val="11"/>
      <color indexed="8"/>
      <name val="Calibri"/>
      <family val="2"/>
    </font>
    <font>
      <sz val="11"/>
      <color indexed="8"/>
      <name val="Calibri"/>
      <family val="2"/>
      <scheme val="minor"/>
    </font>
    <font>
      <b/>
      <sz val="10"/>
      <name val="Calibri"/>
      <family val="2"/>
      <scheme val="minor"/>
    </font>
    <font>
      <sz val="9"/>
      <color theme="1"/>
      <name val="Calibri"/>
      <family val="2"/>
      <scheme val="minor"/>
    </font>
    <font>
      <sz val="10"/>
      <color rgb="FF000000"/>
      <name val="Calibri"/>
      <family val="2"/>
      <scheme val="minor"/>
    </font>
    <font>
      <b/>
      <sz val="11"/>
      <color theme="9" tint="-0.249977111117893"/>
      <name val="Arial"/>
      <family val="2"/>
    </font>
    <font>
      <sz val="11"/>
      <color theme="9" tint="-0.249977111117893"/>
      <name val="Arial"/>
      <family val="2"/>
    </font>
    <font>
      <b/>
      <sz val="11"/>
      <color theme="0"/>
      <name val="Arial"/>
      <family val="2"/>
    </font>
    <font>
      <b/>
      <sz val="11"/>
      <color indexed="8"/>
      <name val="Arial"/>
      <family val="2"/>
    </font>
    <font>
      <sz val="9"/>
      <color rgb="FF0D0D0D"/>
      <name val="Arial"/>
      <family val="2"/>
    </font>
    <font>
      <b/>
      <sz val="12"/>
      <color indexed="81"/>
      <name val="Tahoma"/>
      <family val="2"/>
    </font>
    <font>
      <sz val="12"/>
      <color indexed="81"/>
      <name val="Tahoma"/>
      <family val="2"/>
    </font>
    <font>
      <sz val="10"/>
      <color rgb="FF0D0D0D"/>
      <name val="Arial Narrow"/>
      <family val="2"/>
    </font>
    <font>
      <sz val="12"/>
      <color rgb="FF0D0D0D"/>
      <name val="Arial Narrow"/>
      <family val="2"/>
    </font>
    <font>
      <b/>
      <sz val="11"/>
      <name val="Onyx"/>
      <family val="5"/>
    </font>
    <font>
      <b/>
      <sz val="16"/>
      <color theme="0"/>
      <name val="Arial"/>
      <family val="2"/>
    </font>
    <font>
      <sz val="11"/>
      <color rgb="FFFF0000"/>
      <name val="Arial"/>
      <family val="2"/>
    </font>
  </fonts>
  <fills count="3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lightUp">
        <fgColor theme="0" tint="-0.14996795556505021"/>
        <bgColor theme="4" tint="0.59996337778862885"/>
      </patternFill>
    </fill>
    <fill>
      <patternFill patternType="solid">
        <fgColor rgb="FFEE8036"/>
        <bgColor indexed="64"/>
      </patternFill>
    </fill>
    <fill>
      <patternFill patternType="solid">
        <fgColor theme="2" tint="-0.249977111117893"/>
        <bgColor indexed="64"/>
      </patternFill>
    </fill>
    <fill>
      <patternFill patternType="lightUp">
        <fgColor theme="0" tint="-0.14996795556505021"/>
        <bgColor rgb="FFFFC00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0.34998626667073579"/>
        <bgColor indexed="64"/>
      </patternFill>
    </fill>
  </fills>
  <borders count="107">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medium">
        <color indexed="64"/>
      </left>
      <right style="medium">
        <color indexed="64"/>
      </right>
      <top style="dashed">
        <color theme="9" tint="-0.24994659260841701"/>
      </top>
      <bottom/>
      <diagonal/>
    </border>
    <border>
      <left/>
      <right style="dashed">
        <color theme="9" tint="-0.24994659260841701"/>
      </right>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style="medium">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theme="0" tint="-0.24994659260841701"/>
      </left>
      <right style="medium">
        <color theme="0" tint="-0.24994659260841701"/>
      </right>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medium">
        <color indexed="64"/>
      </left>
      <right style="medium">
        <color indexed="64"/>
      </right>
      <top style="dashed">
        <color theme="9" tint="-0.24994659260841701"/>
      </top>
      <bottom style="medium">
        <color indexed="64"/>
      </bottom>
      <diagonal/>
    </border>
    <border>
      <left/>
      <right style="medium">
        <color indexed="64"/>
      </right>
      <top style="medium">
        <color indexed="64"/>
      </top>
      <bottom style="dashed">
        <color theme="9" tint="-0.24994659260841701"/>
      </bottom>
      <diagonal/>
    </border>
    <border>
      <left style="dashed">
        <color theme="9" tint="-0.24994659260841701"/>
      </left>
      <right style="medium">
        <color indexed="64"/>
      </right>
      <top style="dashed">
        <color theme="9" tint="-0.24994659260841701"/>
      </top>
      <bottom/>
      <diagonal/>
    </border>
    <border>
      <left style="dashed">
        <color theme="9" tint="-0.24994659260841701"/>
      </left>
      <right style="medium">
        <color indexed="64"/>
      </right>
      <top style="dashed">
        <color theme="9" tint="-0.24994659260841701"/>
      </top>
      <bottom style="medium">
        <color indexed="64"/>
      </bottom>
      <diagonal/>
    </border>
    <border>
      <left/>
      <right style="dashed">
        <color theme="9" tint="-0.24994659260841701"/>
      </right>
      <top/>
      <bottom style="medium">
        <color indexed="64"/>
      </bottom>
      <diagonal/>
    </border>
    <border>
      <left style="dashed">
        <color theme="9" tint="-0.24994659260841701"/>
      </left>
      <right style="dashed">
        <color theme="9" tint="-0.24994659260841701"/>
      </right>
      <top/>
      <bottom style="medium">
        <color indexed="64"/>
      </bottom>
      <diagonal/>
    </border>
  </borders>
  <cellStyleXfs count="8">
    <xf numFmtId="0" fontId="0" fillId="0" borderId="0"/>
    <xf numFmtId="9" fontId="15" fillId="0" borderId="0" applyFont="0" applyFill="0" applyBorder="0" applyAlignment="0" applyProtection="0"/>
    <xf numFmtId="0" fontId="47" fillId="0" borderId="0"/>
    <xf numFmtId="0" fontId="48" fillId="0" borderId="0"/>
    <xf numFmtId="0" fontId="6" fillId="0" borderId="0"/>
    <xf numFmtId="0" fontId="36" fillId="0" borderId="0"/>
    <xf numFmtId="0" fontId="47" fillId="0" borderId="0"/>
    <xf numFmtId="0" fontId="75" fillId="0" borderId="0"/>
  </cellStyleXfs>
  <cellXfs count="759">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2" borderId="0" xfId="0" applyFont="1" applyFill="1"/>
    <xf numFmtId="0" fontId="9" fillId="0" borderId="0" xfId="0" applyFont="1" applyAlignment="1">
      <alignment horizontal="center" vertical="center" wrapText="1"/>
    </xf>
    <xf numFmtId="0" fontId="10" fillId="5" borderId="0" xfId="0" applyFont="1" applyFill="1" applyAlignment="1">
      <alignment horizontal="center" vertical="center" wrapText="1" readingOrder="1"/>
    </xf>
    <xf numFmtId="0" fontId="11" fillId="4" borderId="2" xfId="0" applyFont="1" applyFill="1" applyBorder="1" applyAlignment="1">
      <alignment horizontal="center" vertical="center" wrapText="1" readingOrder="1"/>
    </xf>
    <xf numFmtId="0" fontId="11" fillId="0" borderId="2" xfId="0" applyFont="1" applyBorder="1" applyAlignment="1">
      <alignment horizontal="justify" vertical="center" wrapText="1" readingOrder="1"/>
    </xf>
    <xf numFmtId="9" fontId="11" fillId="0" borderId="2" xfId="0" applyNumberFormat="1" applyFont="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3" borderId="1" xfId="0" applyFont="1" applyFill="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2" fillId="8" borderId="1" xfId="0" applyFont="1" applyFill="1" applyBorder="1" applyAlignment="1">
      <alignment horizontal="center" vertical="center" wrapText="1" readingOrder="1"/>
    </xf>
    <xf numFmtId="0" fontId="16" fillId="0" borderId="0" xfId="0" applyFont="1"/>
    <xf numFmtId="0" fontId="14" fillId="0" borderId="0" xfId="0" applyFont="1"/>
    <xf numFmtId="0" fontId="5" fillId="2" borderId="0" xfId="0" applyFont="1" applyFill="1" applyAlignment="1">
      <alignment horizontal="center"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5" borderId="0" xfId="0" applyFont="1" applyFill="1" applyAlignment="1">
      <alignment horizontal="center" vertical="center" wrapText="1" readingOrder="1"/>
    </xf>
    <xf numFmtId="0" fontId="33" fillId="0" borderId="2"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4" borderId="2" xfId="0" applyFont="1" applyFill="1" applyBorder="1" applyAlignment="1">
      <alignment horizontal="center" vertical="center" wrapText="1" readingOrder="1"/>
    </xf>
    <xf numFmtId="0" fontId="33" fillId="6" borderId="1" xfId="0" applyFont="1" applyFill="1" applyBorder="1" applyAlignment="1">
      <alignment horizontal="center" vertical="center" wrapText="1" readingOrder="1"/>
    </xf>
    <xf numFmtId="0" fontId="33" fillId="3" borderId="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3" fillId="0" borderId="2"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0" borderId="3" xfId="0" applyFont="1" applyFill="1" applyBorder="1" applyAlignment="1" applyProtection="1">
      <alignment horizontal="center" vertical="center" wrapText="1" readingOrder="1"/>
      <protection hidden="1"/>
    </xf>
    <xf numFmtId="0" fontId="20" fillId="10" borderId="10" xfId="0" applyFont="1" applyFill="1" applyBorder="1" applyAlignment="1" applyProtection="1">
      <alignment horizontal="center" vertical="center" wrapText="1" readingOrder="1"/>
      <protection hidden="1"/>
    </xf>
    <xf numFmtId="0" fontId="20" fillId="10" borderId="4" xfId="0" applyFont="1" applyFill="1" applyBorder="1" applyAlignment="1" applyProtection="1">
      <alignment horizontal="center" vertical="center" wrapText="1" readingOrder="1"/>
      <protection hidden="1"/>
    </xf>
    <xf numFmtId="0" fontId="20" fillId="11" borderId="3" xfId="0" applyFont="1" applyFill="1" applyBorder="1" applyAlignment="1" applyProtection="1">
      <alignment horizontal="center" wrapText="1" readingOrder="1"/>
      <protection hidden="1"/>
    </xf>
    <xf numFmtId="0" fontId="20" fillId="11" borderId="10" xfId="0" applyFont="1" applyFill="1" applyBorder="1" applyAlignment="1" applyProtection="1">
      <alignment horizontal="center" wrapText="1" readingOrder="1"/>
      <protection hidden="1"/>
    </xf>
    <xf numFmtId="0" fontId="20" fillId="11" borderId="4" xfId="0" applyFont="1" applyFill="1" applyBorder="1" applyAlignment="1" applyProtection="1">
      <alignment horizontal="center" wrapText="1" readingOrder="1"/>
      <protection hidden="1"/>
    </xf>
    <xf numFmtId="0" fontId="20" fillId="10" borderId="5" xfId="0" applyFont="1" applyFill="1" applyBorder="1" applyAlignment="1" applyProtection="1">
      <alignment horizontal="center" vertical="center" wrapText="1" readingOrder="1"/>
      <protection hidden="1"/>
    </xf>
    <xf numFmtId="0" fontId="20" fillId="10" borderId="0" xfId="0" applyFont="1" applyFill="1" applyAlignment="1" applyProtection="1">
      <alignment horizontal="center" vertical="center" wrapText="1" readingOrder="1"/>
      <protection hidden="1"/>
    </xf>
    <xf numFmtId="0" fontId="20" fillId="10" borderId="6"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wrapText="1" readingOrder="1"/>
      <protection hidden="1"/>
    </xf>
    <xf numFmtId="0" fontId="20" fillId="11" borderId="0" xfId="0" applyFont="1" applyFill="1" applyAlignment="1" applyProtection="1">
      <alignment horizontal="center" wrapText="1" readingOrder="1"/>
      <protection hidden="1"/>
    </xf>
    <xf numFmtId="0" fontId="20" fillId="11" borderId="6" xfId="0" applyFont="1" applyFill="1" applyBorder="1" applyAlignment="1" applyProtection="1">
      <alignment horizontal="center" wrapText="1" readingOrder="1"/>
      <protection hidden="1"/>
    </xf>
    <xf numFmtId="0" fontId="20" fillId="10" borderId="7" xfId="0" applyFont="1" applyFill="1" applyBorder="1" applyAlignment="1" applyProtection="1">
      <alignment horizontal="center" vertical="center" wrapText="1" readingOrder="1"/>
      <protection hidden="1"/>
    </xf>
    <xf numFmtId="0" fontId="20" fillId="10" borderId="9" xfId="0" applyFont="1" applyFill="1" applyBorder="1" applyAlignment="1" applyProtection="1">
      <alignment horizontal="center" vertical="center" wrapText="1" readingOrder="1"/>
      <protection hidden="1"/>
    </xf>
    <xf numFmtId="0" fontId="20" fillId="10" borderId="8"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wrapText="1" readingOrder="1"/>
      <protection hidden="1"/>
    </xf>
    <xf numFmtId="0" fontId="20" fillId="11" borderId="9" xfId="0" applyFont="1" applyFill="1" applyBorder="1" applyAlignment="1" applyProtection="1">
      <alignment horizontal="center" wrapText="1" readingOrder="1"/>
      <protection hidden="1"/>
    </xf>
    <xf numFmtId="0" fontId="20" fillId="11" borderId="8" xfId="0" applyFont="1" applyFill="1" applyBorder="1" applyAlignment="1" applyProtection="1">
      <alignment horizontal="center" wrapText="1" readingOrder="1"/>
      <protection hidden="1"/>
    </xf>
    <xf numFmtId="0" fontId="20" fillId="12" borderId="3"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4"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4" borderId="3" xfId="0" applyFont="1" applyFill="1" applyBorder="1" applyAlignment="1" applyProtection="1">
      <alignment horizontal="center" wrapText="1" readingOrder="1"/>
      <protection hidden="1"/>
    </xf>
    <xf numFmtId="0" fontId="20" fillId="4" borderId="10" xfId="0" applyFont="1" applyFill="1" applyBorder="1" applyAlignment="1" applyProtection="1">
      <alignment horizontal="center" wrapText="1" readingOrder="1"/>
      <protection hidden="1"/>
    </xf>
    <xf numFmtId="0" fontId="20" fillId="4" borderId="4" xfId="0" applyFont="1" applyFill="1" applyBorder="1" applyAlignment="1" applyProtection="1">
      <alignment horizontal="center" wrapText="1" readingOrder="1"/>
      <protection hidden="1"/>
    </xf>
    <xf numFmtId="0" fontId="20" fillId="4" borderId="5" xfId="0" applyFont="1" applyFill="1" applyBorder="1" applyAlignment="1" applyProtection="1">
      <alignment horizontal="center" wrapText="1" readingOrder="1"/>
      <protection hidden="1"/>
    </xf>
    <xf numFmtId="0" fontId="20" fillId="4" borderId="0" xfId="0" applyFont="1" applyFill="1" applyAlignment="1" applyProtection="1">
      <alignment horizontal="center" wrapText="1" readingOrder="1"/>
      <protection hidden="1"/>
    </xf>
    <xf numFmtId="0" fontId="20" fillId="4" borderId="6" xfId="0" applyFont="1" applyFill="1" applyBorder="1" applyAlignment="1" applyProtection="1">
      <alignment horizontal="center" wrapText="1" readingOrder="1"/>
      <protection hidden="1"/>
    </xf>
    <xf numFmtId="0" fontId="20" fillId="4" borderId="7" xfId="0" applyFont="1" applyFill="1" applyBorder="1" applyAlignment="1" applyProtection="1">
      <alignment horizontal="center" wrapText="1" readingOrder="1"/>
      <protection hidden="1"/>
    </xf>
    <xf numFmtId="0" fontId="20" fillId="4" borderId="9" xfId="0" applyFont="1" applyFill="1" applyBorder="1" applyAlignment="1" applyProtection="1">
      <alignment horizontal="center" wrapText="1" readingOrder="1"/>
      <protection hidden="1"/>
    </xf>
    <xf numFmtId="0" fontId="20" fillId="4" borderId="8" xfId="0" applyFont="1" applyFill="1" applyBorder="1" applyAlignment="1" applyProtection="1">
      <alignment horizontal="center" wrapText="1" readingOrder="1"/>
      <protection hidden="1"/>
    </xf>
    <xf numFmtId="0" fontId="24" fillId="12" borderId="10" xfId="0" applyFont="1" applyFill="1" applyBorder="1" applyAlignment="1" applyProtection="1">
      <alignment horizontal="center" wrapText="1" readingOrder="1"/>
      <protection hidden="1"/>
    </xf>
    <xf numFmtId="0" fontId="0" fillId="2" borderId="0" xfId="0" applyFill="1"/>
    <xf numFmtId="0" fontId="49" fillId="2" borderId="37" xfId="2" applyFont="1" applyFill="1" applyBorder="1"/>
    <xf numFmtId="0" fontId="49" fillId="2" borderId="38" xfId="2" applyFont="1" applyFill="1" applyBorder="1"/>
    <xf numFmtId="0" fontId="49" fillId="2" borderId="39" xfId="2" applyFont="1" applyFill="1" applyBorder="1"/>
    <xf numFmtId="0" fontId="17" fillId="2" borderId="0" xfId="0" applyFont="1" applyFill="1" applyAlignment="1">
      <alignment vertical="center"/>
    </xf>
    <xf numFmtId="0" fontId="6" fillId="2" borderId="0" xfId="0" applyFont="1" applyFill="1"/>
    <xf numFmtId="0" fontId="36" fillId="2" borderId="0" xfId="0" applyFont="1" applyFill="1"/>
    <xf numFmtId="0" fontId="37" fillId="2" borderId="20" xfId="0" applyFont="1" applyFill="1" applyBorder="1" applyAlignment="1">
      <alignment horizontal="center" vertical="center" wrapText="1" readingOrder="1"/>
    </xf>
    <xf numFmtId="0" fontId="38" fillId="2" borderId="20" xfId="0" applyFont="1" applyFill="1" applyBorder="1" applyAlignment="1">
      <alignment horizontal="justify" vertical="center" wrapText="1" readingOrder="1"/>
    </xf>
    <xf numFmtId="9" fontId="37" fillId="2" borderId="29" xfId="0" applyNumberFormat="1" applyFont="1" applyFill="1" applyBorder="1" applyAlignment="1">
      <alignment horizontal="center" vertical="center" wrapText="1" readingOrder="1"/>
    </xf>
    <xf numFmtId="0" fontId="37" fillId="2" borderId="19" xfId="0" applyFont="1" applyFill="1" applyBorder="1" applyAlignment="1">
      <alignment horizontal="center" vertical="center" wrapText="1" readingOrder="1"/>
    </xf>
    <xf numFmtId="0" fontId="38" fillId="2" borderId="19" xfId="0" applyFont="1" applyFill="1" applyBorder="1" applyAlignment="1">
      <alignment horizontal="justify" vertical="center" wrapText="1" readingOrder="1"/>
    </xf>
    <xf numFmtId="9" fontId="37" fillId="2" borderId="24" xfId="0" applyNumberFormat="1" applyFont="1" applyFill="1" applyBorder="1" applyAlignment="1">
      <alignment horizontal="center" vertical="center" wrapText="1" readingOrder="1"/>
    </xf>
    <xf numFmtId="0" fontId="38" fillId="2" borderId="24" xfId="0" applyFont="1" applyFill="1" applyBorder="1" applyAlignment="1">
      <alignment horizontal="center" vertical="center" wrapText="1" readingOrder="1"/>
    </xf>
    <xf numFmtId="0" fontId="37" fillId="2" borderId="26" xfId="0" applyFont="1" applyFill="1" applyBorder="1" applyAlignment="1">
      <alignment horizontal="center" vertical="center" wrapText="1" readingOrder="1"/>
    </xf>
    <xf numFmtId="0" fontId="38" fillId="2" borderId="26" xfId="0" applyFont="1" applyFill="1" applyBorder="1" applyAlignment="1">
      <alignment horizontal="justify" vertical="center" wrapText="1" readingOrder="1"/>
    </xf>
    <xf numFmtId="0" fontId="38" fillId="2" borderId="27" xfId="0" applyFont="1" applyFill="1" applyBorder="1" applyAlignment="1">
      <alignment horizontal="center" vertical="center" wrapText="1" readingOrder="1"/>
    </xf>
    <xf numFmtId="0" fontId="46" fillId="2" borderId="0" xfId="0" applyFont="1" applyFill="1"/>
    <xf numFmtId="0" fontId="37" fillId="14" borderId="31" xfId="0" applyFont="1" applyFill="1" applyBorder="1" applyAlignment="1">
      <alignment horizontal="center" vertical="center" wrapText="1" readingOrder="1"/>
    </xf>
    <xf numFmtId="0" fontId="37" fillId="14" borderId="32" xfId="0" applyFont="1" applyFill="1" applyBorder="1" applyAlignment="1">
      <alignment horizontal="center" vertical="center" wrapText="1" readingOrder="1"/>
    </xf>
    <xf numFmtId="0" fontId="14" fillId="2" borderId="0" xfId="0" applyFont="1" applyFill="1"/>
    <xf numFmtId="0" fontId="31" fillId="2" borderId="0" xfId="0" applyFont="1" applyFill="1" applyAlignment="1">
      <alignment horizontal="center" vertical="center" wrapText="1"/>
    </xf>
    <xf numFmtId="0" fontId="13" fillId="2" borderId="0" xfId="0" applyFont="1" applyFill="1" applyAlignment="1">
      <alignment horizontal="justify" vertical="center" wrapText="1" readingOrder="1"/>
    </xf>
    <xf numFmtId="0" fontId="5" fillId="2" borderId="0" xfId="0" applyFont="1" applyFill="1" applyAlignment="1">
      <alignment vertical="center"/>
    </xf>
    <xf numFmtId="0" fontId="16" fillId="2" borderId="0" xfId="0" applyFont="1" applyFill="1"/>
    <xf numFmtId="0" fontId="5" fillId="2" borderId="0" xfId="0" applyFont="1" applyFill="1" applyAlignment="1">
      <alignment horizontal="left" vertical="center"/>
    </xf>
    <xf numFmtId="0" fontId="49" fillId="2" borderId="5" xfId="2" applyFont="1" applyFill="1" applyBorder="1"/>
    <xf numFmtId="0" fontId="54" fillId="2" borderId="0" xfId="0" applyFont="1" applyFill="1" applyAlignment="1">
      <alignment horizontal="left" vertical="center" wrapText="1"/>
    </xf>
    <xf numFmtId="0" fontId="55" fillId="2" borderId="0" xfId="0" applyFont="1" applyFill="1" applyAlignment="1">
      <alignment horizontal="left" vertical="top" wrapText="1"/>
    </xf>
    <xf numFmtId="0" fontId="49" fillId="2" borderId="0" xfId="2" applyFont="1" applyFill="1"/>
    <xf numFmtId="0" fontId="49" fillId="2" borderId="6" xfId="2" applyFont="1" applyFill="1" applyBorder="1"/>
    <xf numFmtId="0" fontId="49" fillId="2" borderId="7" xfId="2" applyFont="1" applyFill="1" applyBorder="1"/>
    <xf numFmtId="0" fontId="49" fillId="2" borderId="9" xfId="2" applyFont="1" applyFill="1" applyBorder="1"/>
    <xf numFmtId="0" fontId="49" fillId="2" borderId="8" xfId="2" applyFont="1" applyFill="1" applyBorder="1"/>
    <xf numFmtId="0" fontId="53" fillId="2" borderId="0" xfId="2" applyFont="1" applyFill="1" applyAlignment="1">
      <alignment horizontal="left" vertical="center" wrapText="1"/>
    </xf>
    <xf numFmtId="0" fontId="49" fillId="2" borderId="0" xfId="2" applyFont="1" applyFill="1" applyAlignment="1">
      <alignment horizontal="left" vertical="center" wrapText="1"/>
    </xf>
    <xf numFmtId="0" fontId="49" fillId="2" borderId="0" xfId="2" quotePrefix="1" applyFont="1" applyFill="1" applyAlignment="1">
      <alignment horizontal="left" vertical="center" wrapText="1"/>
    </xf>
    <xf numFmtId="0" fontId="51" fillId="2" borderId="5" xfId="2" quotePrefix="1" applyFont="1" applyFill="1" applyBorder="1" applyAlignment="1">
      <alignment horizontal="left" vertical="top" wrapText="1"/>
    </xf>
    <xf numFmtId="0" fontId="52" fillId="2" borderId="0" xfId="2" quotePrefix="1" applyFont="1" applyFill="1" applyAlignment="1">
      <alignment horizontal="left" vertical="top" wrapText="1"/>
    </xf>
    <xf numFmtId="0" fontId="52" fillId="2" borderId="6" xfId="2" quotePrefix="1" applyFont="1" applyFill="1" applyBorder="1" applyAlignment="1">
      <alignment horizontal="left" vertical="top" wrapText="1"/>
    </xf>
    <xf numFmtId="0" fontId="2" fillId="0" borderId="0" xfId="0" applyFont="1" applyAlignment="1">
      <alignment horizontal="center" vertical="center" wrapText="1"/>
    </xf>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0" fillId="0" borderId="0" xfId="0" applyAlignment="1">
      <alignment wrapText="1"/>
    </xf>
    <xf numFmtId="0" fontId="7" fillId="0" borderId="19" xfId="0" applyFont="1" applyBorder="1" applyAlignment="1">
      <alignment horizontal="center"/>
    </xf>
    <xf numFmtId="0" fontId="49" fillId="0" borderId="19" xfId="0" applyFont="1" applyBorder="1" applyAlignment="1">
      <alignment horizontal="center"/>
    </xf>
    <xf numFmtId="0" fontId="7" fillId="0" borderId="0" xfId="0" applyFont="1" applyAlignment="1">
      <alignment wrapText="1"/>
    </xf>
    <xf numFmtId="0" fontId="49"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53" fillId="15" borderId="19"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19" xfId="0" applyFont="1" applyBorder="1" applyAlignment="1">
      <alignment horizontal="center" wrapText="1"/>
    </xf>
    <xf numFmtId="0" fontId="7" fillId="0" borderId="19" xfId="0" applyFont="1" applyBorder="1" applyAlignment="1">
      <alignment horizontal="center" vertical="center" wrapText="1"/>
    </xf>
    <xf numFmtId="0" fontId="61" fillId="15" borderId="19" xfId="0" applyFont="1" applyFill="1" applyBorder="1" applyAlignment="1">
      <alignment horizontal="center" vertical="center" wrapText="1"/>
    </xf>
    <xf numFmtId="0" fontId="59" fillId="15" borderId="19" xfId="0" applyFont="1" applyFill="1" applyBorder="1" applyAlignment="1">
      <alignment horizontal="center" vertical="center"/>
    </xf>
    <xf numFmtId="0" fontId="59" fillId="15" borderId="19" xfId="0" applyFont="1" applyFill="1" applyBorder="1" applyAlignment="1">
      <alignment horizontal="center" vertical="center" wrapText="1"/>
    </xf>
    <xf numFmtId="0" fontId="7" fillId="2" borderId="0" xfId="0" applyFont="1" applyFill="1"/>
    <xf numFmtId="0" fontId="7" fillId="0" borderId="0" xfId="0" applyFont="1" applyAlignment="1">
      <alignment horizontal="center" vertical="center" wrapText="1"/>
    </xf>
    <xf numFmtId="0" fontId="61" fillId="16" borderId="19" xfId="0" applyFont="1" applyFill="1" applyBorder="1" applyAlignment="1">
      <alignment horizontal="center" vertical="center" wrapText="1"/>
    </xf>
    <xf numFmtId="0" fontId="0" fillId="0" borderId="19" xfId="0" applyBorder="1"/>
    <xf numFmtId="0" fontId="0" fillId="0" borderId="0" xfId="0" applyAlignment="1">
      <alignment horizontal="center"/>
    </xf>
    <xf numFmtId="0" fontId="47" fillId="2" borderId="0" xfId="2" applyFill="1" applyAlignment="1">
      <alignment horizontal="left" vertical="center" wrapText="1"/>
    </xf>
    <xf numFmtId="0" fontId="47" fillId="2" borderId="0" xfId="2" applyFill="1"/>
    <xf numFmtId="0" fontId="2" fillId="0" borderId="0" xfId="0" applyFont="1" applyAlignment="1">
      <alignment horizontal="justify" vertical="center" wrapText="1"/>
    </xf>
    <xf numFmtId="0" fontId="0" fillId="0" borderId="0" xfId="0" applyAlignment="1">
      <alignment horizontal="center" vertical="center"/>
    </xf>
    <xf numFmtId="0" fontId="64" fillId="2" borderId="0" xfId="2" applyFont="1" applyFill="1" applyAlignment="1">
      <alignment vertical="center"/>
    </xf>
    <xf numFmtId="0" fontId="17" fillId="0" borderId="0" xfId="0" applyFont="1" applyAlignment="1">
      <alignment vertical="center"/>
    </xf>
    <xf numFmtId="0" fontId="0" fillId="0" borderId="19" xfId="0" applyBorder="1" applyAlignment="1">
      <alignment horizontal="center" vertical="center"/>
    </xf>
    <xf numFmtId="0" fontId="70" fillId="0" borderId="19" xfId="0" applyFont="1" applyBorder="1" applyAlignment="1">
      <alignment horizontal="center" vertical="center"/>
    </xf>
    <xf numFmtId="0" fontId="0" fillId="14" borderId="19" xfId="0" applyFill="1" applyBorder="1" applyAlignment="1">
      <alignment horizontal="center" vertical="center"/>
    </xf>
    <xf numFmtId="0" fontId="0" fillId="0" borderId="19" xfId="0" applyBorder="1" applyAlignment="1">
      <alignment horizontal="center" vertical="center" wrapText="1"/>
    </xf>
    <xf numFmtId="9" fontId="0" fillId="0" borderId="19" xfId="0" applyNumberFormat="1" applyBorder="1" applyAlignment="1">
      <alignment horizontal="center" vertical="center"/>
    </xf>
    <xf numFmtId="9" fontId="0" fillId="0" borderId="19" xfId="0" applyNumberFormat="1" applyBorder="1" applyAlignment="1">
      <alignment horizontal="center" vertical="center" wrapText="1"/>
    </xf>
    <xf numFmtId="0" fontId="14" fillId="8" borderId="19" xfId="0" applyFont="1" applyFill="1" applyBorder="1" applyAlignment="1">
      <alignment horizontal="center" vertical="center" wrapText="1"/>
    </xf>
    <xf numFmtId="0" fontId="14" fillId="0" borderId="19" xfId="0" applyFont="1" applyBorder="1" applyAlignment="1">
      <alignment horizontal="center" vertical="center"/>
    </xf>
    <xf numFmtId="0" fontId="0" fillId="23" borderId="19" xfId="0" applyFill="1" applyBorder="1" applyAlignment="1">
      <alignment horizontal="center" vertical="center"/>
    </xf>
    <xf numFmtId="9" fontId="0" fillId="8" borderId="19" xfId="0" applyNumberFormat="1" applyFill="1" applyBorder="1" applyAlignment="1">
      <alignment horizontal="center" vertical="center"/>
    </xf>
    <xf numFmtId="0" fontId="0" fillId="8" borderId="0" xfId="0" applyFill="1" applyAlignment="1">
      <alignment horizontal="center" vertical="center"/>
    </xf>
    <xf numFmtId="0" fontId="0" fillId="13" borderId="19" xfId="0" applyFill="1" applyBorder="1" applyAlignment="1">
      <alignment horizontal="center" vertical="center"/>
    </xf>
    <xf numFmtId="0" fontId="0" fillId="7" borderId="19" xfId="0" applyFill="1" applyBorder="1" applyAlignment="1">
      <alignment horizontal="center" vertical="center"/>
    </xf>
    <xf numFmtId="9" fontId="0" fillId="3" borderId="19" xfId="0" applyNumberFormat="1" applyFill="1" applyBorder="1" applyAlignment="1">
      <alignment horizontal="center" vertical="center"/>
    </xf>
    <xf numFmtId="0" fontId="0" fillId="23" borderId="0" xfId="0" applyFill="1" applyAlignment="1">
      <alignment horizontal="center" vertical="center"/>
    </xf>
    <xf numFmtId="0" fontId="0" fillId="3" borderId="19" xfId="0" applyFill="1" applyBorder="1" applyAlignment="1">
      <alignment horizontal="center" vertical="center"/>
    </xf>
    <xf numFmtId="0" fontId="0" fillId="3" borderId="0" xfId="0" applyFill="1" applyAlignment="1">
      <alignment horizontal="center" vertical="center"/>
    </xf>
    <xf numFmtId="9" fontId="0" fillId="14" borderId="19" xfId="0" applyNumberFormat="1" applyFill="1" applyBorder="1" applyAlignment="1">
      <alignment horizontal="center" vertical="center"/>
    </xf>
    <xf numFmtId="0" fontId="0" fillId="14" borderId="0" xfId="0" applyFill="1" applyAlignment="1">
      <alignment horizontal="center" vertical="center"/>
    </xf>
    <xf numFmtId="0" fontId="14" fillId="8" borderId="19" xfId="0" applyFont="1" applyFill="1" applyBorder="1" applyAlignment="1">
      <alignment horizontal="center" vertical="center"/>
    </xf>
    <xf numFmtId="0" fontId="0" fillId="14" borderId="19" xfId="0" applyFill="1" applyBorder="1" applyAlignment="1">
      <alignment horizontal="center" vertical="center" wrapText="1"/>
    </xf>
    <xf numFmtId="0" fontId="14" fillId="0" borderId="0" xfId="0" applyFon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9" fontId="0" fillId="0" borderId="0" xfId="0" applyNumberFormat="1" applyAlignment="1">
      <alignment horizontal="center" vertical="center" wrapText="1"/>
    </xf>
    <xf numFmtId="0" fontId="70" fillId="0" borderId="19" xfId="0" applyFont="1" applyBorder="1" applyAlignment="1">
      <alignment horizontal="center"/>
    </xf>
    <xf numFmtId="0" fontId="0" fillId="0" borderId="19" xfId="0" applyBorder="1" applyAlignment="1">
      <alignment horizontal="center"/>
    </xf>
    <xf numFmtId="9" fontId="0" fillId="0" borderId="19" xfId="0" applyNumberFormat="1" applyBorder="1" applyAlignment="1">
      <alignment horizontal="center"/>
    </xf>
    <xf numFmtId="0" fontId="0" fillId="24" borderId="19" xfId="0" applyFill="1" applyBorder="1"/>
    <xf numFmtId="0" fontId="73" fillId="0" borderId="0" xfId="0" applyFont="1" applyAlignment="1">
      <alignment vertical="center"/>
    </xf>
    <xf numFmtId="0" fontId="74" fillId="0" borderId="0" xfId="0" applyFont="1" applyAlignment="1">
      <alignment vertical="center"/>
    </xf>
    <xf numFmtId="0" fontId="0" fillId="0" borderId="19" xfId="0" applyBorder="1" applyAlignment="1">
      <alignment vertical="center" wrapText="1"/>
    </xf>
    <xf numFmtId="0" fontId="76" fillId="0" borderId="0" xfId="7" applyFont="1" applyAlignment="1">
      <alignment horizontal="center" vertical="center" wrapText="1"/>
    </xf>
    <xf numFmtId="0" fontId="77" fillId="25" borderId="65" xfId="0" applyFont="1" applyFill="1" applyBorder="1" applyAlignment="1">
      <alignment vertical="center" wrapText="1"/>
    </xf>
    <xf numFmtId="0" fontId="67" fillId="22" borderId="65" xfId="0" applyFont="1" applyFill="1" applyBorder="1" applyAlignment="1">
      <alignment horizontal="center" vertical="center" wrapText="1"/>
    </xf>
    <xf numFmtId="0" fontId="16" fillId="12" borderId="86" xfId="0" applyFont="1" applyFill="1" applyBorder="1" applyAlignment="1">
      <alignment horizontal="left" vertical="center" wrapText="1"/>
    </xf>
    <xf numFmtId="0" fontId="78" fillId="0" borderId="0" xfId="0" applyFont="1"/>
    <xf numFmtId="0" fontId="0" fillId="12" borderId="0" xfId="0" applyFill="1"/>
    <xf numFmtId="0" fontId="16" fillId="12" borderId="87" xfId="0" applyFont="1" applyFill="1" applyBorder="1" applyAlignment="1">
      <alignment horizontal="left" vertical="center" wrapText="1"/>
    </xf>
    <xf numFmtId="0" fontId="16" fillId="12" borderId="87" xfId="0" applyFont="1" applyFill="1" applyBorder="1"/>
    <xf numFmtId="0" fontId="79" fillId="0" borderId="87" xfId="0" applyFont="1" applyBorder="1" applyAlignment="1">
      <alignment horizontal="left" vertical="center"/>
    </xf>
    <xf numFmtId="0" fontId="79" fillId="0" borderId="88" xfId="0" applyFont="1" applyBorder="1" applyAlignment="1">
      <alignment horizontal="left" vertical="center"/>
    </xf>
    <xf numFmtId="0" fontId="16" fillId="0" borderId="87" xfId="0" applyFont="1" applyBorder="1" applyAlignment="1">
      <alignment horizontal="left" vertical="center" wrapText="1"/>
    </xf>
    <xf numFmtId="0" fontId="65" fillId="2" borderId="0" xfId="2" applyFont="1" applyFill="1" applyAlignment="1">
      <alignment vertical="center"/>
    </xf>
    <xf numFmtId="0" fontId="63" fillId="21" borderId="64" xfId="0" applyFont="1" applyFill="1" applyBorder="1" applyAlignment="1">
      <alignment horizontal="center" vertical="center" wrapText="1"/>
    </xf>
    <xf numFmtId="0" fontId="63" fillId="21" borderId="8" xfId="0" applyFont="1" applyFill="1" applyBorder="1" applyAlignment="1">
      <alignment horizontal="center" vertical="center"/>
    </xf>
    <xf numFmtId="0" fontId="68" fillId="0" borderId="64" xfId="0" applyFont="1" applyBorder="1" applyAlignment="1">
      <alignment horizontal="center" vertical="center" wrapText="1"/>
    </xf>
    <xf numFmtId="0" fontId="68" fillId="0" borderId="8" xfId="0" applyFont="1" applyBorder="1" applyAlignment="1">
      <alignment vertical="center"/>
    </xf>
    <xf numFmtId="0" fontId="68" fillId="0" borderId="0" xfId="0" applyFont="1"/>
    <xf numFmtId="0" fontId="63" fillId="21" borderId="19" xfId="0" applyFont="1" applyFill="1" applyBorder="1" applyAlignment="1">
      <alignment horizontal="center" vertical="center"/>
    </xf>
    <xf numFmtId="0" fontId="68" fillId="0" borderId="19" xfId="0" applyFont="1" applyBorder="1" applyAlignment="1">
      <alignment horizontal="center" vertical="center"/>
    </xf>
    <xf numFmtId="0" fontId="68" fillId="0" borderId="19" xfId="0" applyFont="1" applyBorder="1" applyAlignment="1">
      <alignment horizontal="justify" vertical="center" wrapText="1"/>
    </xf>
    <xf numFmtId="0" fontId="68" fillId="0" borderId="19" xfId="0" applyFont="1" applyBorder="1" applyAlignment="1">
      <alignment horizontal="center" vertical="center" wrapText="1"/>
    </xf>
    <xf numFmtId="0" fontId="64" fillId="2" borderId="19" xfId="2" applyFont="1" applyFill="1" applyBorder="1" applyAlignment="1">
      <alignment horizontal="center" vertical="center"/>
    </xf>
    <xf numFmtId="0" fontId="15" fillId="2" borderId="0" xfId="0" applyFont="1" applyFill="1"/>
    <xf numFmtId="0" fontId="3" fillId="2" borderId="5" xfId="2" applyFont="1" applyFill="1" applyBorder="1"/>
    <xf numFmtId="0" fontId="3" fillId="2" borderId="0" xfId="2" applyFont="1" applyFill="1"/>
    <xf numFmtId="0" fontId="52" fillId="2" borderId="0" xfId="2" applyFont="1" applyFill="1" applyAlignment="1">
      <alignment horizontal="left" vertical="center" wrapText="1"/>
    </xf>
    <xf numFmtId="0" fontId="3" fillId="2" borderId="0" xfId="2" applyFont="1" applyFill="1" applyAlignment="1">
      <alignment horizontal="left" vertical="center" wrapText="1"/>
    </xf>
    <xf numFmtId="0" fontId="3" fillId="2" borderId="0" xfId="2" quotePrefix="1" applyFont="1" applyFill="1" applyAlignment="1">
      <alignment horizontal="left" vertical="center" wrapText="1"/>
    </xf>
    <xf numFmtId="0" fontId="3" fillId="2" borderId="6" xfId="2" applyFont="1" applyFill="1" applyBorder="1"/>
    <xf numFmtId="0" fontId="52" fillId="2" borderId="0" xfId="0" applyFont="1" applyFill="1" applyAlignment="1">
      <alignment horizontal="left" vertical="center" wrapText="1"/>
    </xf>
    <xf numFmtId="0" fontId="3" fillId="2" borderId="0" xfId="0" applyFont="1" applyFill="1" applyAlignment="1">
      <alignment horizontal="left" vertical="top" wrapText="1"/>
    </xf>
    <xf numFmtId="0" fontId="3" fillId="2" borderId="7" xfId="2" applyFont="1" applyFill="1" applyBorder="1"/>
    <xf numFmtId="0" fontId="3" fillId="2" borderId="9" xfId="2" applyFont="1" applyFill="1" applyBorder="1"/>
    <xf numFmtId="0" fontId="3" fillId="2" borderId="8" xfId="2" applyFont="1" applyFill="1" applyBorder="1"/>
    <xf numFmtId="0" fontId="65" fillId="2" borderId="96" xfId="2" applyFont="1" applyFill="1" applyBorder="1" applyAlignment="1">
      <alignment vertical="center"/>
    </xf>
    <xf numFmtId="0" fontId="65" fillId="2" borderId="95" xfId="2" applyFont="1" applyFill="1" applyBorder="1" applyAlignment="1">
      <alignment vertical="center"/>
    </xf>
    <xf numFmtId="0" fontId="68" fillId="0" borderId="19" xfId="0" applyFont="1" applyBorder="1" applyAlignment="1" applyProtection="1">
      <alignment horizontal="center" vertical="center"/>
      <protection hidden="1"/>
    </xf>
    <xf numFmtId="9" fontId="68" fillId="0" borderId="19" xfId="0" applyNumberFormat="1" applyFont="1" applyBorder="1" applyAlignment="1" applyProtection="1">
      <alignment horizontal="center" vertical="center"/>
      <protection hidden="1"/>
    </xf>
    <xf numFmtId="164" fontId="68" fillId="0" borderId="19" xfId="1" applyNumberFormat="1" applyFont="1" applyBorder="1" applyAlignment="1">
      <alignment horizontal="center" vertical="center"/>
    </xf>
    <xf numFmtId="0" fontId="63" fillId="0" borderId="19" xfId="0" applyFont="1" applyBorder="1" applyAlignment="1" applyProtection="1">
      <alignment horizontal="center" vertical="center" textRotation="90" wrapText="1"/>
      <protection hidden="1"/>
    </xf>
    <xf numFmtId="0" fontId="63" fillId="0" borderId="19" xfId="0" applyFont="1" applyBorder="1" applyAlignment="1" applyProtection="1">
      <alignment horizontal="center" vertical="center" textRotation="90"/>
      <protection hidden="1"/>
    </xf>
    <xf numFmtId="0" fontId="68" fillId="0" borderId="19" xfId="0" applyFont="1" applyBorder="1" applyAlignment="1">
      <alignment vertical="center" wrapText="1"/>
    </xf>
    <xf numFmtId="14" fontId="68" fillId="0" borderId="19" xfId="0" applyNumberFormat="1" applyFont="1" applyBorder="1" applyAlignment="1">
      <alignment horizontal="center" vertical="center"/>
    </xf>
    <xf numFmtId="0" fontId="65" fillId="0" borderId="19" xfId="0" applyFont="1" applyBorder="1" applyAlignment="1" applyProtection="1">
      <alignment horizontal="left" vertical="center" wrapText="1"/>
      <protection locked="0"/>
    </xf>
    <xf numFmtId="14" fontId="68" fillId="0" borderId="19" xfId="0" applyNumberFormat="1"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65" fillId="0" borderId="19" xfId="0" applyFont="1" applyBorder="1" applyAlignment="1" applyProtection="1">
      <alignment vertical="center" wrapText="1"/>
      <protection locked="0"/>
    </xf>
    <xf numFmtId="0" fontId="65" fillId="0" borderId="19" xfId="0" applyFont="1" applyBorder="1" applyAlignment="1" applyProtection="1">
      <alignment horizontal="center" vertical="center" wrapText="1"/>
      <protection locked="0"/>
    </xf>
    <xf numFmtId="14" fontId="65" fillId="0" borderId="19" xfId="0" applyNumberFormat="1" applyFont="1" applyBorder="1" applyAlignment="1" applyProtection="1">
      <alignment horizontal="center" vertical="center" wrapText="1"/>
      <protection locked="0"/>
    </xf>
    <xf numFmtId="0" fontId="65" fillId="0" borderId="19" xfId="0" applyFont="1" applyBorder="1" applyAlignment="1" applyProtection="1">
      <alignment horizontal="justify" vertical="center" wrapText="1"/>
      <protection locked="0"/>
    </xf>
    <xf numFmtId="0" fontId="68" fillId="0" borderId="19" xfId="0" applyFont="1" applyBorder="1" applyAlignment="1" applyProtection="1">
      <alignment horizontal="center" vertical="center" wrapText="1"/>
      <protection locked="0"/>
    </xf>
    <xf numFmtId="0" fontId="65" fillId="2" borderId="23" xfId="2" applyFont="1" applyFill="1" applyBorder="1"/>
    <xf numFmtId="0" fontId="65" fillId="2" borderId="19" xfId="2" applyFont="1" applyFill="1" applyBorder="1"/>
    <xf numFmtId="0" fontId="65" fillId="2" borderId="24" xfId="2" applyFont="1" applyFill="1" applyBorder="1"/>
    <xf numFmtId="0" fontId="64" fillId="2" borderId="19" xfId="2" applyFont="1" applyFill="1" applyBorder="1" applyAlignment="1">
      <alignment horizontal="center" vertical="center" wrapText="1"/>
    </xf>
    <xf numFmtId="0" fontId="63" fillId="0" borderId="19" xfId="0" applyFont="1" applyBorder="1" applyAlignment="1">
      <alignment horizontal="center" vertical="center" wrapText="1"/>
    </xf>
    <xf numFmtId="0" fontId="65" fillId="2" borderId="19" xfId="2" applyFont="1" applyFill="1" applyBorder="1" applyAlignment="1">
      <alignment horizontal="left" vertical="center" wrapText="1"/>
    </xf>
    <xf numFmtId="0" fontId="65" fillId="2" borderId="5" xfId="2" applyFont="1" applyFill="1" applyBorder="1"/>
    <xf numFmtId="0" fontId="64" fillId="2" borderId="92"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64" fillId="2" borderId="19" xfId="0" applyFont="1" applyFill="1" applyBorder="1" applyAlignment="1">
      <alignment vertical="center" wrapText="1"/>
    </xf>
    <xf numFmtId="0" fontId="0" fillId="0" borderId="9" xfId="0" applyBorder="1" applyAlignment="1">
      <alignment horizontal="center"/>
    </xf>
    <xf numFmtId="0" fontId="68" fillId="0" borderId="19" xfId="0" applyFont="1" applyBorder="1" applyAlignment="1" applyProtection="1">
      <alignment horizontal="center" vertical="center" wrapText="1"/>
      <protection locked="0"/>
    </xf>
    <xf numFmtId="0" fontId="68" fillId="0" borderId="19" xfId="0" applyFont="1" applyBorder="1" applyAlignment="1" applyProtection="1">
      <alignment horizontal="center" vertical="center"/>
      <protection locked="0"/>
    </xf>
    <xf numFmtId="0" fontId="61" fillId="16" borderId="19" xfId="0" applyFont="1" applyFill="1" applyBorder="1" applyAlignment="1">
      <alignment horizontal="center" vertical="center" wrapText="1"/>
    </xf>
    <xf numFmtId="0" fontId="68" fillId="0" borderId="19" xfId="0" applyFont="1" applyBorder="1" applyAlignment="1" applyProtection="1">
      <alignment horizontal="center" vertical="center" textRotation="90"/>
      <protection locked="0"/>
    </xf>
    <xf numFmtId="0" fontId="68" fillId="0" borderId="19" xfId="0" applyFont="1" applyBorder="1" applyAlignment="1" applyProtection="1">
      <alignment horizontal="center" vertical="center" wrapText="1"/>
      <protection locked="0"/>
    </xf>
    <xf numFmtId="0" fontId="65" fillId="0" borderId="19" xfId="0" applyFont="1" applyBorder="1" applyAlignment="1" applyProtection="1">
      <alignment vertical="center" wrapText="1"/>
      <protection locked="0"/>
    </xf>
    <xf numFmtId="0" fontId="59" fillId="15" borderId="75" xfId="0" applyFont="1" applyFill="1" applyBorder="1" applyAlignment="1">
      <alignment horizontal="center" vertical="center"/>
    </xf>
    <xf numFmtId="0" fontId="84" fillId="0" borderId="19" xfId="0" applyFont="1" applyBorder="1" applyAlignment="1">
      <alignment vertical="center" wrapText="1"/>
    </xf>
    <xf numFmtId="0" fontId="4" fillId="2" borderId="19" xfId="0" applyFont="1" applyFill="1" applyBorder="1" applyAlignment="1">
      <alignment horizontal="center" vertical="center" wrapText="1"/>
    </xf>
    <xf numFmtId="0" fontId="4" fillId="0" borderId="0" xfId="0" applyFont="1" applyAlignment="1">
      <alignment horizontal="justify" vertical="center"/>
    </xf>
    <xf numFmtId="0" fontId="7" fillId="0" borderId="0" xfId="0" applyFont="1" applyAlignment="1">
      <alignment horizontal="justify" vertical="center"/>
    </xf>
    <xf numFmtId="0" fontId="87" fillId="0" borderId="0" xfId="0" applyFont="1" applyAlignment="1">
      <alignment horizontal="justify" vertical="center"/>
    </xf>
    <xf numFmtId="0" fontId="59" fillId="0" borderId="0" xfId="0" applyFont="1" applyAlignment="1">
      <alignment horizontal="justify" vertical="center"/>
    </xf>
    <xf numFmtId="0" fontId="35" fillId="0" borderId="0" xfId="0" applyFont="1" applyAlignment="1">
      <alignment horizontal="justify" vertical="center"/>
    </xf>
    <xf numFmtId="0" fontId="38" fillId="0" borderId="0" xfId="0" applyFont="1" applyAlignment="1">
      <alignment horizontal="justify" vertical="center"/>
    </xf>
    <xf numFmtId="0" fontId="88" fillId="0" borderId="0" xfId="0" applyFont="1" applyAlignment="1">
      <alignment horizontal="justify" vertical="center"/>
    </xf>
    <xf numFmtId="0" fontId="4" fillId="0" borderId="0" xfId="0" applyFont="1" applyBorder="1" applyAlignment="1">
      <alignment vertical="center" wrapText="1"/>
    </xf>
    <xf numFmtId="0" fontId="87" fillId="0" borderId="0" xfId="0" applyFont="1" applyBorder="1" applyAlignment="1">
      <alignment vertical="center" wrapText="1"/>
    </xf>
    <xf numFmtId="14" fontId="65" fillId="0" borderId="20" xfId="0" applyNumberFormat="1" applyFont="1" applyBorder="1" applyAlignment="1" applyProtection="1">
      <alignment horizontal="center" vertical="center" wrapText="1"/>
      <protection locked="0"/>
    </xf>
    <xf numFmtId="0" fontId="68" fillId="0" borderId="19" xfId="0" applyFont="1" applyBorder="1" applyAlignment="1" applyProtection="1">
      <alignment horizontal="center" vertical="center" wrapText="1"/>
      <protection locked="0"/>
    </xf>
    <xf numFmtId="0" fontId="65" fillId="0" borderId="19" xfId="0" applyFont="1" applyBorder="1" applyAlignment="1" applyProtection="1">
      <alignment vertical="center" wrapText="1"/>
      <protection locked="0"/>
    </xf>
    <xf numFmtId="0" fontId="68" fillId="0" borderId="19" xfId="0" applyFont="1" applyBorder="1" applyAlignment="1" applyProtection="1">
      <alignment horizontal="center" vertical="center"/>
      <protection locked="0"/>
    </xf>
    <xf numFmtId="0" fontId="68" fillId="0" borderId="19" xfId="0" applyFont="1" applyBorder="1" applyAlignment="1">
      <alignment horizontal="center" vertical="center"/>
    </xf>
    <xf numFmtId="0" fontId="65" fillId="18" borderId="20" xfId="0" applyFont="1" applyFill="1" applyBorder="1" applyAlignment="1" applyProtection="1">
      <alignment horizontal="center" vertical="center" wrapText="1"/>
      <protection locked="0"/>
    </xf>
    <xf numFmtId="0" fontId="65" fillId="18" borderId="19" xfId="0" applyFont="1" applyFill="1" applyBorder="1" applyAlignment="1" applyProtection="1">
      <alignment horizontal="center" vertical="center" wrapText="1"/>
      <protection locked="0"/>
    </xf>
    <xf numFmtId="0" fontId="65" fillId="0" borderId="19" xfId="0" applyFont="1" applyBorder="1" applyAlignment="1" applyProtection="1">
      <alignment horizontal="center" vertical="center" wrapText="1"/>
      <protection locked="0"/>
    </xf>
    <xf numFmtId="0" fontId="68" fillId="0" borderId="20" xfId="0" applyFont="1" applyBorder="1" applyAlignment="1">
      <alignment horizontal="center" vertical="center" wrapText="1"/>
    </xf>
    <xf numFmtId="0" fontId="68" fillId="18" borderId="19" xfId="0" applyFont="1" applyFill="1" applyBorder="1" applyAlignment="1">
      <alignment horizontal="center" vertical="center"/>
    </xf>
    <xf numFmtId="0" fontId="68" fillId="18" borderId="19" xfId="0" applyFont="1" applyFill="1" applyBorder="1" applyAlignment="1" applyProtection="1">
      <alignment horizontal="center" vertical="center"/>
      <protection hidden="1"/>
    </xf>
    <xf numFmtId="0" fontId="68" fillId="18" borderId="19" xfId="0" applyFont="1" applyFill="1" applyBorder="1" applyAlignment="1" applyProtection="1">
      <alignment horizontal="center" vertical="center" textRotation="90"/>
      <protection locked="0"/>
    </xf>
    <xf numFmtId="9" fontId="68" fillId="18" borderId="19" xfId="0" applyNumberFormat="1" applyFont="1" applyFill="1" applyBorder="1" applyAlignment="1" applyProtection="1">
      <alignment horizontal="center" vertical="center"/>
      <protection hidden="1"/>
    </xf>
    <xf numFmtId="164" fontId="68" fillId="18" borderId="19" xfId="1" applyNumberFormat="1" applyFont="1" applyFill="1" applyBorder="1" applyAlignment="1">
      <alignment horizontal="center" vertical="center"/>
    </xf>
    <xf numFmtId="0" fontId="63" fillId="18" borderId="19" xfId="0" applyFont="1" applyFill="1" applyBorder="1" applyAlignment="1" applyProtection="1">
      <alignment horizontal="center" vertical="center" textRotation="90" wrapText="1"/>
      <protection hidden="1"/>
    </xf>
    <xf numFmtId="0" fontId="63" fillId="18" borderId="19" xfId="0" applyFont="1" applyFill="1" applyBorder="1" applyAlignment="1" applyProtection="1">
      <alignment horizontal="center" vertical="center" textRotation="90"/>
      <protection hidden="1"/>
    </xf>
    <xf numFmtId="0" fontId="65" fillId="18" borderId="19" xfId="0" applyFont="1" applyFill="1" applyBorder="1" applyAlignment="1" applyProtection="1">
      <alignment horizontal="justify" vertical="center" wrapText="1"/>
      <protection locked="0"/>
    </xf>
    <xf numFmtId="14" fontId="65" fillId="18" borderId="19" xfId="0" applyNumberFormat="1" applyFont="1" applyFill="1" applyBorder="1" applyAlignment="1" applyProtection="1">
      <alignment horizontal="center" vertical="center" wrapText="1"/>
      <protection locked="0"/>
    </xf>
    <xf numFmtId="0" fontId="65" fillId="18" borderId="19" xfId="0" applyFont="1" applyFill="1" applyBorder="1" applyAlignment="1" applyProtection="1">
      <alignment horizontal="left" vertical="center" wrapText="1"/>
      <protection locked="0"/>
    </xf>
    <xf numFmtId="0" fontId="7" fillId="18" borderId="0" xfId="0" applyFont="1" applyFill="1"/>
    <xf numFmtId="0" fontId="68" fillId="18" borderId="19" xfId="0" applyFont="1" applyFill="1" applyBorder="1" applyAlignment="1" applyProtection="1">
      <alignment horizontal="center" vertical="center" wrapText="1"/>
      <protection locked="0"/>
    </xf>
    <xf numFmtId="0" fontId="68" fillId="18" borderId="19" xfId="0" applyFont="1" applyFill="1" applyBorder="1" applyAlignment="1" applyProtection="1">
      <alignment horizontal="center" vertical="center"/>
      <protection locked="0"/>
    </xf>
    <xf numFmtId="14" fontId="68" fillId="18" borderId="19" xfId="0" applyNumberFormat="1" applyFont="1" applyFill="1" applyBorder="1" applyAlignment="1" applyProtection="1">
      <alignment horizontal="center" vertical="center"/>
      <protection locked="0"/>
    </xf>
    <xf numFmtId="9" fontId="68" fillId="18" borderId="19" xfId="0" applyNumberFormat="1" applyFont="1" applyFill="1" applyBorder="1" applyAlignment="1" applyProtection="1">
      <alignment horizontal="center" vertical="center" wrapText="1"/>
      <protection hidden="1"/>
    </xf>
    <xf numFmtId="0" fontId="7" fillId="18" borderId="19" xfId="0" applyFont="1" applyFill="1" applyBorder="1"/>
    <xf numFmtId="0" fontId="7" fillId="2" borderId="19" xfId="0" applyFont="1" applyFill="1" applyBorder="1"/>
    <xf numFmtId="0" fontId="68" fillId="18" borderId="20" xfId="0" applyFont="1" applyFill="1" applyBorder="1" applyAlignment="1">
      <alignment horizontal="center" vertical="center"/>
    </xf>
    <xf numFmtId="0" fontId="68" fillId="18" borderId="20" xfId="0" applyFont="1" applyFill="1" applyBorder="1" applyAlignment="1" applyProtection="1">
      <alignment horizontal="center" vertical="center"/>
      <protection hidden="1"/>
    </xf>
    <xf numFmtId="0" fontId="68" fillId="18" borderId="20" xfId="0" applyFont="1" applyFill="1" applyBorder="1" applyAlignment="1" applyProtection="1">
      <alignment horizontal="center" vertical="center" textRotation="90"/>
      <protection locked="0"/>
    </xf>
    <xf numFmtId="9" fontId="68" fillId="18" borderId="20" xfId="0" applyNumberFormat="1" applyFont="1" applyFill="1" applyBorder="1" applyAlignment="1" applyProtection="1">
      <alignment horizontal="center" vertical="center"/>
      <protection hidden="1"/>
    </xf>
    <xf numFmtId="164" fontId="68" fillId="18" borderId="20" xfId="1" applyNumberFormat="1" applyFont="1" applyFill="1" applyBorder="1" applyAlignment="1">
      <alignment horizontal="center" vertical="center"/>
    </xf>
    <xf numFmtId="0" fontId="63" fillId="18" borderId="20" xfId="0" applyFont="1" applyFill="1" applyBorder="1" applyAlignment="1" applyProtection="1">
      <alignment horizontal="center" vertical="center" textRotation="90" wrapText="1"/>
      <protection hidden="1"/>
    </xf>
    <xf numFmtId="0" fontId="63" fillId="18" borderId="20" xfId="0" applyFont="1" applyFill="1" applyBorder="1" applyAlignment="1" applyProtection="1">
      <alignment horizontal="center" vertical="center" textRotation="90"/>
      <protection hidden="1"/>
    </xf>
    <xf numFmtId="0" fontId="65" fillId="18" borderId="20" xfId="0" applyFont="1" applyFill="1" applyBorder="1" applyAlignment="1" applyProtection="1">
      <alignment horizontal="justify" vertical="center" wrapText="1"/>
      <protection locked="0"/>
    </xf>
    <xf numFmtId="14" fontId="65" fillId="18" borderId="20" xfId="0" applyNumberFormat="1" applyFont="1" applyFill="1" applyBorder="1" applyAlignment="1" applyProtection="1">
      <alignment horizontal="center" vertical="center" wrapText="1"/>
      <protection locked="0"/>
    </xf>
    <xf numFmtId="0" fontId="65" fillId="18" borderId="20" xfId="0" applyFont="1" applyFill="1" applyBorder="1" applyAlignment="1" applyProtection="1">
      <alignment horizontal="left" vertical="center" wrapText="1"/>
      <protection locked="0"/>
    </xf>
    <xf numFmtId="0" fontId="7" fillId="18" borderId="20" xfId="0" applyFont="1" applyFill="1" applyBorder="1"/>
    <xf numFmtId="0" fontId="68" fillId="18" borderId="20" xfId="0" applyFont="1" applyFill="1" applyBorder="1" applyAlignment="1" applyProtection="1">
      <alignment horizontal="center" vertical="center" wrapText="1"/>
      <protection locked="0"/>
    </xf>
    <xf numFmtId="0" fontId="68" fillId="18" borderId="20" xfId="0" applyNumberFormat="1" applyFont="1" applyFill="1" applyBorder="1" applyAlignment="1" applyProtection="1">
      <alignment horizontal="center" vertical="center"/>
      <protection hidden="1"/>
    </xf>
    <xf numFmtId="0" fontId="68" fillId="2" borderId="19" xfId="0" applyFont="1" applyFill="1" applyBorder="1" applyAlignment="1">
      <alignment horizontal="center" vertical="center" wrapText="1"/>
    </xf>
    <xf numFmtId="0" fontId="65" fillId="0" borderId="19" xfId="0" applyFont="1" applyFill="1" applyBorder="1" applyAlignment="1" applyProtection="1">
      <alignment horizontal="justify" vertical="center" wrapText="1"/>
      <protection locked="0"/>
    </xf>
    <xf numFmtId="0" fontId="68" fillId="0" borderId="19" xfId="0" applyFont="1" applyBorder="1" applyAlignment="1" applyProtection="1">
      <alignment horizontal="center" vertical="center"/>
      <protection locked="0"/>
    </xf>
    <xf numFmtId="0" fontId="65" fillId="0" borderId="19" xfId="0" applyFont="1" applyBorder="1" applyAlignment="1" applyProtection="1">
      <alignment vertical="center" wrapText="1"/>
      <protection locked="0"/>
    </xf>
    <xf numFmtId="0" fontId="68" fillId="0" borderId="19" xfId="0" applyFont="1" applyBorder="1" applyAlignment="1" applyProtection="1">
      <alignment horizontal="center" vertical="center" wrapText="1"/>
      <protection locked="0"/>
    </xf>
    <xf numFmtId="0" fontId="68" fillId="0" borderId="19" xfId="0" applyFont="1" applyBorder="1" applyAlignment="1">
      <alignment horizontal="center" vertical="center"/>
    </xf>
    <xf numFmtId="9" fontId="68" fillId="18" borderId="20" xfId="0" applyNumberFormat="1" applyFont="1" applyFill="1" applyBorder="1" applyAlignment="1" applyProtection="1">
      <alignment horizontal="center" vertical="center" wrapText="1"/>
      <protection hidden="1"/>
    </xf>
    <xf numFmtId="0" fontId="68" fillId="0" borderId="19" xfId="0" applyFont="1" applyBorder="1" applyAlignment="1" applyProtection="1">
      <alignment horizontal="center" vertical="center"/>
      <protection locked="0"/>
    </xf>
    <xf numFmtId="0" fontId="65" fillId="0" borderId="19" xfId="0" applyFont="1" applyBorder="1" applyAlignment="1" applyProtection="1">
      <alignment vertical="center" wrapText="1"/>
      <protection locked="0"/>
    </xf>
    <xf numFmtId="0" fontId="68" fillId="0" borderId="19" xfId="0" applyFont="1" applyBorder="1" applyAlignment="1" applyProtection="1">
      <alignment horizontal="center" vertical="center" wrapText="1"/>
      <protection locked="0"/>
    </xf>
    <xf numFmtId="0" fontId="68" fillId="0" borderId="19" xfId="0" applyFont="1" applyBorder="1" applyAlignment="1">
      <alignment horizontal="center" vertical="center"/>
    </xf>
    <xf numFmtId="0" fontId="68" fillId="0" borderId="19" xfId="0" applyFont="1" applyFill="1" applyBorder="1" applyAlignment="1" applyProtection="1">
      <alignment horizontal="center" vertical="center"/>
      <protection hidden="1"/>
    </xf>
    <xf numFmtId="0" fontId="59" fillId="0" borderId="0" xfId="0" applyFont="1" applyAlignment="1">
      <alignment horizontal="center" vertical="center"/>
    </xf>
    <xf numFmtId="0" fontId="5" fillId="0" borderId="0" xfId="0" applyFont="1" applyAlignment="1">
      <alignment horizontal="center" vertical="center"/>
    </xf>
    <xf numFmtId="0" fontId="68" fillId="0" borderId="19" xfId="0" applyFont="1" applyBorder="1" applyAlignment="1" applyProtection="1">
      <alignment horizontal="center" vertical="center" wrapText="1"/>
      <protection locked="0"/>
    </xf>
    <xf numFmtId="0" fontId="68" fillId="0" borderId="19" xfId="0" applyFont="1" applyBorder="1" applyAlignment="1" applyProtection="1">
      <alignment horizontal="center" vertical="center"/>
      <protection locked="0"/>
    </xf>
    <xf numFmtId="0" fontId="65" fillId="0" borderId="19" xfId="0" applyFont="1" applyBorder="1" applyAlignment="1" applyProtection="1">
      <alignment vertical="center" wrapText="1"/>
      <protection locked="0"/>
    </xf>
    <xf numFmtId="0" fontId="68" fillId="0" borderId="19" xfId="0" applyFont="1" applyBorder="1" applyAlignment="1">
      <alignment horizontal="center" vertical="center"/>
    </xf>
    <xf numFmtId="0" fontId="68" fillId="0" borderId="19" xfId="0" applyFont="1" applyBorder="1" applyAlignment="1" applyProtection="1">
      <alignment horizontal="center" vertical="center"/>
      <protection locked="0"/>
    </xf>
    <xf numFmtId="9" fontId="68" fillId="0" borderId="19" xfId="0" applyNumberFormat="1" applyFont="1" applyBorder="1" applyAlignment="1" applyProtection="1">
      <alignment horizontal="center" vertical="center" wrapText="1"/>
      <protection hidden="1"/>
    </xf>
    <xf numFmtId="0" fontId="65" fillId="0" borderId="19" xfId="0" applyFont="1" applyBorder="1" applyAlignment="1" applyProtection="1">
      <alignment vertical="center" wrapText="1"/>
      <protection locked="0"/>
    </xf>
    <xf numFmtId="0" fontId="68" fillId="0" borderId="19" xfId="0" applyFont="1" applyBorder="1" applyAlignment="1" applyProtection="1">
      <alignment horizontal="center" vertical="center" wrapText="1"/>
      <protection locked="0"/>
    </xf>
    <xf numFmtId="0" fontId="64" fillId="27" borderId="67" xfId="6" applyFont="1" applyFill="1" applyBorder="1" applyAlignment="1">
      <alignment horizontal="center" vertical="center" wrapText="1"/>
    </xf>
    <xf numFmtId="0" fontId="64" fillId="27" borderId="66" xfId="6" applyFont="1" applyFill="1" applyBorder="1" applyAlignment="1">
      <alignment horizontal="center" vertical="center" wrapText="1"/>
    </xf>
    <xf numFmtId="0" fontId="64" fillId="27" borderId="64" xfId="6" applyFont="1" applyFill="1" applyBorder="1" applyAlignment="1">
      <alignment horizontal="center" vertical="center" wrapText="1"/>
    </xf>
    <xf numFmtId="0" fontId="68" fillId="0" borderId="19" xfId="0" applyFont="1" applyBorder="1" applyAlignment="1">
      <alignment horizontal="center" vertical="center"/>
    </xf>
    <xf numFmtId="0" fontId="68" fillId="2" borderId="19" xfId="0" applyFont="1" applyFill="1" applyBorder="1" applyAlignment="1" applyProtection="1">
      <alignment horizontal="center" vertical="center" wrapText="1"/>
      <protection locked="0"/>
    </xf>
    <xf numFmtId="0" fontId="68" fillId="0" borderId="19" xfId="0" applyFont="1" applyBorder="1" applyAlignment="1" applyProtection="1">
      <alignment horizontal="center" vertical="center"/>
      <protection locked="0"/>
    </xf>
    <xf numFmtId="0" fontId="68" fillId="18" borderId="19" xfId="0" applyNumberFormat="1" applyFont="1" applyFill="1" applyBorder="1" applyAlignment="1" applyProtection="1">
      <alignment horizontal="center" vertical="center"/>
      <protection hidden="1"/>
    </xf>
    <xf numFmtId="9" fontId="0" fillId="18" borderId="19" xfId="1" applyFont="1" applyFill="1" applyBorder="1" applyAlignment="1">
      <alignment horizontal="center" vertical="center"/>
    </xf>
    <xf numFmtId="0" fontId="2" fillId="0" borderId="0" xfId="0" applyFont="1" applyFill="1"/>
    <xf numFmtId="0" fontId="5" fillId="0" borderId="0" xfId="0" applyFont="1" applyFill="1" applyAlignment="1">
      <alignment horizontal="center" vertical="center"/>
    </xf>
    <xf numFmtId="0" fontId="7" fillId="0" borderId="0" xfId="0" applyFont="1" applyFill="1"/>
    <xf numFmtId="9" fontId="0" fillId="18" borderId="19" xfId="1" applyFont="1" applyFill="1" applyBorder="1" applyAlignment="1">
      <alignment vertical="center"/>
    </xf>
    <xf numFmtId="0" fontId="68" fillId="0" borderId="19" xfId="0" applyFont="1" applyBorder="1" applyAlignment="1" applyProtection="1">
      <alignment horizontal="justify" vertical="top" wrapText="1"/>
      <protection locked="0"/>
    </xf>
    <xf numFmtId="0" fontId="68" fillId="2" borderId="19" xfId="0" applyFont="1" applyFill="1" applyBorder="1" applyAlignment="1">
      <alignment horizontal="center" vertical="center"/>
    </xf>
    <xf numFmtId="0" fontId="68" fillId="2" borderId="19" xfId="0" applyFont="1" applyFill="1" applyBorder="1" applyAlignment="1" applyProtection="1">
      <alignment horizontal="center" vertical="center"/>
      <protection locked="0"/>
    </xf>
    <xf numFmtId="0" fontId="68" fillId="18" borderId="19" xfId="0" applyFont="1" applyFill="1" applyBorder="1" applyAlignment="1" applyProtection="1">
      <alignment horizontal="justify" vertical="top" wrapText="1"/>
      <protection locked="0"/>
    </xf>
    <xf numFmtId="0" fontId="68" fillId="18" borderId="20" xfId="0" applyFont="1" applyFill="1" applyBorder="1" applyAlignment="1" applyProtection="1">
      <alignment horizontal="justify" vertical="top" wrapText="1"/>
      <protection locked="0"/>
    </xf>
    <xf numFmtId="0" fontId="68" fillId="0" borderId="19" xfId="0" applyFont="1" applyBorder="1" applyAlignment="1" applyProtection="1">
      <alignment horizontal="justify" vertical="top"/>
      <protection locked="0"/>
    </xf>
    <xf numFmtId="0" fontId="7" fillId="0" borderId="0" xfId="0" applyFont="1" applyAlignment="1">
      <alignment vertical="top"/>
    </xf>
    <xf numFmtId="0" fontId="2" fillId="0" borderId="0" xfId="0" applyFont="1" applyAlignment="1">
      <alignment vertical="top"/>
    </xf>
    <xf numFmtId="0" fontId="68" fillId="18" borderId="20" xfId="0" applyFont="1" applyFill="1" applyBorder="1" applyAlignment="1" applyProtection="1">
      <alignment horizontal="justify" vertical="top"/>
      <protection locked="0"/>
    </xf>
    <xf numFmtId="0" fontId="68" fillId="18" borderId="19" xfId="0" applyFont="1" applyFill="1" applyBorder="1" applyAlignment="1" applyProtection="1">
      <alignment horizontal="justify" vertical="top"/>
      <protection locked="0"/>
    </xf>
    <xf numFmtId="0" fontId="68" fillId="0" borderId="19" xfId="0" applyFont="1" applyBorder="1" applyAlignment="1">
      <alignment vertical="top"/>
    </xf>
    <xf numFmtId="0" fontId="68" fillId="0" borderId="19" xfId="0" applyFont="1" applyBorder="1" applyAlignment="1" applyProtection="1">
      <alignment horizontal="left" vertical="top"/>
      <protection locked="0"/>
    </xf>
    <xf numFmtId="0" fontId="91" fillId="0" borderId="19" xfId="0" applyFont="1" applyBorder="1" applyAlignment="1" applyProtection="1">
      <alignment horizontal="justify" vertical="top" wrapText="1"/>
      <protection locked="0"/>
    </xf>
    <xf numFmtId="0" fontId="68" fillId="0" borderId="19" xfId="0" applyFont="1" applyFill="1" applyBorder="1" applyAlignment="1" applyProtection="1">
      <alignment horizontal="center" vertical="center" wrapText="1"/>
      <protection locked="0"/>
    </xf>
    <xf numFmtId="0" fontId="68" fillId="0" borderId="19" xfId="0" applyFont="1" applyBorder="1" applyAlignment="1" applyProtection="1">
      <alignment horizontal="center" vertical="center"/>
      <protection locked="0"/>
    </xf>
    <xf numFmtId="0" fontId="68" fillId="0" borderId="19" xfId="0" applyFont="1" applyFill="1" applyBorder="1" applyAlignment="1" applyProtection="1">
      <alignment horizontal="center" vertical="center" textRotation="90"/>
      <protection locked="0"/>
    </xf>
    <xf numFmtId="9" fontId="68" fillId="0" borderId="19" xfId="0" applyNumberFormat="1" applyFont="1" applyFill="1" applyBorder="1" applyAlignment="1" applyProtection="1">
      <alignment horizontal="center" vertical="center"/>
      <protection hidden="1"/>
    </xf>
    <xf numFmtId="164" fontId="68" fillId="0" borderId="19" xfId="1" applyNumberFormat="1" applyFont="1" applyFill="1" applyBorder="1" applyAlignment="1">
      <alignment horizontal="center" vertical="center"/>
    </xf>
    <xf numFmtId="0" fontId="63" fillId="0" borderId="19" xfId="0" applyFont="1" applyFill="1" applyBorder="1" applyAlignment="1" applyProtection="1">
      <alignment horizontal="center" vertical="center" textRotation="90" wrapText="1"/>
      <protection hidden="1"/>
    </xf>
    <xf numFmtId="0" fontId="63" fillId="0" borderId="19" xfId="0" applyFont="1" applyFill="1" applyBorder="1" applyAlignment="1" applyProtection="1">
      <alignment horizontal="center" vertical="center" textRotation="90"/>
      <protection hidden="1"/>
    </xf>
    <xf numFmtId="0" fontId="68" fillId="0" borderId="19" xfId="0" applyFont="1" applyFill="1" applyBorder="1" applyAlignment="1" applyProtection="1">
      <alignment horizontal="center" vertical="center"/>
      <protection locked="0"/>
    </xf>
    <xf numFmtId="0" fontId="50" fillId="13" borderId="34" xfId="2" applyFont="1" applyFill="1" applyBorder="1" applyAlignment="1">
      <alignment horizontal="center" vertical="center" wrapText="1"/>
    </xf>
    <xf numFmtId="0" fontId="50" fillId="13" borderId="35" xfId="2" applyFont="1" applyFill="1" applyBorder="1" applyAlignment="1">
      <alignment horizontal="center" vertical="center" wrapText="1"/>
    </xf>
    <xf numFmtId="0" fontId="50" fillId="13" borderId="36" xfId="2" applyFont="1" applyFill="1" applyBorder="1" applyAlignment="1">
      <alignment horizontal="center" vertical="center" wrapText="1"/>
    </xf>
    <xf numFmtId="0" fontId="49" fillId="0" borderId="5"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6" xfId="2" quotePrefix="1" applyFont="1" applyBorder="1" applyAlignment="1">
      <alignment horizontal="left" vertical="center" wrapText="1"/>
    </xf>
    <xf numFmtId="0" fontId="49" fillId="0" borderId="54" xfId="2" quotePrefix="1" applyFont="1" applyBorder="1" applyAlignment="1">
      <alignment horizontal="left" vertical="center" wrapText="1"/>
    </xf>
    <xf numFmtId="0" fontId="49" fillId="0" borderId="55" xfId="2" quotePrefix="1" applyFont="1" applyBorder="1" applyAlignment="1">
      <alignment horizontal="left" vertical="center" wrapText="1"/>
    </xf>
    <xf numFmtId="0" fontId="49" fillId="0" borderId="56" xfId="2" quotePrefix="1" applyFont="1" applyBorder="1" applyAlignment="1">
      <alignment horizontal="left" vertical="center" wrapText="1"/>
    </xf>
    <xf numFmtId="0" fontId="51" fillId="2" borderId="37" xfId="2" quotePrefix="1" applyFont="1" applyFill="1" applyBorder="1" applyAlignment="1">
      <alignment horizontal="left" vertical="top" wrapText="1"/>
    </xf>
    <xf numFmtId="0" fontId="52" fillId="2" borderId="38" xfId="2" quotePrefix="1" applyFont="1" applyFill="1" applyBorder="1" applyAlignment="1">
      <alignment horizontal="left" vertical="top" wrapText="1"/>
    </xf>
    <xf numFmtId="0" fontId="52" fillId="2" borderId="39" xfId="2" quotePrefix="1" applyFont="1" applyFill="1" applyBorder="1" applyAlignment="1">
      <alignment horizontal="left" vertical="top" wrapText="1"/>
    </xf>
    <xf numFmtId="0" fontId="49" fillId="0" borderId="5"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6" xfId="2" quotePrefix="1" applyFont="1" applyBorder="1" applyAlignment="1">
      <alignment horizontal="left" vertical="top" wrapText="1"/>
    </xf>
    <xf numFmtId="0" fontId="54" fillId="13" borderId="40" xfId="3" applyFont="1" applyFill="1" applyBorder="1" applyAlignment="1">
      <alignment horizontal="center" vertical="center" wrapText="1"/>
    </xf>
    <xf numFmtId="0" fontId="54" fillId="13" borderId="41" xfId="3" applyFont="1" applyFill="1" applyBorder="1" applyAlignment="1">
      <alignment horizontal="center" vertical="center" wrapText="1"/>
    </xf>
    <xf numFmtId="0" fontId="54" fillId="13" borderId="42" xfId="2" applyFont="1" applyFill="1" applyBorder="1" applyAlignment="1">
      <alignment horizontal="center" vertical="center"/>
    </xf>
    <xf numFmtId="0" fontId="54" fillId="13" borderId="43" xfId="2" applyFont="1" applyFill="1" applyBorder="1" applyAlignment="1">
      <alignment horizontal="center" vertical="center"/>
    </xf>
    <xf numFmtId="0" fontId="3" fillId="2" borderId="54" xfId="2" quotePrefix="1" applyFont="1" applyFill="1" applyBorder="1" applyAlignment="1">
      <alignment horizontal="justify" vertical="center" wrapText="1"/>
    </xf>
    <xf numFmtId="0" fontId="3" fillId="2" borderId="55" xfId="2" quotePrefix="1" applyFont="1" applyFill="1" applyBorder="1" applyAlignment="1">
      <alignment horizontal="justify" vertical="center" wrapText="1"/>
    </xf>
    <xf numFmtId="0" fontId="3" fillId="2" borderId="56" xfId="2" quotePrefix="1" applyFont="1" applyFill="1" applyBorder="1" applyAlignment="1">
      <alignment horizontal="justify" vertical="center" wrapText="1"/>
    </xf>
    <xf numFmtId="0" fontId="54" fillId="2" borderId="44" xfId="3" applyFont="1" applyFill="1" applyBorder="1" applyAlignment="1">
      <alignment horizontal="left" vertical="top" wrapText="1" readingOrder="1"/>
    </xf>
    <xf numFmtId="0" fontId="54" fillId="2" borderId="45" xfId="3" applyFont="1" applyFill="1" applyBorder="1" applyAlignment="1">
      <alignment horizontal="left" vertical="top" wrapText="1" readingOrder="1"/>
    </xf>
    <xf numFmtId="0" fontId="55" fillId="2" borderId="46" xfId="2" applyFont="1" applyFill="1" applyBorder="1" applyAlignment="1">
      <alignment horizontal="justify" vertical="center" wrapText="1"/>
    </xf>
    <xf numFmtId="0" fontId="55" fillId="2" borderId="47" xfId="2" applyFont="1" applyFill="1" applyBorder="1" applyAlignment="1">
      <alignment horizontal="justify" vertical="center" wrapText="1"/>
    </xf>
    <xf numFmtId="0" fontId="54" fillId="2" borderId="48" xfId="0" applyFont="1" applyFill="1" applyBorder="1" applyAlignment="1">
      <alignment horizontal="left" vertical="center" wrapText="1"/>
    </xf>
    <xf numFmtId="0" fontId="54" fillId="2" borderId="49" xfId="0" applyFont="1" applyFill="1" applyBorder="1" applyAlignment="1">
      <alignment horizontal="left" vertical="center" wrapText="1"/>
    </xf>
    <xf numFmtId="0" fontId="55" fillId="2" borderId="50" xfId="2" applyFont="1" applyFill="1" applyBorder="1" applyAlignment="1">
      <alignment horizontal="justify" vertical="center" wrapText="1"/>
    </xf>
    <xf numFmtId="0" fontId="55" fillId="2" borderId="51" xfId="2" applyFont="1" applyFill="1" applyBorder="1" applyAlignment="1">
      <alignment horizontal="justify" vertical="center" wrapText="1"/>
    </xf>
    <xf numFmtId="0" fontId="49" fillId="2" borderId="5" xfId="2" applyFont="1" applyFill="1" applyBorder="1" applyAlignment="1">
      <alignment horizontal="left" vertical="top" wrapText="1"/>
    </xf>
    <xf numFmtId="0" fontId="49" fillId="2" borderId="0" xfId="2" applyFont="1" applyFill="1" applyAlignment="1">
      <alignment horizontal="left" vertical="top" wrapText="1"/>
    </xf>
    <xf numFmtId="0" fontId="49" fillId="2" borderId="6" xfId="2" applyFont="1" applyFill="1" applyBorder="1" applyAlignment="1">
      <alignment horizontal="left" vertical="top" wrapText="1"/>
    </xf>
    <xf numFmtId="0" fontId="54" fillId="2" borderId="57" xfId="0" applyFont="1" applyFill="1" applyBorder="1" applyAlignment="1">
      <alignment horizontal="left" vertical="center" wrapText="1"/>
    </xf>
    <xf numFmtId="0" fontId="54" fillId="2" borderId="58" xfId="0" applyFont="1" applyFill="1" applyBorder="1" applyAlignment="1">
      <alignment horizontal="left" vertical="center" wrapText="1"/>
    </xf>
    <xf numFmtId="0" fontId="54" fillId="2" borderId="59" xfId="0" applyFont="1" applyFill="1" applyBorder="1" applyAlignment="1">
      <alignment horizontal="left" vertical="center" wrapText="1"/>
    </xf>
    <xf numFmtId="0" fontId="54" fillId="2" borderId="60" xfId="0" applyFont="1" applyFill="1" applyBorder="1" applyAlignment="1">
      <alignment horizontal="left" vertical="center" wrapText="1"/>
    </xf>
    <xf numFmtId="0" fontId="55" fillId="2" borderId="52" xfId="0" applyFont="1" applyFill="1" applyBorder="1" applyAlignment="1">
      <alignment horizontal="justify" vertical="center" wrapText="1"/>
    </xf>
    <xf numFmtId="0" fontId="55" fillId="2" borderId="53" xfId="0" applyFont="1" applyFill="1" applyBorder="1" applyAlignment="1">
      <alignment horizontal="justify" vertical="center" wrapText="1"/>
    </xf>
    <xf numFmtId="0" fontId="3" fillId="2" borderId="74" xfId="2" applyFont="1" applyFill="1" applyBorder="1" applyAlignment="1">
      <alignment horizontal="center"/>
    </xf>
    <xf numFmtId="0" fontId="3" fillId="2" borderId="77" xfId="2" applyFont="1" applyFill="1" applyBorder="1" applyAlignment="1">
      <alignment horizontal="center"/>
    </xf>
    <xf numFmtId="0" fontId="3" fillId="2" borderId="78" xfId="2" applyFont="1" applyFill="1" applyBorder="1" applyAlignment="1">
      <alignment horizontal="center"/>
    </xf>
    <xf numFmtId="0" fontId="52" fillId="13" borderId="19" xfId="2" applyFont="1" applyFill="1" applyBorder="1" applyAlignment="1">
      <alignment horizontal="center" vertical="center" wrapText="1"/>
    </xf>
    <xf numFmtId="0" fontId="65" fillId="2" borderId="40" xfId="2" applyFont="1" applyFill="1" applyBorder="1" applyAlignment="1">
      <alignment horizontal="center"/>
    </xf>
    <xf numFmtId="0" fontId="65" fillId="2" borderId="97" xfId="2" applyFont="1" applyFill="1" applyBorder="1" applyAlignment="1">
      <alignment horizontal="center"/>
    </xf>
    <xf numFmtId="0" fontId="65" fillId="2" borderId="98" xfId="2" applyFont="1" applyFill="1" applyBorder="1" applyAlignment="1">
      <alignment horizontal="center"/>
    </xf>
    <xf numFmtId="0" fontId="65" fillId="2" borderId="0" xfId="2" applyFont="1" applyFill="1" applyAlignment="1">
      <alignment horizontal="center"/>
    </xf>
    <xf numFmtId="0" fontId="65" fillId="2" borderId="99" xfId="2" applyFont="1" applyFill="1" applyBorder="1" applyAlignment="1">
      <alignment horizontal="center"/>
    </xf>
    <xf numFmtId="0" fontId="65" fillId="2" borderId="100" xfId="2" applyFont="1" applyFill="1" applyBorder="1" applyAlignment="1">
      <alignment horizontal="center"/>
    </xf>
    <xf numFmtId="0" fontId="63" fillId="0" borderId="90" xfId="2" applyFont="1" applyBorder="1" applyAlignment="1">
      <alignment horizontal="center" vertical="center" wrapText="1"/>
    </xf>
    <xf numFmtId="0" fontId="63" fillId="0" borderId="91" xfId="2" applyFont="1" applyBorder="1" applyAlignment="1">
      <alignment horizontal="center" vertical="center" wrapText="1"/>
    </xf>
    <xf numFmtId="0" fontId="64" fillId="2" borderId="19" xfId="2" applyFont="1" applyFill="1" applyBorder="1" applyAlignment="1">
      <alignment horizontal="center" vertical="center"/>
    </xf>
    <xf numFmtId="0" fontId="64" fillId="2" borderId="93" xfId="2" applyFont="1" applyFill="1" applyBorder="1" applyAlignment="1">
      <alignment horizontal="center" vertical="center"/>
    </xf>
    <xf numFmtId="0" fontId="65" fillId="2" borderId="95" xfId="2" applyFont="1" applyFill="1" applyBorder="1" applyAlignment="1">
      <alignment horizontal="left" vertical="center"/>
    </xf>
    <xf numFmtId="0" fontId="65" fillId="2" borderId="96" xfId="2" applyFont="1" applyFill="1" applyBorder="1" applyAlignment="1">
      <alignment horizontal="left" vertical="center"/>
    </xf>
    <xf numFmtId="0" fontId="65" fillId="0" borderId="19" xfId="2" quotePrefix="1" applyFont="1" applyBorder="1" applyAlignment="1">
      <alignment horizontal="left" vertical="center" wrapText="1"/>
    </xf>
    <xf numFmtId="0" fontId="69" fillId="2" borderId="19" xfId="2" quotePrefix="1" applyFont="1" applyFill="1" applyBorder="1" applyAlignment="1">
      <alignment horizontal="left" vertical="top" wrapText="1"/>
    </xf>
    <xf numFmtId="0" fontId="64" fillId="2" borderId="19" xfId="2" quotePrefix="1" applyFont="1" applyFill="1" applyBorder="1" applyAlignment="1">
      <alignment horizontal="left" vertical="top" wrapText="1"/>
    </xf>
    <xf numFmtId="0" fontId="65" fillId="2" borderId="19" xfId="2" quotePrefix="1" applyFont="1" applyFill="1" applyBorder="1" applyAlignment="1">
      <alignment horizontal="justify" vertical="center" wrapText="1"/>
    </xf>
    <xf numFmtId="0" fontId="3" fillId="0" borderId="19" xfId="2" quotePrefix="1" applyFont="1" applyBorder="1" applyAlignment="1">
      <alignment horizontal="left" vertical="center" wrapText="1"/>
    </xf>
    <xf numFmtId="0" fontId="64" fillId="13" borderId="80" xfId="3" applyFont="1" applyFill="1" applyBorder="1" applyAlignment="1">
      <alignment horizontal="center" vertical="center" wrapText="1"/>
    </xf>
    <xf numFmtId="0" fontId="64" fillId="13" borderId="81" xfId="3" applyFont="1" applyFill="1" applyBorder="1" applyAlignment="1">
      <alignment horizontal="center" vertical="center" wrapText="1"/>
    </xf>
    <xf numFmtId="0" fontId="64" fillId="13" borderId="42" xfId="2" applyFont="1" applyFill="1" applyBorder="1" applyAlignment="1">
      <alignment horizontal="center" vertical="center"/>
    </xf>
    <xf numFmtId="0" fontId="64" fillId="13" borderId="43" xfId="2" applyFont="1" applyFill="1" applyBorder="1" applyAlignment="1">
      <alignment horizontal="center" vertical="center"/>
    </xf>
    <xf numFmtId="0" fontId="51" fillId="2" borderId="74" xfId="2" quotePrefix="1" applyFont="1" applyFill="1" applyBorder="1" applyAlignment="1">
      <alignment horizontal="center" vertical="top" wrapText="1"/>
    </xf>
    <xf numFmtId="0" fontId="51" fillId="2" borderId="77" xfId="2" quotePrefix="1" applyFont="1" applyFill="1" applyBorder="1" applyAlignment="1">
      <alignment horizontal="center" vertical="top" wrapText="1"/>
    </xf>
    <xf numFmtId="0" fontId="51" fillId="2" borderId="78" xfId="2" quotePrefix="1" applyFont="1" applyFill="1" applyBorder="1" applyAlignment="1">
      <alignment horizontal="center" vertical="top" wrapText="1"/>
    </xf>
    <xf numFmtId="0" fontId="64" fillId="2" borderId="82" xfId="3" applyFont="1" applyFill="1" applyBorder="1" applyAlignment="1">
      <alignment horizontal="left" vertical="top" wrapText="1" readingOrder="1"/>
    </xf>
    <xf numFmtId="0" fontId="64" fillId="2" borderId="83" xfId="3" applyFont="1" applyFill="1" applyBorder="1" applyAlignment="1">
      <alignment horizontal="left" vertical="top" wrapText="1" readingOrder="1"/>
    </xf>
    <xf numFmtId="0" fontId="65" fillId="2" borderId="46" xfId="2" applyFont="1" applyFill="1" applyBorder="1" applyAlignment="1">
      <alignment horizontal="justify" vertical="center" wrapText="1"/>
    </xf>
    <xf numFmtId="0" fontId="65" fillId="2" borderId="47" xfId="2" applyFont="1" applyFill="1" applyBorder="1" applyAlignment="1">
      <alignment horizontal="justify" vertical="center" wrapText="1"/>
    </xf>
    <xf numFmtId="0" fontId="64" fillId="2" borderId="84" xfId="3" applyFont="1" applyFill="1" applyBorder="1" applyAlignment="1">
      <alignment horizontal="left" vertical="top" wrapText="1" readingOrder="1"/>
    </xf>
    <xf numFmtId="0" fontId="64" fillId="2" borderId="85" xfId="3" applyFont="1" applyFill="1" applyBorder="1" applyAlignment="1">
      <alignment horizontal="left" vertical="top" wrapText="1" readingOrder="1"/>
    </xf>
    <xf numFmtId="0" fontId="64" fillId="2" borderId="57" xfId="0" applyFont="1" applyFill="1" applyBorder="1" applyAlignment="1">
      <alignment horizontal="left" vertical="center" wrapText="1"/>
    </xf>
    <xf numFmtId="0" fontId="64" fillId="2" borderId="58" xfId="0" applyFont="1" applyFill="1" applyBorder="1" applyAlignment="1">
      <alignment horizontal="left" vertical="center" wrapText="1"/>
    </xf>
    <xf numFmtId="0" fontId="65" fillId="2" borderId="50" xfId="2" applyFont="1" applyFill="1" applyBorder="1" applyAlignment="1">
      <alignment horizontal="justify" vertical="center" wrapText="1"/>
    </xf>
    <xf numFmtId="0" fontId="65" fillId="2" borderId="51" xfId="2" applyFont="1" applyFill="1" applyBorder="1" applyAlignment="1">
      <alignment horizontal="justify" vertical="center" wrapText="1"/>
    </xf>
    <xf numFmtId="0" fontId="3" fillId="2" borderId="5" xfId="2" applyFont="1" applyFill="1" applyBorder="1" applyAlignment="1">
      <alignment horizontal="left" vertical="top" wrapText="1"/>
    </xf>
    <xf numFmtId="0" fontId="3" fillId="2" borderId="0" xfId="2" applyFont="1" applyFill="1" applyAlignment="1">
      <alignment horizontal="left" vertical="top" wrapText="1"/>
    </xf>
    <xf numFmtId="0" fontId="3" fillId="2" borderId="6" xfId="2" applyFont="1" applyFill="1" applyBorder="1" applyAlignment="1">
      <alignment horizontal="left" vertical="top" wrapText="1"/>
    </xf>
    <xf numFmtId="0" fontId="64" fillId="2" borderId="59" xfId="0" applyFont="1" applyFill="1" applyBorder="1" applyAlignment="1">
      <alignment horizontal="left" vertical="center" wrapText="1"/>
    </xf>
    <xf numFmtId="0" fontId="64" fillId="2" borderId="60" xfId="0" applyFont="1" applyFill="1" applyBorder="1" applyAlignment="1">
      <alignment horizontal="left" vertical="center" wrapText="1"/>
    </xf>
    <xf numFmtId="0" fontId="65" fillId="2" borderId="52" xfId="2" applyFont="1" applyFill="1" applyBorder="1" applyAlignment="1">
      <alignment horizontal="justify" vertical="center" wrapText="1"/>
    </xf>
    <xf numFmtId="0" fontId="65" fillId="2" borderId="53" xfId="2" applyFont="1" applyFill="1" applyBorder="1" applyAlignment="1">
      <alignment horizontal="justify" vertical="center" wrapText="1"/>
    </xf>
    <xf numFmtId="0" fontId="63" fillId="0" borderId="19" xfId="0" applyFont="1" applyBorder="1" applyAlignment="1" applyProtection="1">
      <alignment horizontal="center" vertical="center" wrapText="1"/>
      <protection hidden="1"/>
    </xf>
    <xf numFmtId="9" fontId="68" fillId="0" borderId="19" xfId="0" applyNumberFormat="1" applyFont="1" applyBorder="1" applyAlignment="1" applyProtection="1">
      <alignment horizontal="center" vertical="center" wrapText="1"/>
      <protection hidden="1"/>
    </xf>
    <xf numFmtId="9" fontId="68" fillId="0" borderId="19" xfId="0" applyNumberFormat="1" applyFont="1" applyBorder="1" applyAlignment="1" applyProtection="1">
      <alignment horizontal="center" vertical="center" wrapText="1"/>
      <protection locked="0"/>
    </xf>
    <xf numFmtId="0" fontId="63" fillId="0" borderId="19" xfId="0" applyFont="1" applyBorder="1" applyAlignment="1" applyProtection="1">
      <alignment horizontal="center" vertical="center"/>
      <protection hidden="1"/>
    </xf>
    <xf numFmtId="0" fontId="68" fillId="0" borderId="19" xfId="0" applyFont="1" applyBorder="1" applyAlignment="1" applyProtection="1">
      <alignment horizontal="left" vertical="center" wrapText="1"/>
      <protection locked="0"/>
    </xf>
    <xf numFmtId="0" fontId="68" fillId="0" borderId="19" xfId="0" applyFont="1" applyBorder="1" applyAlignment="1" applyProtection="1">
      <alignment horizontal="center" vertical="center" wrapText="1"/>
      <protection locked="0"/>
    </xf>
    <xf numFmtId="0" fontId="65" fillId="0" borderId="19" xfId="0" applyFont="1" applyBorder="1" applyAlignment="1" applyProtection="1">
      <alignment vertical="center" wrapText="1"/>
      <protection locked="0"/>
    </xf>
    <xf numFmtId="0" fontId="63" fillId="0" borderId="19" xfId="0" applyFont="1" applyBorder="1" applyAlignment="1">
      <alignment horizontal="center" vertical="center"/>
    </xf>
    <xf numFmtId="0" fontId="64" fillId="2" borderId="19" xfId="0" applyFont="1" applyFill="1" applyBorder="1" applyAlignment="1">
      <alignment horizontal="center" vertical="center" wrapText="1"/>
    </xf>
    <xf numFmtId="0" fontId="68" fillId="0" borderId="19" xfId="0" applyFont="1" applyBorder="1" applyAlignment="1" applyProtection="1">
      <alignment horizontal="center" vertical="center"/>
      <protection locked="0"/>
    </xf>
    <xf numFmtId="0" fontId="90" fillId="30" borderId="21" xfId="0" applyFont="1" applyFill="1" applyBorder="1" applyAlignment="1">
      <alignment horizontal="center" vertical="center"/>
    </xf>
    <xf numFmtId="0" fontId="90" fillId="30" borderId="22" xfId="0" applyFont="1" applyFill="1" applyBorder="1" applyAlignment="1">
      <alignment horizontal="center" vertical="center"/>
    </xf>
    <xf numFmtId="0" fontId="90" fillId="30" borderId="33" xfId="0" applyFont="1" applyFill="1" applyBorder="1" applyAlignment="1">
      <alignment horizontal="center" vertical="center"/>
    </xf>
    <xf numFmtId="0" fontId="64" fillId="26" borderId="102" xfId="0" applyFont="1" applyFill="1" applyBorder="1" applyAlignment="1">
      <alignment horizontal="center" vertical="center" textRotation="90" wrapText="1"/>
    </xf>
    <xf numFmtId="0" fontId="64" fillId="26" borderId="103" xfId="0" applyFont="1" applyFill="1" applyBorder="1" applyAlignment="1">
      <alignment horizontal="center" vertical="center" textRotation="90" wrapText="1"/>
    </xf>
    <xf numFmtId="0" fontId="64" fillId="26" borderId="104" xfId="0" applyFont="1" applyFill="1" applyBorder="1" applyAlignment="1">
      <alignment horizontal="center" vertical="center" textRotation="90" wrapText="1"/>
    </xf>
    <xf numFmtId="0" fontId="64" fillId="26" borderId="72" xfId="0" applyFont="1" applyFill="1" applyBorder="1" applyAlignment="1">
      <alignment horizontal="center" vertical="center" textRotation="90" wrapText="1"/>
    </xf>
    <xf numFmtId="0" fontId="64" fillId="26" borderId="69" xfId="0" applyFont="1" applyFill="1" applyBorder="1" applyAlignment="1">
      <alignment horizontal="center" vertical="center" textRotation="90" wrapText="1"/>
    </xf>
    <xf numFmtId="0" fontId="64" fillId="26" borderId="101" xfId="0" applyFont="1" applyFill="1" applyBorder="1" applyAlignment="1">
      <alignment horizontal="center" vertical="center" textRotation="90" wrapText="1"/>
    </xf>
    <xf numFmtId="0" fontId="64" fillId="14" borderId="67" xfId="0" applyFont="1" applyFill="1" applyBorder="1" applyAlignment="1">
      <alignment horizontal="center" vertical="center" textRotation="90"/>
    </xf>
    <xf numFmtId="0" fontId="64" fillId="14" borderId="66" xfId="0" applyFont="1" applyFill="1" applyBorder="1" applyAlignment="1">
      <alignment horizontal="center" vertical="center" textRotation="90"/>
    </xf>
    <xf numFmtId="0" fontId="64" fillId="14" borderId="64" xfId="0" applyFont="1" applyFill="1" applyBorder="1" applyAlignment="1">
      <alignment horizontal="center" vertical="center" textRotation="90"/>
    </xf>
    <xf numFmtId="0" fontId="64" fillId="14" borderId="70" xfId="0" applyFont="1" applyFill="1" applyBorder="1" applyAlignment="1">
      <alignment horizontal="center" vertical="center" textRotation="90"/>
    </xf>
    <xf numFmtId="0" fontId="64" fillId="14" borderId="105" xfId="0" applyFont="1" applyFill="1" applyBorder="1" applyAlignment="1">
      <alignment horizontal="center" vertical="center" textRotation="90"/>
    </xf>
    <xf numFmtId="0" fontId="63" fillId="30" borderId="5" xfId="6" applyFont="1" applyFill="1" applyBorder="1" applyAlignment="1">
      <alignment horizontal="center" vertical="center" wrapText="1"/>
    </xf>
    <xf numFmtId="0" fontId="63" fillId="30" borderId="0" xfId="6" applyFont="1" applyFill="1" applyBorder="1" applyAlignment="1">
      <alignment horizontal="center" vertical="center" wrapText="1"/>
    </xf>
    <xf numFmtId="0" fontId="63" fillId="30" borderId="6" xfId="6" applyFont="1" applyFill="1" applyBorder="1" applyAlignment="1">
      <alignment horizontal="center" vertical="center" wrapText="1"/>
    </xf>
    <xf numFmtId="0" fontId="63" fillId="30" borderId="5" xfId="0" applyFont="1" applyFill="1" applyBorder="1" applyAlignment="1">
      <alignment horizontal="center" vertical="center"/>
    </xf>
    <xf numFmtId="0" fontId="63" fillId="30" borderId="0" xfId="0" applyFont="1" applyFill="1" applyBorder="1" applyAlignment="1">
      <alignment horizontal="center" vertical="center"/>
    </xf>
    <xf numFmtId="0" fontId="63" fillId="30" borderId="6" xfId="0" applyFont="1" applyFill="1" applyBorder="1" applyAlignment="1">
      <alignment horizontal="center" vertical="center"/>
    </xf>
    <xf numFmtId="0" fontId="64" fillId="14" borderId="67" xfId="0" applyFont="1" applyFill="1" applyBorder="1" applyAlignment="1">
      <alignment horizontal="center" vertical="center" wrapText="1"/>
    </xf>
    <xf numFmtId="0" fontId="64" fillId="14" borderId="66" xfId="0" applyFont="1" applyFill="1" applyBorder="1" applyAlignment="1">
      <alignment horizontal="center" vertical="center" wrapText="1"/>
    </xf>
    <xf numFmtId="0" fontId="64" fillId="14" borderId="64" xfId="0" applyFont="1" applyFill="1" applyBorder="1" applyAlignment="1">
      <alignment horizontal="center" vertical="center" wrapText="1"/>
    </xf>
    <xf numFmtId="0" fontId="89" fillId="26" borderId="72" xfId="0" applyFont="1" applyFill="1" applyBorder="1" applyAlignment="1">
      <alignment horizontal="center" vertical="center" textRotation="90" wrapText="1"/>
    </xf>
    <xf numFmtId="0" fontId="64" fillId="26" borderId="67" xfId="0" applyFont="1" applyFill="1" applyBorder="1" applyAlignment="1">
      <alignment horizontal="center" vertical="center" textRotation="90" wrapText="1"/>
    </xf>
    <xf numFmtId="0" fontId="64" fillId="26" borderId="66" xfId="0" applyFont="1" applyFill="1" applyBorder="1" applyAlignment="1">
      <alignment horizontal="center" vertical="center" textRotation="90" wrapText="1"/>
    </xf>
    <xf numFmtId="0" fontId="64" fillId="26" borderId="64" xfId="0" applyFont="1" applyFill="1" applyBorder="1" applyAlignment="1">
      <alignment horizontal="center" vertical="center" textRotation="90" wrapText="1"/>
    </xf>
    <xf numFmtId="0" fontId="64" fillId="29" borderId="72" xfId="0" applyFont="1" applyFill="1" applyBorder="1" applyAlignment="1">
      <alignment horizontal="center" vertical="center" wrapText="1"/>
    </xf>
    <xf numFmtId="0" fontId="64" fillId="29" borderId="69" xfId="0" applyFont="1" applyFill="1" applyBorder="1" applyAlignment="1">
      <alignment horizontal="center" vertical="center" wrapText="1"/>
    </xf>
    <xf numFmtId="0" fontId="64" fillId="29" borderId="101" xfId="0" applyFont="1" applyFill="1" applyBorder="1" applyAlignment="1">
      <alignment horizontal="center" vertical="center" wrapText="1"/>
    </xf>
    <xf numFmtId="0" fontId="64" fillId="19" borderId="67" xfId="0" applyFont="1" applyFill="1" applyBorder="1" applyAlignment="1">
      <alignment horizontal="center" vertical="center" textRotation="90" wrapText="1"/>
    </xf>
    <xf numFmtId="0" fontId="64" fillId="19" borderId="66" xfId="0" applyFont="1" applyFill="1" applyBorder="1" applyAlignment="1">
      <alignment horizontal="center" vertical="center" textRotation="90" wrapText="1"/>
    </xf>
    <xf numFmtId="0" fontId="64" fillId="19" borderId="64" xfId="0" applyFont="1" applyFill="1" applyBorder="1" applyAlignment="1">
      <alignment horizontal="center" vertical="center" textRotation="90" wrapText="1"/>
    </xf>
    <xf numFmtId="0" fontId="64" fillId="27" borderId="67" xfId="6" applyFont="1" applyFill="1" applyBorder="1" applyAlignment="1">
      <alignment horizontal="center" vertical="center" wrapText="1"/>
    </xf>
    <xf numFmtId="0" fontId="64" fillId="27" borderId="66" xfId="6" applyFont="1" applyFill="1" applyBorder="1" applyAlignment="1">
      <alignment horizontal="center" vertical="center" wrapText="1"/>
    </xf>
    <xf numFmtId="0" fontId="64" fillId="27" borderId="64" xfId="6" applyFont="1" applyFill="1" applyBorder="1" applyAlignment="1">
      <alignment horizontal="center" vertical="center" wrapText="1"/>
    </xf>
    <xf numFmtId="0" fontId="82" fillId="17" borderId="5" xfId="6" applyFont="1" applyFill="1" applyBorder="1" applyAlignment="1">
      <alignment horizontal="center" vertical="center" wrapText="1"/>
    </xf>
    <xf numFmtId="0" fontId="82" fillId="17" borderId="0" xfId="6" applyFont="1" applyFill="1" applyBorder="1" applyAlignment="1">
      <alignment horizontal="center" vertical="center" wrapText="1"/>
    </xf>
    <xf numFmtId="0" fontId="82" fillId="17" borderId="6" xfId="6" applyFont="1" applyFill="1" applyBorder="1" applyAlignment="1">
      <alignment horizontal="center" vertical="center" wrapText="1"/>
    </xf>
    <xf numFmtId="0" fontId="64" fillId="28" borderId="67" xfId="6" applyFont="1" applyFill="1" applyBorder="1" applyAlignment="1">
      <alignment horizontal="center" vertical="center" wrapText="1"/>
    </xf>
    <xf numFmtId="0" fontId="64" fillId="28" borderId="66" xfId="6" applyFont="1" applyFill="1" applyBorder="1" applyAlignment="1">
      <alignment horizontal="center" vertical="center" wrapText="1"/>
    </xf>
    <xf numFmtId="0" fontId="64" fillId="28" borderId="64" xfId="6" applyFont="1" applyFill="1" applyBorder="1" applyAlignment="1">
      <alignment horizontal="center" vertical="center" wrapText="1"/>
    </xf>
    <xf numFmtId="0" fontId="64" fillId="14" borderId="67" xfId="0" applyFont="1" applyFill="1" applyBorder="1" applyAlignment="1">
      <alignment horizontal="center" vertical="center" textRotation="90" wrapText="1"/>
    </xf>
    <xf numFmtId="0" fontId="64" fillId="14" borderId="66" xfId="0" applyFont="1" applyFill="1" applyBorder="1" applyAlignment="1">
      <alignment horizontal="center" vertical="center" textRotation="90" wrapText="1"/>
    </xf>
    <xf numFmtId="0" fontId="64" fillId="14" borderId="64" xfId="0" applyFont="1" applyFill="1" applyBorder="1" applyAlignment="1">
      <alignment horizontal="center" vertical="center" textRotation="90" wrapText="1"/>
    </xf>
    <xf numFmtId="0" fontId="64" fillId="14" borderId="21" xfId="0" applyFont="1" applyFill="1" applyBorder="1" applyAlignment="1">
      <alignment horizontal="center" vertical="center" wrapText="1"/>
    </xf>
    <xf numFmtId="0" fontId="64" fillId="14" borderId="22" xfId="0" applyFont="1" applyFill="1" applyBorder="1" applyAlignment="1">
      <alignment horizontal="center" vertical="center" wrapText="1"/>
    </xf>
    <xf numFmtId="0" fontId="64" fillId="14" borderId="10" xfId="0" applyFont="1" applyFill="1" applyBorder="1" applyAlignment="1">
      <alignment horizontal="center" vertical="center" wrapText="1"/>
    </xf>
    <xf numFmtId="0" fontId="64" fillId="14" borderId="33" xfId="0" applyFont="1" applyFill="1" applyBorder="1" applyAlignment="1">
      <alignment horizontal="center" vertical="center" wrapText="1"/>
    </xf>
    <xf numFmtId="0" fontId="63" fillId="0" borderId="19" xfId="0" applyFont="1" applyFill="1" applyBorder="1" applyAlignment="1">
      <alignment horizontal="center" vertical="center"/>
    </xf>
    <xf numFmtId="0" fontId="64" fillId="0" borderId="19" xfId="0" applyFont="1" applyFill="1" applyBorder="1" applyAlignment="1">
      <alignment horizontal="center" vertical="center" wrapText="1"/>
    </xf>
    <xf numFmtId="0" fontId="68" fillId="0" borderId="19" xfId="0" applyFont="1" applyFill="1" applyBorder="1" applyAlignment="1" applyProtection="1">
      <alignment horizontal="left" vertical="center" wrapText="1"/>
      <protection locked="0"/>
    </xf>
    <xf numFmtId="0" fontId="65" fillId="0" borderId="19" xfId="0" applyFont="1" applyFill="1" applyBorder="1" applyAlignment="1" applyProtection="1">
      <alignment vertical="center" wrapText="1"/>
      <protection locked="0"/>
    </xf>
    <xf numFmtId="0" fontId="68" fillId="0" borderId="19" xfId="0" applyFont="1" applyFill="1" applyBorder="1" applyAlignment="1" applyProtection="1">
      <alignment horizontal="center" vertical="center" wrapText="1"/>
      <protection locked="0"/>
    </xf>
    <xf numFmtId="0" fontId="64" fillId="28" borderId="3" xfId="0" applyFont="1" applyFill="1" applyBorder="1" applyAlignment="1">
      <alignment horizontal="center" vertical="center" wrapText="1"/>
    </xf>
    <xf numFmtId="0" fontId="64" fillId="28" borderId="4" xfId="0" applyFont="1" applyFill="1" applyBorder="1" applyAlignment="1">
      <alignment horizontal="center" vertical="center" wrapText="1"/>
    </xf>
    <xf numFmtId="0" fontId="64" fillId="28" borderId="7" xfId="0" applyFont="1" applyFill="1" applyBorder="1" applyAlignment="1">
      <alignment horizontal="center" vertical="center" wrapText="1"/>
    </xf>
    <xf numFmtId="0" fontId="64" fillId="28" borderId="8" xfId="0" applyFont="1" applyFill="1" applyBorder="1" applyAlignment="1">
      <alignment horizontal="center" vertical="center" wrapText="1"/>
    </xf>
    <xf numFmtId="0" fontId="64" fillId="28" borderId="67" xfId="0" applyFont="1" applyFill="1" applyBorder="1" applyAlignment="1">
      <alignment horizontal="center" vertical="center" wrapText="1"/>
    </xf>
    <xf numFmtId="0" fontId="64" fillId="28" borderId="64" xfId="0" applyFont="1" applyFill="1" applyBorder="1" applyAlignment="1">
      <alignment horizontal="center" vertical="center" wrapText="1"/>
    </xf>
    <xf numFmtId="0" fontId="64" fillId="27" borderId="73" xfId="0" applyFont="1" applyFill="1" applyBorder="1" applyAlignment="1">
      <alignment horizontal="center" vertical="center" wrapText="1"/>
    </xf>
    <xf numFmtId="0" fontId="64" fillId="27" borderId="71" xfId="0" applyFont="1" applyFill="1" applyBorder="1" applyAlignment="1">
      <alignment horizontal="center" vertical="center" wrapText="1"/>
    </xf>
    <xf numFmtId="0" fontId="64" fillId="27" borderId="106" xfId="0" applyFont="1" applyFill="1" applyBorder="1" applyAlignment="1">
      <alignment horizontal="center" vertical="center" wrapText="1"/>
    </xf>
    <xf numFmtId="0" fontId="64" fillId="29" borderId="67" xfId="0" applyFont="1" applyFill="1" applyBorder="1" applyAlignment="1">
      <alignment horizontal="center" vertical="center" wrapText="1"/>
    </xf>
    <xf numFmtId="0" fontId="64" fillId="29" borderId="66" xfId="0" applyFont="1" applyFill="1" applyBorder="1" applyAlignment="1">
      <alignment horizontal="center" vertical="center" wrapText="1"/>
    </xf>
    <xf numFmtId="0" fontId="64" fillId="29" borderId="64" xfId="0" applyFont="1" applyFill="1" applyBorder="1" applyAlignment="1">
      <alignment horizontal="center" vertical="center" wrapText="1"/>
    </xf>
    <xf numFmtId="0" fontId="64" fillId="29" borderId="67" xfId="6" applyFont="1" applyFill="1" applyBorder="1" applyAlignment="1">
      <alignment horizontal="center" vertical="center" wrapText="1"/>
    </xf>
    <xf numFmtId="0" fontId="64" fillId="29" borderId="66" xfId="6" applyFont="1" applyFill="1" applyBorder="1" applyAlignment="1">
      <alignment horizontal="center" vertical="center" wrapText="1"/>
    </xf>
    <xf numFmtId="0" fontId="64" fillId="29" borderId="64" xfId="6" applyFont="1" applyFill="1" applyBorder="1" applyAlignment="1">
      <alignment horizontal="center" vertical="center" wrapText="1"/>
    </xf>
    <xf numFmtId="0" fontId="63" fillId="0" borderId="20" xfId="0" applyFont="1" applyBorder="1" applyAlignment="1">
      <alignment horizontal="center" vertical="center"/>
    </xf>
    <xf numFmtId="0" fontId="64" fillId="2" borderId="20" xfId="0" applyFont="1" applyFill="1" applyBorder="1" applyAlignment="1">
      <alignment horizontal="center" vertical="center" wrapText="1"/>
    </xf>
    <xf numFmtId="0" fontId="68" fillId="0" borderId="20" xfId="0" applyFont="1" applyBorder="1" applyAlignment="1" applyProtection="1">
      <alignment horizontal="left" vertical="center" wrapText="1"/>
      <protection locked="0"/>
    </xf>
    <xf numFmtId="0" fontId="68" fillId="0" borderId="20" xfId="0" applyFont="1" applyBorder="1" applyAlignment="1" applyProtection="1">
      <alignment horizontal="center" vertical="center" wrapText="1"/>
      <protection locked="0"/>
    </xf>
    <xf numFmtId="0" fontId="65" fillId="0" borderId="20" xfId="0" applyFont="1" applyBorder="1" applyAlignment="1" applyProtection="1">
      <alignment vertical="center" wrapText="1"/>
      <protection locked="0"/>
    </xf>
    <xf numFmtId="0" fontId="68" fillId="0" borderId="20" xfId="0" applyFont="1" applyBorder="1" applyAlignment="1" applyProtection="1">
      <alignment horizontal="center" vertical="center"/>
      <protection locked="0"/>
    </xf>
    <xf numFmtId="0" fontId="63" fillId="0" borderId="20" xfId="0" applyFont="1" applyBorder="1" applyAlignment="1" applyProtection="1">
      <alignment horizontal="center" vertical="center" wrapText="1"/>
      <protection hidden="1"/>
    </xf>
    <xf numFmtId="9" fontId="68" fillId="0" borderId="20" xfId="0" applyNumberFormat="1" applyFont="1" applyBorder="1" applyAlignment="1" applyProtection="1">
      <alignment horizontal="center" vertical="center" wrapText="1"/>
      <protection hidden="1"/>
    </xf>
    <xf numFmtId="9" fontId="68" fillId="0" borderId="20" xfId="0" applyNumberFormat="1" applyFont="1" applyBorder="1" applyAlignment="1" applyProtection="1">
      <alignment horizontal="center" vertical="center" wrapText="1"/>
      <protection locked="0"/>
    </xf>
    <xf numFmtId="0" fontId="63" fillId="0" borderId="20" xfId="0" applyFont="1" applyBorder="1" applyAlignment="1" applyProtection="1">
      <alignment horizontal="center" vertical="center"/>
      <protection hidden="1"/>
    </xf>
    <xf numFmtId="0" fontId="65" fillId="0" borderId="23" xfId="2" quotePrefix="1" applyFont="1" applyBorder="1" applyAlignment="1">
      <alignment horizontal="left" vertical="top" wrapText="1"/>
    </xf>
    <xf numFmtId="0" fontId="65" fillId="0" borderId="19" xfId="2" quotePrefix="1" applyFont="1" applyBorder="1" applyAlignment="1">
      <alignment horizontal="left" vertical="top" wrapText="1"/>
    </xf>
    <xf numFmtId="0" fontId="65" fillId="0" borderId="24" xfId="2" quotePrefix="1" applyFont="1" applyBorder="1" applyAlignment="1">
      <alignment horizontal="left" vertical="top" wrapText="1"/>
    </xf>
    <xf numFmtId="0" fontId="65" fillId="0" borderId="25" xfId="2" quotePrefix="1" applyFont="1" applyBorder="1" applyAlignment="1">
      <alignment horizontal="left" vertical="top" wrapText="1"/>
    </xf>
    <xf numFmtId="0" fontId="65" fillId="0" borderId="26" xfId="2" quotePrefix="1" applyFont="1" applyBorder="1" applyAlignment="1">
      <alignment horizontal="left" vertical="top" wrapText="1"/>
    </xf>
    <xf numFmtId="0" fontId="65" fillId="0" borderId="27" xfId="2" quotePrefix="1" applyFont="1" applyBorder="1" applyAlignment="1">
      <alignment horizontal="left" vertical="top" wrapText="1"/>
    </xf>
    <xf numFmtId="0" fontId="47" fillId="2" borderId="40" xfId="2" applyFill="1" applyBorder="1" applyAlignment="1">
      <alignment horizontal="center"/>
    </xf>
    <xf numFmtId="0" fontId="47" fillId="2" borderId="97" xfId="2" applyFill="1" applyBorder="1" applyAlignment="1">
      <alignment horizontal="center"/>
    </xf>
    <xf numFmtId="0" fontId="47" fillId="2" borderId="98" xfId="2" applyFill="1" applyBorder="1" applyAlignment="1">
      <alignment horizontal="center"/>
    </xf>
    <xf numFmtId="0" fontId="47" fillId="2" borderId="0" xfId="2" applyFill="1" applyAlignment="1">
      <alignment horizontal="center"/>
    </xf>
    <xf numFmtId="0" fontId="47" fillId="2" borderId="99" xfId="2" applyFill="1" applyBorder="1" applyAlignment="1">
      <alignment horizontal="center"/>
    </xf>
    <xf numFmtId="0" fontId="47" fillId="2" borderId="100" xfId="2" applyFill="1" applyBorder="1" applyAlignment="1">
      <alignment horizontal="center"/>
    </xf>
    <xf numFmtId="0" fontId="64" fillId="13" borderId="63" xfId="2" applyFont="1" applyFill="1" applyBorder="1" applyAlignment="1">
      <alignment horizontal="center" vertical="center" wrapText="1"/>
    </xf>
    <xf numFmtId="0" fontId="64" fillId="13" borderId="62" xfId="2" applyFont="1" applyFill="1" applyBorder="1" applyAlignment="1">
      <alignment horizontal="center" vertical="center" wrapText="1"/>
    </xf>
    <xf numFmtId="0" fontId="64" fillId="13" borderId="68" xfId="2" applyFont="1" applyFill="1" applyBorder="1" applyAlignment="1">
      <alignment horizontal="center" vertical="center" wrapText="1"/>
    </xf>
    <xf numFmtId="0" fontId="65" fillId="0" borderId="23" xfId="2" quotePrefix="1" applyFont="1" applyBorder="1" applyAlignment="1">
      <alignment vertical="top" wrapText="1"/>
    </xf>
    <xf numFmtId="0" fontId="65" fillId="0" borderId="19" xfId="2" quotePrefix="1" applyFont="1" applyBorder="1" applyAlignment="1">
      <alignment vertical="top" wrapText="1"/>
    </xf>
    <xf numFmtId="0" fontId="65" fillId="0" borderId="24" xfId="2" quotePrefix="1" applyFont="1" applyBorder="1" applyAlignment="1">
      <alignment vertical="top" wrapText="1"/>
    </xf>
    <xf numFmtId="0" fontId="69" fillId="2" borderId="23" xfId="2" quotePrefix="1" applyFont="1" applyFill="1" applyBorder="1" applyAlignment="1">
      <alignment horizontal="center" vertical="top" wrapText="1"/>
    </xf>
    <xf numFmtId="0" fontId="69" fillId="2" borderId="19" xfId="2" quotePrefix="1" applyFont="1" applyFill="1" applyBorder="1" applyAlignment="1">
      <alignment horizontal="center" vertical="top" wrapText="1"/>
    </xf>
    <xf numFmtId="0" fontId="69" fillId="2" borderId="24" xfId="2" quotePrefix="1" applyFont="1" applyFill="1" applyBorder="1" applyAlignment="1">
      <alignment horizontal="center" vertical="top" wrapText="1"/>
    </xf>
    <xf numFmtId="0" fontId="65" fillId="0" borderId="23" xfId="2" quotePrefix="1" applyFont="1" applyBorder="1" applyAlignment="1">
      <alignment horizontal="left" vertical="center" wrapText="1"/>
    </xf>
    <xf numFmtId="0" fontId="65" fillId="0" borderId="24" xfId="2" quotePrefix="1" applyFont="1" applyBorder="1" applyAlignment="1">
      <alignment horizontal="left" vertical="center" wrapText="1"/>
    </xf>
    <xf numFmtId="0" fontId="3" fillId="2" borderId="76" xfId="2" applyFont="1" applyFill="1" applyBorder="1" applyAlignment="1">
      <alignment horizontal="center"/>
    </xf>
    <xf numFmtId="0" fontId="3" fillId="2" borderId="79" xfId="2" applyFont="1" applyFill="1" applyBorder="1" applyAlignment="1">
      <alignment horizontal="center"/>
    </xf>
    <xf numFmtId="0" fontId="64" fillId="13" borderId="89" xfId="3" applyFont="1" applyFill="1" applyBorder="1" applyAlignment="1">
      <alignment horizontal="center" vertical="center" wrapText="1"/>
    </xf>
    <xf numFmtId="0" fontId="64" fillId="13" borderId="90" xfId="3" applyFont="1" applyFill="1" applyBorder="1" applyAlignment="1">
      <alignment horizontal="center" vertical="center" wrapText="1"/>
    </xf>
    <xf numFmtId="0" fontId="64" fillId="13" borderId="90" xfId="2" applyFont="1" applyFill="1" applyBorder="1" applyAlignment="1">
      <alignment horizontal="center" vertical="center"/>
    </xf>
    <xf numFmtId="0" fontId="64" fillId="13" borderId="91" xfId="2" applyFont="1" applyFill="1" applyBorder="1" applyAlignment="1">
      <alignment horizontal="center" vertical="center"/>
    </xf>
    <xf numFmtId="0" fontId="64" fillId="2" borderId="92" xfId="3" applyFont="1" applyFill="1" applyBorder="1" applyAlignment="1">
      <alignment horizontal="left" vertical="top" wrapText="1" readingOrder="1"/>
    </xf>
    <xf numFmtId="0" fontId="64" fillId="2" borderId="19" xfId="3" applyFont="1" applyFill="1" applyBorder="1" applyAlignment="1">
      <alignment horizontal="left" vertical="top" wrapText="1" readingOrder="1"/>
    </xf>
    <xf numFmtId="0" fontId="65" fillId="2" borderId="19" xfId="2" applyFont="1" applyFill="1" applyBorder="1" applyAlignment="1">
      <alignment horizontal="justify" vertical="center" wrapText="1"/>
    </xf>
    <xf numFmtId="0" fontId="65" fillId="2" borderId="93" xfId="2" applyFont="1" applyFill="1" applyBorder="1" applyAlignment="1">
      <alignment horizontal="justify" vertical="center" wrapText="1"/>
    </xf>
    <xf numFmtId="0" fontId="64" fillId="2" borderId="92"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65" fillId="2" borderId="19" xfId="2" applyFont="1" applyFill="1" applyBorder="1" applyAlignment="1">
      <alignment horizontal="left" vertical="center" wrapText="1"/>
    </xf>
    <xf numFmtId="0" fontId="65" fillId="2" borderId="93" xfId="2" applyFont="1" applyFill="1" applyBorder="1" applyAlignment="1">
      <alignment horizontal="left" vertical="center" wrapText="1"/>
    </xf>
    <xf numFmtId="0" fontId="64" fillId="2" borderId="92" xfId="0" applyFont="1" applyFill="1" applyBorder="1" applyAlignment="1">
      <alignment horizontal="center" vertical="center" wrapText="1"/>
    </xf>
    <xf numFmtId="0" fontId="65" fillId="2" borderId="95" xfId="2" applyFont="1" applyFill="1" applyBorder="1" applyAlignment="1">
      <alignment horizontal="justify" vertical="center" wrapText="1"/>
    </xf>
    <xf numFmtId="0" fontId="65" fillId="2" borderId="96" xfId="2" applyFont="1" applyFill="1" applyBorder="1" applyAlignment="1">
      <alignment horizontal="justify" vertical="center" wrapText="1"/>
    </xf>
    <xf numFmtId="0" fontId="64" fillId="2" borderId="94" xfId="0" applyFont="1" applyFill="1" applyBorder="1" applyAlignment="1">
      <alignment horizontal="left" vertical="center" wrapText="1"/>
    </xf>
    <xf numFmtId="0" fontId="64" fillId="2" borderId="95" xfId="0" applyFont="1" applyFill="1" applyBorder="1" applyAlignment="1">
      <alignment horizontal="left" vertical="center" wrapText="1"/>
    </xf>
    <xf numFmtId="0" fontId="63" fillId="17" borderId="5" xfId="0" applyFont="1" applyFill="1" applyBorder="1" applyAlignment="1">
      <alignment horizontal="center" vertical="center"/>
    </xf>
    <xf numFmtId="0" fontId="63" fillId="17" borderId="0" xfId="0" applyFont="1" applyFill="1" applyBorder="1" applyAlignment="1">
      <alignment horizontal="center" vertical="center"/>
    </xf>
    <xf numFmtId="0" fontId="63" fillId="17" borderId="6" xfId="0" applyFont="1" applyFill="1" applyBorder="1" applyAlignment="1">
      <alignment horizontal="center" vertical="center"/>
    </xf>
    <xf numFmtId="0" fontId="90" fillId="17" borderId="7" xfId="0" applyFont="1" applyFill="1" applyBorder="1" applyAlignment="1">
      <alignment horizontal="center" vertical="center"/>
    </xf>
    <xf numFmtId="0" fontId="90" fillId="17" borderId="9" xfId="0" applyFont="1" applyFill="1" applyBorder="1" applyAlignment="1">
      <alignment horizontal="center" vertical="center"/>
    </xf>
    <xf numFmtId="0" fontId="63" fillId="4" borderId="3" xfId="6" applyFont="1" applyFill="1" applyBorder="1" applyAlignment="1">
      <alignment horizontal="center" vertical="center" wrapText="1"/>
    </xf>
    <xf numFmtId="0" fontId="63" fillId="4" borderId="4" xfId="6" applyFont="1" applyFill="1" applyBorder="1" applyAlignment="1">
      <alignment horizontal="center" vertical="center" wrapText="1"/>
    </xf>
    <xf numFmtId="0" fontId="83" fillId="20" borderId="63" xfId="6" applyFont="1" applyFill="1" applyBorder="1" applyAlignment="1">
      <alignment horizontal="center" vertical="center" wrapText="1"/>
    </xf>
    <xf numFmtId="0" fontId="83" fillId="20" borderId="23" xfId="6" applyFont="1" applyFill="1" applyBorder="1" applyAlignment="1">
      <alignment horizontal="center" vertical="center" wrapText="1"/>
    </xf>
    <xf numFmtId="0" fontId="83" fillId="20" borderId="25" xfId="6" applyFont="1" applyFill="1" applyBorder="1" applyAlignment="1">
      <alignment horizontal="center" vertical="center" wrapText="1"/>
    </xf>
    <xf numFmtId="0" fontId="64" fillId="29" borderId="3" xfId="6" applyFont="1" applyFill="1" applyBorder="1" applyAlignment="1">
      <alignment horizontal="center" vertical="center" wrapText="1"/>
    </xf>
    <xf numFmtId="0" fontId="64" fillId="29" borderId="5" xfId="6" applyFont="1" applyFill="1" applyBorder="1" applyAlignment="1">
      <alignment horizontal="center" vertical="center" wrapText="1"/>
    </xf>
    <xf numFmtId="0" fontId="64" fillId="29" borderId="7" xfId="6" applyFont="1" applyFill="1" applyBorder="1" applyAlignment="1">
      <alignment horizontal="center" vertical="center" wrapText="1"/>
    </xf>
    <xf numFmtId="0" fontId="68" fillId="8" borderId="19" xfId="0" applyFont="1" applyFill="1" applyBorder="1" applyAlignment="1" applyProtection="1">
      <alignment horizontal="center" vertical="center"/>
      <protection locked="0"/>
    </xf>
    <xf numFmtId="0" fontId="83" fillId="20" borderId="68" xfId="6" applyFont="1" applyFill="1" applyBorder="1" applyAlignment="1">
      <alignment horizontal="center" vertical="center" wrapText="1"/>
    </xf>
    <xf numFmtId="0" fontId="83" fillId="20" borderId="24" xfId="6" applyFont="1" applyFill="1" applyBorder="1" applyAlignment="1">
      <alignment horizontal="center" vertical="center" wrapText="1"/>
    </xf>
    <xf numFmtId="0" fontId="83" fillId="20" borderId="27" xfId="6" applyFont="1" applyFill="1" applyBorder="1" applyAlignment="1">
      <alignment horizontal="center" vertical="center" wrapText="1"/>
    </xf>
    <xf numFmtId="0" fontId="68" fillId="0" borderId="21" xfId="0" applyFont="1" applyBorder="1" applyAlignment="1">
      <alignment horizontal="center" vertical="center" wrapText="1"/>
    </xf>
    <xf numFmtId="0" fontId="68" fillId="0" borderId="33" xfId="0" applyFont="1" applyBorder="1" applyAlignment="1">
      <alignment horizontal="center" vertical="center" wrapText="1"/>
    </xf>
    <xf numFmtId="0" fontId="0" fillId="0" borderId="89" xfId="0" applyBorder="1" applyAlignment="1">
      <alignment horizontal="center"/>
    </xf>
    <xf numFmtId="0" fontId="0" fillId="0" borderId="92" xfId="0" applyBorder="1" applyAlignment="1">
      <alignment horizontal="center"/>
    </xf>
    <xf numFmtId="0" fontId="0" fillId="0" borderId="94" xfId="0" applyBorder="1" applyAlignment="1">
      <alignment horizontal="center"/>
    </xf>
    <xf numFmtId="0" fontId="66" fillId="21" borderId="21" xfId="0" applyFont="1" applyFill="1" applyBorder="1" applyAlignment="1">
      <alignment horizontal="center" vertical="center" wrapText="1"/>
    </xf>
    <xf numFmtId="0" fontId="66" fillId="21" borderId="22" xfId="0" applyFont="1" applyFill="1" applyBorder="1" applyAlignment="1">
      <alignment horizontal="center" vertical="center" wrapText="1"/>
    </xf>
    <xf numFmtId="0" fontId="63" fillId="0" borderId="21" xfId="0" applyFont="1" applyBorder="1" applyAlignment="1">
      <alignment horizontal="left" vertical="center" wrapText="1"/>
    </xf>
    <xf numFmtId="0" fontId="63" fillId="0" borderId="22" xfId="0" applyFont="1" applyBorder="1" applyAlignment="1">
      <alignment horizontal="left" vertical="center" wrapText="1"/>
    </xf>
    <xf numFmtId="0" fontId="63" fillId="0" borderId="33" xfId="0" applyFont="1" applyBorder="1" applyAlignment="1">
      <alignment horizontal="left" vertical="center" wrapText="1"/>
    </xf>
    <xf numFmtId="0" fontId="63" fillId="21" borderId="21" xfId="0" applyFont="1" applyFill="1" applyBorder="1" applyAlignment="1">
      <alignment horizontal="center" vertical="center" wrapText="1"/>
    </xf>
    <xf numFmtId="0" fontId="63" fillId="21" borderId="33" xfId="0" applyFont="1" applyFill="1" applyBorder="1" applyAlignment="1">
      <alignment horizontal="center" vertical="center" wrapText="1"/>
    </xf>
    <xf numFmtId="0" fontId="63" fillId="0" borderId="21" xfId="0" applyFont="1" applyBorder="1" applyAlignment="1">
      <alignment horizontal="center" vertical="center" wrapText="1"/>
    </xf>
    <xf numFmtId="0" fontId="63" fillId="0" borderId="33" xfId="0" applyFont="1" applyBorder="1" applyAlignment="1">
      <alignment horizontal="center" vertical="center" wrapText="1"/>
    </xf>
    <xf numFmtId="0" fontId="64" fillId="0" borderId="76" xfId="0" applyFont="1" applyBorder="1" applyAlignment="1">
      <alignment horizontal="center"/>
    </xf>
    <xf numFmtId="0" fontId="64" fillId="0" borderId="78" xfId="0" applyFont="1" applyBorder="1" applyAlignment="1">
      <alignment horizontal="center"/>
    </xf>
    <xf numFmtId="0" fontId="26" fillId="0" borderId="0" xfId="0" applyFont="1" applyAlignment="1">
      <alignment horizontal="center" vertical="center" wrapText="1"/>
    </xf>
    <xf numFmtId="0" fontId="21" fillId="4" borderId="5" xfId="0" applyFont="1" applyFill="1" applyBorder="1" applyAlignment="1" applyProtection="1">
      <alignment horizontal="center" wrapText="1" readingOrder="1"/>
      <protection hidden="1"/>
    </xf>
    <xf numFmtId="0" fontId="21" fillId="4" borderId="0" xfId="0" applyFont="1" applyFill="1" applyAlignment="1" applyProtection="1">
      <alignment horizontal="center" wrapText="1" readingOrder="1"/>
      <protection hidden="1"/>
    </xf>
    <xf numFmtId="0" fontId="21" fillId="4" borderId="6" xfId="0" applyFont="1" applyFill="1" applyBorder="1" applyAlignment="1" applyProtection="1">
      <alignment horizontal="center" wrapText="1" readingOrder="1"/>
      <protection hidden="1"/>
    </xf>
    <xf numFmtId="0" fontId="21" fillId="4" borderId="7" xfId="0" applyFont="1" applyFill="1" applyBorder="1" applyAlignment="1" applyProtection="1">
      <alignment horizontal="center" wrapText="1" readingOrder="1"/>
      <protection hidden="1"/>
    </xf>
    <xf numFmtId="0" fontId="21" fillId="4" borderId="9" xfId="0" applyFont="1" applyFill="1" applyBorder="1" applyAlignment="1" applyProtection="1">
      <alignment horizontal="center" wrapText="1" readingOrder="1"/>
      <protection hidden="1"/>
    </xf>
    <xf numFmtId="0" fontId="21" fillId="4" borderId="8" xfId="0" applyFont="1" applyFill="1" applyBorder="1" applyAlignment="1" applyProtection="1">
      <alignment horizontal="center" wrapText="1" readingOrder="1"/>
      <protection hidden="1"/>
    </xf>
    <xf numFmtId="0" fontId="21" fillId="4" borderId="3" xfId="0" applyFont="1" applyFill="1" applyBorder="1" applyAlignment="1" applyProtection="1">
      <alignment horizontal="center" wrapText="1" readingOrder="1"/>
      <protection hidden="1"/>
    </xf>
    <xf numFmtId="0" fontId="21" fillId="4" borderId="10" xfId="0" applyFont="1" applyFill="1" applyBorder="1" applyAlignment="1" applyProtection="1">
      <alignment horizontal="center" wrapText="1" readingOrder="1"/>
      <protection hidden="1"/>
    </xf>
    <xf numFmtId="0" fontId="21" fillId="4" borderId="4" xfId="0" applyFont="1" applyFill="1" applyBorder="1" applyAlignment="1" applyProtection="1">
      <alignment horizontal="center" wrapText="1" readingOrder="1"/>
      <protection hidden="1"/>
    </xf>
    <xf numFmtId="0" fontId="21" fillId="12" borderId="5"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6" xfId="0" applyFont="1" applyFill="1" applyBorder="1" applyAlignment="1" applyProtection="1">
      <alignment horizontal="center" wrapText="1" readingOrder="1"/>
      <protection hidden="1"/>
    </xf>
    <xf numFmtId="0" fontId="21" fillId="12" borderId="7" xfId="0" applyFont="1" applyFill="1" applyBorder="1" applyAlignment="1" applyProtection="1">
      <alignment horizontal="center" wrapText="1" readingOrder="1"/>
      <protection hidden="1"/>
    </xf>
    <xf numFmtId="0" fontId="21" fillId="12" borderId="9" xfId="0" applyFont="1" applyFill="1" applyBorder="1" applyAlignment="1" applyProtection="1">
      <alignment horizontal="center" wrapText="1" readingOrder="1"/>
      <protection hidden="1"/>
    </xf>
    <xf numFmtId="0" fontId="21" fillId="12" borderId="8" xfId="0" applyFont="1" applyFill="1" applyBorder="1" applyAlignment="1" applyProtection="1">
      <alignment horizontal="center" wrapText="1" readingOrder="1"/>
      <protection hidden="1"/>
    </xf>
    <xf numFmtId="0" fontId="21" fillId="12" borderId="3" xfId="0" applyFont="1" applyFill="1" applyBorder="1" applyAlignment="1" applyProtection="1">
      <alignment horizontal="center" wrapText="1" readingOrder="1"/>
      <protection hidden="1"/>
    </xf>
    <xf numFmtId="0" fontId="21" fillId="12" borderId="10" xfId="0" applyFont="1" applyFill="1" applyBorder="1" applyAlignment="1" applyProtection="1">
      <alignment horizontal="center" wrapText="1" readingOrder="1"/>
      <protection hidden="1"/>
    </xf>
    <xf numFmtId="0" fontId="21" fillId="12" borderId="4" xfId="0" applyFont="1" applyFill="1" applyBorder="1" applyAlignment="1" applyProtection="1">
      <alignment horizontal="center" wrapText="1" readingOrder="1"/>
      <protection hidden="1"/>
    </xf>
    <xf numFmtId="0" fontId="21" fillId="11" borderId="5" xfId="0" applyFont="1" applyFill="1" applyBorder="1" applyAlignment="1" applyProtection="1">
      <alignment horizontal="center" wrapText="1" readingOrder="1"/>
      <protection hidden="1"/>
    </xf>
    <xf numFmtId="0" fontId="21" fillId="11" borderId="0" xfId="0" applyFont="1" applyFill="1" applyAlignment="1" applyProtection="1">
      <alignment horizontal="center" wrapText="1" readingOrder="1"/>
      <protection hidden="1"/>
    </xf>
    <xf numFmtId="0" fontId="21" fillId="11" borderId="6" xfId="0" applyFont="1" applyFill="1" applyBorder="1" applyAlignment="1" applyProtection="1">
      <alignment horizontal="center" wrapText="1" readingOrder="1"/>
      <protection hidden="1"/>
    </xf>
    <xf numFmtId="0" fontId="21" fillId="11" borderId="7" xfId="0" applyFont="1" applyFill="1" applyBorder="1" applyAlignment="1" applyProtection="1">
      <alignment horizontal="center" wrapText="1" readingOrder="1"/>
      <protection hidden="1"/>
    </xf>
    <xf numFmtId="0" fontId="21" fillId="11" borderId="9" xfId="0" applyFont="1" applyFill="1" applyBorder="1" applyAlignment="1" applyProtection="1">
      <alignment horizontal="center" wrapText="1" readingOrder="1"/>
      <protection hidden="1"/>
    </xf>
    <xf numFmtId="0" fontId="21" fillId="11" borderId="8" xfId="0" applyFont="1" applyFill="1" applyBorder="1" applyAlignment="1" applyProtection="1">
      <alignment horizontal="center" wrapText="1" readingOrder="1"/>
      <protection hidden="1"/>
    </xf>
    <xf numFmtId="0" fontId="21" fillId="11" borderId="3" xfId="0" applyFont="1" applyFill="1" applyBorder="1" applyAlignment="1" applyProtection="1">
      <alignment horizontal="center" wrapText="1" readingOrder="1"/>
      <protection hidden="1"/>
    </xf>
    <xf numFmtId="0" fontId="21" fillId="11" borderId="10" xfId="0" applyFont="1" applyFill="1" applyBorder="1" applyAlignment="1" applyProtection="1">
      <alignment horizontal="center" wrapText="1" readingOrder="1"/>
      <protection hidden="1"/>
    </xf>
    <xf numFmtId="0" fontId="21" fillId="11" borderId="4" xfId="0" applyFont="1" applyFill="1" applyBorder="1" applyAlignment="1" applyProtection="1">
      <alignment horizontal="center" wrapText="1" readingOrder="1"/>
      <protection hidden="1"/>
    </xf>
    <xf numFmtId="0" fontId="21" fillId="10" borderId="5" xfId="0" applyFont="1" applyFill="1" applyBorder="1" applyAlignment="1" applyProtection="1">
      <alignment horizontal="center" vertical="center" wrapText="1" readingOrder="1"/>
      <protection hidden="1"/>
    </xf>
    <xf numFmtId="0" fontId="21" fillId="10" borderId="0" xfId="0" applyFont="1" applyFill="1" applyAlignment="1" applyProtection="1">
      <alignment horizontal="center" vertical="center" wrapText="1" readingOrder="1"/>
      <protection hidden="1"/>
    </xf>
    <xf numFmtId="0" fontId="21" fillId="10" borderId="6" xfId="0" applyFont="1" applyFill="1" applyBorder="1" applyAlignment="1" applyProtection="1">
      <alignment horizontal="center" vertical="center" wrapText="1" readingOrder="1"/>
      <protection hidden="1"/>
    </xf>
    <xf numFmtId="0" fontId="21" fillId="10" borderId="7" xfId="0" applyFont="1" applyFill="1" applyBorder="1" applyAlignment="1" applyProtection="1">
      <alignment horizontal="center" vertical="center" wrapText="1" readingOrder="1"/>
      <protection hidden="1"/>
    </xf>
    <xf numFmtId="0" fontId="21" fillId="10" borderId="9" xfId="0" applyFont="1" applyFill="1" applyBorder="1" applyAlignment="1" applyProtection="1">
      <alignment horizontal="center" vertical="center" wrapText="1" readingOrder="1"/>
      <protection hidden="1"/>
    </xf>
    <xf numFmtId="0" fontId="21" fillId="10" borderId="8" xfId="0" applyFont="1" applyFill="1" applyBorder="1" applyAlignment="1" applyProtection="1">
      <alignment horizontal="center" vertical="center" wrapText="1" readingOrder="1"/>
      <protection hidden="1"/>
    </xf>
    <xf numFmtId="0" fontId="21" fillId="10" borderId="3" xfId="0" applyFont="1" applyFill="1" applyBorder="1" applyAlignment="1" applyProtection="1">
      <alignment horizontal="center" vertical="center" wrapText="1" readingOrder="1"/>
      <protection hidden="1"/>
    </xf>
    <xf numFmtId="0" fontId="21" fillId="10" borderId="10" xfId="0" applyFont="1" applyFill="1" applyBorder="1" applyAlignment="1" applyProtection="1">
      <alignment horizontal="center" vertical="center" wrapText="1" readingOrder="1"/>
      <protection hidden="1"/>
    </xf>
    <xf numFmtId="0" fontId="21" fillId="10" borderId="4" xfId="0" applyFont="1" applyFill="1" applyBorder="1" applyAlignment="1" applyProtection="1">
      <alignment horizontal="center" vertical="center" wrapText="1" readingOrder="1"/>
      <protection hidden="1"/>
    </xf>
    <xf numFmtId="0" fontId="19" fillId="9" borderId="0" xfId="0" applyFont="1" applyFill="1" applyAlignment="1">
      <alignment horizontal="center" vertical="center" wrapText="1" readingOrder="1"/>
    </xf>
    <xf numFmtId="0" fontId="18" fillId="0" borderId="3" xfId="0" applyFont="1" applyBorder="1" applyAlignment="1">
      <alignment horizontal="center" vertical="center" wrapText="1"/>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wrapText="1"/>
    </xf>
    <xf numFmtId="0" fontId="19" fillId="9" borderId="0" xfId="0" applyFont="1" applyFill="1" applyAlignment="1">
      <alignment horizontal="center" vertical="center" textRotation="90" wrapText="1" readingOrder="1"/>
    </xf>
    <xf numFmtId="0" fontId="19" fillId="9" borderId="6" xfId="0" applyFont="1" applyFill="1" applyBorder="1" applyAlignment="1">
      <alignment horizontal="center" vertical="center" textRotation="90" wrapText="1" readingOrder="1"/>
    </xf>
    <xf numFmtId="0" fontId="22" fillId="11" borderId="11" xfId="0" applyFont="1" applyFill="1" applyBorder="1" applyAlignment="1">
      <alignment horizontal="center" vertical="center" wrapText="1" readingOrder="1"/>
    </xf>
    <xf numFmtId="0" fontId="22" fillId="11" borderId="12" xfId="0" applyFont="1" applyFill="1" applyBorder="1" applyAlignment="1">
      <alignment horizontal="center" vertical="center" wrapText="1" readingOrder="1"/>
    </xf>
    <xf numFmtId="0" fontId="22" fillId="11" borderId="13" xfId="0" applyFont="1" applyFill="1" applyBorder="1" applyAlignment="1">
      <alignment horizontal="center" vertical="center" wrapText="1" readingOrder="1"/>
    </xf>
    <xf numFmtId="0" fontId="22" fillId="11" borderId="14"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15" xfId="0" applyFont="1" applyFill="1" applyBorder="1" applyAlignment="1">
      <alignment horizontal="center" vertical="center" wrapText="1" readingOrder="1"/>
    </xf>
    <xf numFmtId="0" fontId="22" fillId="11" borderId="16" xfId="0" applyFont="1" applyFill="1" applyBorder="1" applyAlignment="1">
      <alignment horizontal="center" vertical="center" wrapText="1" readingOrder="1"/>
    </xf>
    <xf numFmtId="0" fontId="22" fillId="11" borderId="17" xfId="0" applyFont="1" applyFill="1" applyBorder="1" applyAlignment="1">
      <alignment horizontal="center" vertical="center" wrapText="1" readingOrder="1"/>
    </xf>
    <xf numFmtId="0" fontId="22" fillId="11" borderId="18" xfId="0" applyFont="1" applyFill="1" applyBorder="1" applyAlignment="1">
      <alignment horizontal="center" vertical="center" wrapText="1" readingOrder="1"/>
    </xf>
    <xf numFmtId="0" fontId="22" fillId="10" borderId="11" xfId="0" applyFont="1" applyFill="1" applyBorder="1" applyAlignment="1">
      <alignment horizontal="center" vertical="center" wrapText="1" readingOrder="1"/>
    </xf>
    <xf numFmtId="0" fontId="22" fillId="10" borderId="12" xfId="0" applyFont="1" applyFill="1" applyBorder="1" applyAlignment="1">
      <alignment horizontal="center" vertical="center" wrapText="1" readingOrder="1"/>
    </xf>
    <xf numFmtId="0" fontId="22" fillId="10" borderId="13" xfId="0" applyFont="1" applyFill="1" applyBorder="1" applyAlignment="1">
      <alignment horizontal="center" vertical="center" wrapText="1" readingOrder="1"/>
    </xf>
    <xf numFmtId="0" fontId="22" fillId="10" borderId="14" xfId="0" applyFont="1" applyFill="1" applyBorder="1" applyAlignment="1">
      <alignment horizontal="center" vertical="center" wrapText="1" readingOrder="1"/>
    </xf>
    <xf numFmtId="0" fontId="22" fillId="10" borderId="0" xfId="0" applyFont="1" applyFill="1" applyAlignment="1">
      <alignment horizontal="center" vertical="center" wrapText="1" readingOrder="1"/>
    </xf>
    <xf numFmtId="0" fontId="22" fillId="10" borderId="15" xfId="0" applyFont="1" applyFill="1" applyBorder="1" applyAlignment="1">
      <alignment horizontal="center" vertical="center" wrapText="1" readingOrder="1"/>
    </xf>
    <xf numFmtId="0" fontId="22" fillId="10" borderId="16" xfId="0" applyFont="1" applyFill="1" applyBorder="1" applyAlignment="1">
      <alignment horizontal="center" vertical="center" wrapText="1" readingOrder="1"/>
    </xf>
    <xf numFmtId="0" fontId="22" fillId="10" borderId="17" xfId="0" applyFont="1" applyFill="1" applyBorder="1" applyAlignment="1">
      <alignment horizontal="center" vertical="center" wrapText="1" readingOrder="1"/>
    </xf>
    <xf numFmtId="0" fontId="22" fillId="10" borderId="18" xfId="0" applyFont="1" applyFill="1" applyBorder="1" applyAlignment="1">
      <alignment horizontal="center" vertical="center" wrapText="1" readingOrder="1"/>
    </xf>
    <xf numFmtId="0" fontId="22" fillId="12" borderId="11" xfId="0" applyFont="1" applyFill="1" applyBorder="1" applyAlignment="1">
      <alignment horizontal="center" vertical="center" wrapText="1" readingOrder="1"/>
    </xf>
    <xf numFmtId="0" fontId="22" fillId="12" borderId="12" xfId="0" applyFont="1" applyFill="1" applyBorder="1" applyAlignment="1">
      <alignment horizontal="center" vertical="center" wrapText="1" readingOrder="1"/>
    </xf>
    <xf numFmtId="0" fontId="22" fillId="12" borderId="13" xfId="0" applyFont="1" applyFill="1" applyBorder="1" applyAlignment="1">
      <alignment horizontal="center" vertical="center" wrapText="1" readingOrder="1"/>
    </xf>
    <xf numFmtId="0" fontId="22" fillId="12" borderId="14"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15" xfId="0" applyFont="1" applyFill="1" applyBorder="1" applyAlignment="1">
      <alignment horizontal="center" vertical="center" wrapText="1" readingOrder="1"/>
    </xf>
    <xf numFmtId="0" fontId="22" fillId="12" borderId="16" xfId="0" applyFont="1" applyFill="1" applyBorder="1" applyAlignment="1">
      <alignment horizontal="center" vertical="center" wrapText="1" readingOrder="1"/>
    </xf>
    <xf numFmtId="0" fontId="22" fillId="12" borderId="17" xfId="0" applyFont="1" applyFill="1" applyBorder="1" applyAlignment="1">
      <alignment horizontal="center" vertical="center" wrapText="1" readingOrder="1"/>
    </xf>
    <xf numFmtId="0" fontId="22" fillId="12" borderId="18" xfId="0" applyFont="1" applyFill="1" applyBorder="1" applyAlignment="1">
      <alignment horizontal="center" vertical="center" wrapText="1" readingOrder="1"/>
    </xf>
    <xf numFmtId="0" fontId="22" fillId="4" borderId="11" xfId="0" applyFont="1" applyFill="1" applyBorder="1" applyAlignment="1">
      <alignment horizontal="center" vertical="center" wrapText="1" readingOrder="1"/>
    </xf>
    <xf numFmtId="0" fontId="22" fillId="4" borderId="12" xfId="0" applyFont="1" applyFill="1" applyBorder="1" applyAlignment="1">
      <alignment horizontal="center" vertical="center" wrapText="1" readingOrder="1"/>
    </xf>
    <xf numFmtId="0" fontId="22" fillId="4" borderId="13" xfId="0" applyFont="1" applyFill="1" applyBorder="1" applyAlignment="1">
      <alignment horizontal="center" vertical="center" wrapText="1" readingOrder="1"/>
    </xf>
    <xf numFmtId="0" fontId="22" fillId="4" borderId="14" xfId="0" applyFont="1" applyFill="1" applyBorder="1" applyAlignment="1">
      <alignment horizontal="center" vertical="center" wrapText="1" readingOrder="1"/>
    </xf>
    <xf numFmtId="0" fontId="22" fillId="4" borderId="0" xfId="0" applyFont="1" applyFill="1" applyAlignment="1">
      <alignment horizontal="center" vertical="center" wrapText="1" readingOrder="1"/>
    </xf>
    <xf numFmtId="0" fontId="22" fillId="4" borderId="15" xfId="0" applyFont="1" applyFill="1" applyBorder="1" applyAlignment="1">
      <alignment horizontal="center" vertical="center" wrapText="1" readingOrder="1"/>
    </xf>
    <xf numFmtId="0" fontId="22" fillId="4" borderId="16" xfId="0" applyFont="1" applyFill="1" applyBorder="1" applyAlignment="1">
      <alignment horizontal="center" vertical="center" wrapText="1" readingOrder="1"/>
    </xf>
    <xf numFmtId="0" fontId="22" fillId="4" borderId="17" xfId="0" applyFont="1" applyFill="1" applyBorder="1" applyAlignment="1">
      <alignment horizontal="center" vertical="center" wrapText="1" readingOrder="1"/>
    </xf>
    <xf numFmtId="0" fontId="22" fillId="4" borderId="18" xfId="0" applyFont="1" applyFill="1" applyBorder="1" applyAlignment="1">
      <alignment horizontal="center" vertical="center" wrapText="1" readingOrder="1"/>
    </xf>
    <xf numFmtId="0" fontId="43" fillId="0" borderId="3" xfId="0" applyFont="1" applyBorder="1" applyAlignment="1">
      <alignment horizontal="center" vertical="center" wrapText="1"/>
    </xf>
    <xf numFmtId="0" fontId="43" fillId="0" borderId="10"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0" xfId="0" applyFont="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10" xfId="0" applyFont="1" applyBorder="1" applyAlignment="1">
      <alignment horizontal="center" vertical="center" wrapText="1"/>
    </xf>
    <xf numFmtId="0" fontId="42" fillId="10" borderId="11" xfId="0" applyFont="1" applyFill="1" applyBorder="1" applyAlignment="1">
      <alignment horizontal="center" vertical="center" wrapText="1" readingOrder="1"/>
    </xf>
    <xf numFmtId="0" fontId="42" fillId="10" borderId="12" xfId="0" applyFont="1" applyFill="1" applyBorder="1" applyAlignment="1">
      <alignment horizontal="center" vertical="center" wrapText="1" readingOrder="1"/>
    </xf>
    <xf numFmtId="0" fontId="42" fillId="10" borderId="13" xfId="0" applyFont="1" applyFill="1" applyBorder="1" applyAlignment="1">
      <alignment horizontal="center" vertical="center" wrapText="1" readingOrder="1"/>
    </xf>
    <xf numFmtId="0" fontId="42" fillId="10" borderId="14" xfId="0" applyFont="1" applyFill="1" applyBorder="1" applyAlignment="1">
      <alignment horizontal="center" vertical="center" wrapText="1" readingOrder="1"/>
    </xf>
    <xf numFmtId="0" fontId="42" fillId="10" borderId="0" xfId="0" applyFont="1" applyFill="1" applyAlignment="1">
      <alignment horizontal="center" vertical="center" wrapText="1" readingOrder="1"/>
    </xf>
    <xf numFmtId="0" fontId="42" fillId="10" borderId="15" xfId="0" applyFont="1" applyFill="1" applyBorder="1" applyAlignment="1">
      <alignment horizontal="center" vertical="center" wrapText="1" readingOrder="1"/>
    </xf>
    <xf numFmtId="0" fontId="42" fillId="10" borderId="16" xfId="0" applyFont="1" applyFill="1" applyBorder="1" applyAlignment="1">
      <alignment horizontal="center" vertical="center" wrapText="1" readingOrder="1"/>
    </xf>
    <xf numFmtId="0" fontId="42" fillId="10" borderId="17" xfId="0" applyFont="1" applyFill="1" applyBorder="1" applyAlignment="1">
      <alignment horizontal="center" vertical="center" wrapText="1" readingOrder="1"/>
    </xf>
    <xf numFmtId="0" fontId="42" fillId="10" borderId="18" xfId="0" applyFont="1" applyFill="1" applyBorder="1" applyAlignment="1">
      <alignment horizontal="center" vertical="center" wrapText="1" readingOrder="1"/>
    </xf>
    <xf numFmtId="0" fontId="43" fillId="0" borderId="5" xfId="0" applyFont="1" applyBorder="1" applyAlignment="1">
      <alignment horizontal="center" vertical="center" wrapText="1"/>
    </xf>
    <xf numFmtId="0" fontId="42" fillId="11" borderId="11" xfId="0" applyFont="1" applyFill="1" applyBorder="1" applyAlignment="1">
      <alignment horizontal="center" vertical="center" wrapText="1" readingOrder="1"/>
    </xf>
    <xf numFmtId="0" fontId="42" fillId="11" borderId="12" xfId="0" applyFont="1" applyFill="1" applyBorder="1" applyAlignment="1">
      <alignment horizontal="center" vertical="center" wrapText="1" readingOrder="1"/>
    </xf>
    <xf numFmtId="0" fontId="42" fillId="11" borderId="13" xfId="0" applyFont="1" applyFill="1" applyBorder="1" applyAlignment="1">
      <alignment horizontal="center" vertical="center" wrapText="1" readingOrder="1"/>
    </xf>
    <xf numFmtId="0" fontId="42" fillId="11" borderId="14"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15" xfId="0" applyFont="1" applyFill="1" applyBorder="1" applyAlignment="1">
      <alignment horizontal="center" vertical="center" wrapText="1" readingOrder="1"/>
    </xf>
    <xf numFmtId="0" fontId="42" fillId="11" borderId="16" xfId="0" applyFont="1" applyFill="1" applyBorder="1" applyAlignment="1">
      <alignment horizontal="center" vertical="center" wrapText="1" readingOrder="1"/>
    </xf>
    <xf numFmtId="0" fontId="42" fillId="11" borderId="17" xfId="0" applyFont="1" applyFill="1" applyBorder="1" applyAlignment="1">
      <alignment horizontal="center" vertical="center" wrapText="1" readingOrder="1"/>
    </xf>
    <xf numFmtId="0" fontId="42" fillId="11" borderId="18"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4" borderId="11" xfId="0" applyFont="1" applyFill="1" applyBorder="1" applyAlignment="1">
      <alignment horizontal="center" vertical="center" wrapText="1" readingOrder="1"/>
    </xf>
    <xf numFmtId="0" fontId="42" fillId="4" borderId="12" xfId="0" applyFont="1" applyFill="1" applyBorder="1" applyAlignment="1">
      <alignment horizontal="center" vertical="center" wrapText="1" readingOrder="1"/>
    </xf>
    <xf numFmtId="0" fontId="42" fillId="4" borderId="13" xfId="0" applyFont="1" applyFill="1" applyBorder="1" applyAlignment="1">
      <alignment horizontal="center" vertical="center" wrapText="1" readingOrder="1"/>
    </xf>
    <xf numFmtId="0" fontId="42" fillId="4" borderId="14" xfId="0" applyFont="1" applyFill="1" applyBorder="1" applyAlignment="1">
      <alignment horizontal="center" vertical="center" wrapText="1" readingOrder="1"/>
    </xf>
    <xf numFmtId="0" fontId="42" fillId="4" borderId="0" xfId="0" applyFont="1" applyFill="1" applyAlignment="1">
      <alignment horizontal="center" vertical="center" wrapText="1" readingOrder="1"/>
    </xf>
    <xf numFmtId="0" fontId="42" fillId="4" borderId="15" xfId="0" applyFont="1" applyFill="1" applyBorder="1" applyAlignment="1">
      <alignment horizontal="center" vertical="center" wrapText="1" readingOrder="1"/>
    </xf>
    <xf numFmtId="0" fontId="42" fillId="4" borderId="16" xfId="0" applyFont="1" applyFill="1" applyBorder="1" applyAlignment="1">
      <alignment horizontal="center" vertical="center" wrapText="1" readingOrder="1"/>
    </xf>
    <xf numFmtId="0" fontId="42" fillId="4" borderId="17" xfId="0" applyFont="1" applyFill="1" applyBorder="1" applyAlignment="1">
      <alignment horizontal="center" vertical="center" wrapText="1" readingOrder="1"/>
    </xf>
    <xf numFmtId="0" fontId="42" fillId="4" borderId="18" xfId="0" applyFont="1" applyFill="1" applyBorder="1" applyAlignment="1">
      <alignment horizontal="center" vertical="center" wrapText="1" readingOrder="1"/>
    </xf>
    <xf numFmtId="0" fontId="42" fillId="12" borderId="11" xfId="0" applyFont="1" applyFill="1" applyBorder="1" applyAlignment="1">
      <alignment horizontal="center" vertical="center" wrapText="1" readingOrder="1"/>
    </xf>
    <xf numFmtId="0" fontId="42" fillId="12" borderId="12" xfId="0" applyFont="1" applyFill="1" applyBorder="1" applyAlignment="1">
      <alignment horizontal="center" vertical="center" wrapText="1" readingOrder="1"/>
    </xf>
    <xf numFmtId="0" fontId="42" fillId="12" borderId="13" xfId="0" applyFont="1" applyFill="1" applyBorder="1" applyAlignment="1">
      <alignment horizontal="center" vertical="center" wrapText="1" readingOrder="1"/>
    </xf>
    <xf numFmtId="0" fontId="42" fillId="12" borderId="14"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15" xfId="0" applyFont="1" applyFill="1" applyBorder="1" applyAlignment="1">
      <alignment horizontal="center" vertical="center" wrapText="1" readingOrder="1"/>
    </xf>
    <xf numFmtId="0" fontId="42" fillId="12" borderId="16" xfId="0" applyFont="1" applyFill="1" applyBorder="1" applyAlignment="1">
      <alignment horizontal="center" vertical="center" wrapText="1" readingOrder="1"/>
    </xf>
    <xf numFmtId="0" fontId="42" fillId="12" borderId="17" xfId="0" applyFont="1" applyFill="1" applyBorder="1" applyAlignment="1">
      <alignment horizontal="center" vertical="center" wrapText="1" readingOrder="1"/>
    </xf>
    <xf numFmtId="0" fontId="42" fillId="12" borderId="18"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4" borderId="21" xfId="0" applyFont="1" applyFill="1" applyBorder="1" applyAlignment="1">
      <alignment horizontal="center" vertical="center" wrapText="1" readingOrder="1"/>
    </xf>
    <xf numFmtId="0" fontId="40" fillId="14" borderId="22" xfId="0" applyFont="1" applyFill="1" applyBorder="1" applyAlignment="1">
      <alignment horizontal="center" vertical="center" wrapText="1" readingOrder="1"/>
    </xf>
    <xf numFmtId="0" fontId="40" fillId="14" borderId="33" xfId="0" applyFont="1" applyFill="1" applyBorder="1" applyAlignment="1">
      <alignment horizontal="center" vertical="center" wrapText="1" readingOrder="1"/>
    </xf>
    <xf numFmtId="0" fontId="35" fillId="2" borderId="0" xfId="0" applyFont="1" applyFill="1" applyAlignment="1">
      <alignment horizontal="justify" vertical="center" wrapText="1"/>
    </xf>
    <xf numFmtId="0" fontId="37" fillId="14" borderId="30" xfId="0" applyFont="1" applyFill="1" applyBorder="1" applyAlignment="1">
      <alignment horizontal="center" vertical="center" wrapText="1" readingOrder="1"/>
    </xf>
    <xf numFmtId="0" fontId="37" fillId="14" borderId="31" xfId="0" applyFont="1" applyFill="1" applyBorder="1" applyAlignment="1">
      <alignment horizontal="center" vertical="center" wrapText="1" readingOrder="1"/>
    </xf>
    <xf numFmtId="0" fontId="37" fillId="2" borderId="28" xfId="0" applyFont="1" applyFill="1" applyBorder="1" applyAlignment="1">
      <alignment horizontal="center" vertical="center" wrapText="1" readingOrder="1"/>
    </xf>
    <xf numFmtId="0" fontId="37" fillId="2" borderId="23" xfId="0" applyFont="1" applyFill="1" applyBorder="1" applyAlignment="1">
      <alignment horizontal="center" vertical="center" wrapText="1" readingOrder="1"/>
    </xf>
    <xf numFmtId="0" fontId="37" fillId="2" borderId="20" xfId="0" applyFont="1" applyFill="1" applyBorder="1" applyAlignment="1">
      <alignment horizontal="center" vertical="center" wrapText="1" readingOrder="1"/>
    </xf>
    <xf numFmtId="0" fontId="37" fillId="2" borderId="19" xfId="0" applyFont="1" applyFill="1" applyBorder="1" applyAlignment="1">
      <alignment horizontal="center" vertical="center" wrapText="1" readingOrder="1"/>
    </xf>
    <xf numFmtId="0" fontId="37" fillId="2" borderId="25" xfId="0" applyFont="1" applyFill="1" applyBorder="1" applyAlignment="1">
      <alignment horizontal="center" vertical="center" wrapText="1" readingOrder="1"/>
    </xf>
    <xf numFmtId="0" fontId="37" fillId="2" borderId="26" xfId="0" applyFont="1" applyFill="1" applyBorder="1" applyAlignment="1">
      <alignment horizontal="center" vertical="center" wrapText="1" readingOrder="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0" fillId="0" borderId="0" xfId="0" applyAlignment="1">
      <alignment horizontal="center"/>
    </xf>
    <xf numFmtId="0" fontId="71" fillId="0" borderId="19" xfId="0" applyFont="1" applyBorder="1" applyAlignment="1">
      <alignment horizontal="center" vertical="center" textRotation="90"/>
    </xf>
    <xf numFmtId="0" fontId="0" fillId="0" borderId="74"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72" fillId="0" borderId="19" xfId="0" applyFont="1" applyBorder="1" applyAlignment="1">
      <alignment horizontal="center" vertical="center"/>
    </xf>
    <xf numFmtId="0" fontId="70" fillId="0" borderId="19" xfId="0" applyFont="1" applyBorder="1" applyAlignment="1">
      <alignment horizontal="center" vertical="center" wrapText="1"/>
    </xf>
    <xf numFmtId="0" fontId="70" fillId="0" borderId="75" xfId="0" applyFont="1" applyBorder="1" applyAlignment="1">
      <alignment horizontal="center" vertical="center"/>
    </xf>
    <xf numFmtId="0" fontId="70" fillId="0" borderId="61" xfId="0" applyFont="1" applyBorder="1" applyAlignment="1">
      <alignment horizontal="center" vertical="center"/>
    </xf>
    <xf numFmtId="0" fontId="70" fillId="0" borderId="19" xfId="0" applyFont="1" applyBorder="1" applyAlignment="1">
      <alignment horizontal="center" vertical="center"/>
    </xf>
    <xf numFmtId="0" fontId="61" fillId="16" borderId="19" xfId="0" applyFont="1" applyFill="1" applyBorder="1" applyAlignment="1">
      <alignment horizontal="center" vertical="center" wrapText="1"/>
    </xf>
    <xf numFmtId="0" fontId="68" fillId="0" borderId="19" xfId="0" applyFont="1" applyBorder="1" applyAlignment="1" applyProtection="1">
      <alignment vertical="top" wrapText="1"/>
      <protection locked="0"/>
    </xf>
    <xf numFmtId="0" fontId="68" fillId="0" borderId="19" xfId="0" applyFont="1" applyBorder="1" applyAlignment="1" applyProtection="1">
      <alignment vertical="center" wrapText="1"/>
      <protection locked="0"/>
    </xf>
    <xf numFmtId="0" fontId="1" fillId="18" borderId="19" xfId="0" applyFont="1" applyFill="1" applyBorder="1" applyAlignment="1">
      <alignment horizontal="center" vertical="center"/>
    </xf>
  </cellXfs>
  <cellStyles count="8">
    <cellStyle name="Normal" xfId="0" builtinId="0"/>
    <cellStyle name="Normal - Style1 2" xfId="2"/>
    <cellStyle name="Normal 11" xfId="7"/>
    <cellStyle name="Normal 2" xfId="4"/>
    <cellStyle name="Normal 2 2" xfId="3"/>
    <cellStyle name="Normal 3" xfId="5"/>
    <cellStyle name="Normal 3 2" xfId="6"/>
    <cellStyle name="Porcentaje" xfId="1" builtinId="5"/>
  </cellStyles>
  <dxfs count="283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99"/>
      <color rgb="FFFF9900"/>
      <color rgb="FFE6EFFD"/>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26</xdr:col>
      <xdr:colOff>47625</xdr:colOff>
      <xdr:row>0</xdr:row>
      <xdr:rowOff>0</xdr:rowOff>
    </xdr:from>
    <xdr:to>
      <xdr:col>27</xdr:col>
      <xdr:colOff>404812</xdr:colOff>
      <xdr:row>0</xdr:row>
      <xdr:rowOff>1029986</xdr:rowOff>
    </xdr:to>
    <xdr:pic>
      <xdr:nvPicPr>
        <xdr:cNvPr id="2" name="Imagen 1" descr="logo vertical color">
          <a:extLst>
            <a:ext uri="{FF2B5EF4-FFF2-40B4-BE49-F238E27FC236}">
              <a16:creationId xmlns="" xmlns:a16="http://schemas.microsoft.com/office/drawing/2014/main" id="{B2170602-1A88-4F64-BA61-B87A19589B2E}"/>
            </a:ext>
          </a:extLst>
        </xdr:cNvPr>
        <xdr:cNvPicPr>
          <a:picLocks noChangeAspect="1" noChangeArrowheads="1"/>
        </xdr:cNvPicPr>
      </xdr:nvPicPr>
      <xdr:blipFill>
        <a:blip xmlns:r="http://schemas.openxmlformats.org/officeDocument/2006/relationships" r:embed="rId1" cstate="print"/>
        <a:srcRect l="9148" t="5981" r="6860" b="16666"/>
        <a:stretch>
          <a:fillRect/>
        </a:stretch>
      </xdr:blipFill>
      <xdr:spPr bwMode="auto">
        <a:xfrm>
          <a:off x="43314938" y="0"/>
          <a:ext cx="857249" cy="102998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685800</xdr:colOff>
      <xdr:row>0</xdr:row>
      <xdr:rowOff>19050</xdr:rowOff>
    </xdr:from>
    <xdr:to>
      <xdr:col>31</xdr:col>
      <xdr:colOff>402771</xdr:colOff>
      <xdr:row>0</xdr:row>
      <xdr:rowOff>628650</xdr:rowOff>
    </xdr:to>
    <xdr:pic>
      <xdr:nvPicPr>
        <xdr:cNvPr id="2" name="Imagen 1" descr="logo vertical color">
          <a:extLst>
            <a:ext uri="{FF2B5EF4-FFF2-40B4-BE49-F238E27FC236}">
              <a16:creationId xmlns="" xmlns:a16="http://schemas.microsoft.com/office/drawing/2014/main" id="{B2170602-1A88-4F64-BA61-B87A19589B2E}"/>
            </a:ext>
          </a:extLst>
        </xdr:cNvPr>
        <xdr:cNvPicPr>
          <a:picLocks noChangeAspect="1" noChangeArrowheads="1"/>
        </xdr:cNvPicPr>
      </xdr:nvPicPr>
      <xdr:blipFill>
        <a:blip xmlns:r="http://schemas.openxmlformats.org/officeDocument/2006/relationships" r:embed="rId1" cstate="print"/>
        <a:srcRect l="9148" t="5981" r="6860" b="16666"/>
        <a:stretch>
          <a:fillRect/>
        </a:stretch>
      </xdr:blipFill>
      <xdr:spPr bwMode="auto">
        <a:xfrm>
          <a:off x="48354343" y="19050"/>
          <a:ext cx="435428" cy="609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igac.gov.co/sites/igac.gov.co/files/listadomaestro/ct-pry_gestion_de_proyecto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26" zoomScale="70" zoomScaleNormal="70" workbookViewId="0">
      <selection activeCell="I35" sqref="I35"/>
    </sheetView>
  </sheetViews>
  <sheetFormatPr baseColWidth="10" defaultColWidth="11.42578125" defaultRowHeight="15" x14ac:dyDescent="0.25"/>
  <cols>
    <col min="1" max="1" width="2.85546875" style="72" customWidth="1"/>
    <col min="2" max="3" width="24.7109375" style="72" customWidth="1"/>
    <col min="4" max="4" width="16" style="72" customWidth="1"/>
    <col min="5" max="5" width="24.7109375" style="72" customWidth="1"/>
    <col min="6" max="6" width="27.7109375" style="72" customWidth="1"/>
    <col min="7" max="8" width="24.7109375" style="72" customWidth="1"/>
    <col min="9" max="16384" width="11.42578125" style="72"/>
  </cols>
  <sheetData>
    <row r="1" spans="2:8" ht="15.75" thickBot="1" x14ac:dyDescent="0.3"/>
    <row r="2" spans="2:8" ht="18" x14ac:dyDescent="0.25">
      <c r="B2" s="346" t="s">
        <v>132</v>
      </c>
      <c r="C2" s="347"/>
      <c r="D2" s="347"/>
      <c r="E2" s="347"/>
      <c r="F2" s="347"/>
      <c r="G2" s="347"/>
      <c r="H2" s="348"/>
    </row>
    <row r="3" spans="2:8" x14ac:dyDescent="0.25">
      <c r="B3" s="73"/>
      <c r="C3" s="74"/>
      <c r="D3" s="74"/>
      <c r="E3" s="74"/>
      <c r="F3" s="74"/>
      <c r="G3" s="74"/>
      <c r="H3" s="75"/>
    </row>
    <row r="4" spans="2:8" ht="63" customHeight="1" x14ac:dyDescent="0.25">
      <c r="B4" s="349" t="s">
        <v>175</v>
      </c>
      <c r="C4" s="350"/>
      <c r="D4" s="350"/>
      <c r="E4" s="350"/>
      <c r="F4" s="350"/>
      <c r="G4" s="350"/>
      <c r="H4" s="351"/>
    </row>
    <row r="5" spans="2:8" ht="63" customHeight="1" x14ac:dyDescent="0.25">
      <c r="B5" s="352"/>
      <c r="C5" s="353"/>
      <c r="D5" s="353"/>
      <c r="E5" s="353"/>
      <c r="F5" s="353"/>
      <c r="G5" s="353"/>
      <c r="H5" s="354"/>
    </row>
    <row r="6" spans="2:8" ht="16.5" x14ac:dyDescent="0.25">
      <c r="B6" s="355" t="s">
        <v>130</v>
      </c>
      <c r="C6" s="356"/>
      <c r="D6" s="356"/>
      <c r="E6" s="356"/>
      <c r="F6" s="356"/>
      <c r="G6" s="356"/>
      <c r="H6" s="357"/>
    </row>
    <row r="7" spans="2:8" ht="95.25" customHeight="1" x14ac:dyDescent="0.25">
      <c r="B7" s="365" t="s">
        <v>135</v>
      </c>
      <c r="C7" s="366"/>
      <c r="D7" s="366"/>
      <c r="E7" s="366"/>
      <c r="F7" s="366"/>
      <c r="G7" s="366"/>
      <c r="H7" s="367"/>
    </row>
    <row r="8" spans="2:8" ht="16.5" x14ac:dyDescent="0.25">
      <c r="B8" s="109"/>
      <c r="C8" s="110"/>
      <c r="D8" s="110"/>
      <c r="E8" s="110"/>
      <c r="F8" s="110"/>
      <c r="G8" s="110"/>
      <c r="H8" s="111"/>
    </row>
    <row r="9" spans="2:8" ht="16.5" customHeight="1" x14ac:dyDescent="0.25">
      <c r="B9" s="358" t="s">
        <v>168</v>
      </c>
      <c r="C9" s="359"/>
      <c r="D9" s="359"/>
      <c r="E9" s="359"/>
      <c r="F9" s="359"/>
      <c r="G9" s="359"/>
      <c r="H9" s="360"/>
    </row>
    <row r="10" spans="2:8" ht="44.25" customHeight="1" x14ac:dyDescent="0.25">
      <c r="B10" s="358"/>
      <c r="C10" s="359"/>
      <c r="D10" s="359"/>
      <c r="E10" s="359"/>
      <c r="F10" s="359"/>
      <c r="G10" s="359"/>
      <c r="H10" s="360"/>
    </row>
    <row r="11" spans="2:8" ht="15.75" thickBot="1" x14ac:dyDescent="0.3">
      <c r="B11" s="98"/>
      <c r="C11" s="101"/>
      <c r="D11" s="106"/>
      <c r="E11" s="107"/>
      <c r="F11" s="107"/>
      <c r="G11" s="108"/>
      <c r="H11" s="102"/>
    </row>
    <row r="12" spans="2:8" ht="15.75" thickTop="1" x14ac:dyDescent="0.25">
      <c r="B12" s="98"/>
      <c r="C12" s="361" t="s">
        <v>131</v>
      </c>
      <c r="D12" s="362"/>
      <c r="E12" s="363" t="s">
        <v>169</v>
      </c>
      <c r="F12" s="364"/>
      <c r="G12" s="101"/>
      <c r="H12" s="102"/>
    </row>
    <row r="13" spans="2:8" ht="35.25" customHeight="1" x14ac:dyDescent="0.25">
      <c r="B13" s="98"/>
      <c r="C13" s="368" t="s">
        <v>162</v>
      </c>
      <c r="D13" s="369"/>
      <c r="E13" s="370" t="s">
        <v>167</v>
      </c>
      <c r="F13" s="371"/>
      <c r="G13" s="101"/>
      <c r="H13" s="102"/>
    </row>
    <row r="14" spans="2:8" ht="17.25" customHeight="1" x14ac:dyDescent="0.25">
      <c r="B14" s="98"/>
      <c r="C14" s="368" t="s">
        <v>163</v>
      </c>
      <c r="D14" s="369"/>
      <c r="E14" s="370" t="s">
        <v>165</v>
      </c>
      <c r="F14" s="371"/>
      <c r="G14" s="101"/>
      <c r="H14" s="102"/>
    </row>
    <row r="15" spans="2:8" ht="19.5" customHeight="1" x14ac:dyDescent="0.25">
      <c r="B15" s="98"/>
      <c r="C15" s="368" t="s">
        <v>164</v>
      </c>
      <c r="D15" s="369"/>
      <c r="E15" s="370" t="s">
        <v>166</v>
      </c>
      <c r="F15" s="371"/>
      <c r="G15" s="101"/>
      <c r="H15" s="102"/>
    </row>
    <row r="16" spans="2:8" ht="69.75" customHeight="1" x14ac:dyDescent="0.25">
      <c r="B16" s="98"/>
      <c r="C16" s="368" t="s">
        <v>133</v>
      </c>
      <c r="D16" s="369"/>
      <c r="E16" s="370" t="s">
        <v>134</v>
      </c>
      <c r="F16" s="371"/>
      <c r="G16" s="101"/>
      <c r="H16" s="102"/>
    </row>
    <row r="17" spans="2:8" ht="34.5" customHeight="1" x14ac:dyDescent="0.25">
      <c r="B17" s="98"/>
      <c r="C17" s="372" t="s">
        <v>1</v>
      </c>
      <c r="D17" s="373"/>
      <c r="E17" s="374" t="s">
        <v>176</v>
      </c>
      <c r="F17" s="375"/>
      <c r="G17" s="101"/>
      <c r="H17" s="102"/>
    </row>
    <row r="18" spans="2:8" ht="27.75" customHeight="1" x14ac:dyDescent="0.25">
      <c r="B18" s="98"/>
      <c r="C18" s="372" t="s">
        <v>2</v>
      </c>
      <c r="D18" s="373"/>
      <c r="E18" s="374" t="s">
        <v>177</v>
      </c>
      <c r="F18" s="375"/>
      <c r="G18" s="101"/>
      <c r="H18" s="102"/>
    </row>
    <row r="19" spans="2:8" ht="28.5" customHeight="1" x14ac:dyDescent="0.25">
      <c r="B19" s="98"/>
      <c r="C19" s="372" t="s">
        <v>32</v>
      </c>
      <c r="D19" s="373"/>
      <c r="E19" s="374" t="s">
        <v>178</v>
      </c>
      <c r="F19" s="375"/>
      <c r="G19" s="101"/>
      <c r="H19" s="102"/>
    </row>
    <row r="20" spans="2:8" ht="72.75" customHeight="1" x14ac:dyDescent="0.25">
      <c r="B20" s="98"/>
      <c r="C20" s="372" t="s">
        <v>0</v>
      </c>
      <c r="D20" s="373"/>
      <c r="E20" s="374" t="s">
        <v>179</v>
      </c>
      <c r="F20" s="375"/>
      <c r="G20" s="101"/>
      <c r="H20" s="102"/>
    </row>
    <row r="21" spans="2:8" ht="64.5" customHeight="1" x14ac:dyDescent="0.25">
      <c r="B21" s="98"/>
      <c r="C21" s="372" t="s">
        <v>36</v>
      </c>
      <c r="D21" s="373"/>
      <c r="E21" s="374" t="s">
        <v>137</v>
      </c>
      <c r="F21" s="375"/>
      <c r="G21" s="101"/>
      <c r="H21" s="102"/>
    </row>
    <row r="22" spans="2:8" ht="71.25" customHeight="1" x14ac:dyDescent="0.25">
      <c r="B22" s="98"/>
      <c r="C22" s="372" t="s">
        <v>136</v>
      </c>
      <c r="D22" s="373"/>
      <c r="E22" s="374" t="s">
        <v>138</v>
      </c>
      <c r="F22" s="375"/>
      <c r="G22" s="101"/>
      <c r="H22" s="102"/>
    </row>
    <row r="23" spans="2:8" ht="55.5" customHeight="1" x14ac:dyDescent="0.25">
      <c r="B23" s="98"/>
      <c r="C23" s="379" t="s">
        <v>139</v>
      </c>
      <c r="D23" s="380"/>
      <c r="E23" s="374" t="s">
        <v>140</v>
      </c>
      <c r="F23" s="375"/>
      <c r="G23" s="101"/>
      <c r="H23" s="102"/>
    </row>
    <row r="24" spans="2:8" ht="42" customHeight="1" x14ac:dyDescent="0.25">
      <c r="B24" s="98"/>
      <c r="C24" s="379" t="s">
        <v>35</v>
      </c>
      <c r="D24" s="380"/>
      <c r="E24" s="374" t="s">
        <v>141</v>
      </c>
      <c r="F24" s="375"/>
      <c r="G24" s="101"/>
      <c r="H24" s="102"/>
    </row>
    <row r="25" spans="2:8" ht="59.25" customHeight="1" x14ac:dyDescent="0.25">
      <c r="B25" s="98"/>
      <c r="C25" s="379" t="s">
        <v>129</v>
      </c>
      <c r="D25" s="380"/>
      <c r="E25" s="374" t="s">
        <v>142</v>
      </c>
      <c r="F25" s="375"/>
      <c r="G25" s="101"/>
      <c r="H25" s="102"/>
    </row>
    <row r="26" spans="2:8" ht="23.25" customHeight="1" x14ac:dyDescent="0.25">
      <c r="B26" s="98"/>
      <c r="C26" s="379" t="s">
        <v>11</v>
      </c>
      <c r="D26" s="380"/>
      <c r="E26" s="374" t="s">
        <v>143</v>
      </c>
      <c r="F26" s="375"/>
      <c r="G26" s="101"/>
      <c r="H26" s="102"/>
    </row>
    <row r="27" spans="2:8" ht="30.75" customHeight="1" x14ac:dyDescent="0.25">
      <c r="B27" s="98"/>
      <c r="C27" s="379" t="s">
        <v>147</v>
      </c>
      <c r="D27" s="380"/>
      <c r="E27" s="374" t="s">
        <v>144</v>
      </c>
      <c r="F27" s="375"/>
      <c r="G27" s="101"/>
      <c r="H27" s="102"/>
    </row>
    <row r="28" spans="2:8" ht="35.25" customHeight="1" x14ac:dyDescent="0.25">
      <c r="B28" s="98"/>
      <c r="C28" s="379" t="s">
        <v>148</v>
      </c>
      <c r="D28" s="380"/>
      <c r="E28" s="374" t="s">
        <v>145</v>
      </c>
      <c r="F28" s="375"/>
      <c r="G28" s="101"/>
      <c r="H28" s="102"/>
    </row>
    <row r="29" spans="2:8" ht="33" customHeight="1" x14ac:dyDescent="0.25">
      <c r="B29" s="98"/>
      <c r="C29" s="379" t="s">
        <v>148</v>
      </c>
      <c r="D29" s="380"/>
      <c r="E29" s="374" t="s">
        <v>145</v>
      </c>
      <c r="F29" s="375"/>
      <c r="G29" s="101"/>
      <c r="H29" s="102"/>
    </row>
    <row r="30" spans="2:8" ht="30" customHeight="1" x14ac:dyDescent="0.25">
      <c r="B30" s="98"/>
      <c r="C30" s="379" t="s">
        <v>149</v>
      </c>
      <c r="D30" s="380"/>
      <c r="E30" s="374" t="s">
        <v>146</v>
      </c>
      <c r="F30" s="375"/>
      <c r="G30" s="101"/>
      <c r="H30" s="102"/>
    </row>
    <row r="31" spans="2:8" ht="35.25" customHeight="1" x14ac:dyDescent="0.25">
      <c r="B31" s="98"/>
      <c r="C31" s="379" t="s">
        <v>150</v>
      </c>
      <c r="D31" s="380"/>
      <c r="E31" s="374" t="s">
        <v>151</v>
      </c>
      <c r="F31" s="375"/>
      <c r="G31" s="101"/>
      <c r="H31" s="102"/>
    </row>
    <row r="32" spans="2:8" ht="31.5" customHeight="1" x14ac:dyDescent="0.25">
      <c r="B32" s="98"/>
      <c r="C32" s="379" t="s">
        <v>152</v>
      </c>
      <c r="D32" s="380"/>
      <c r="E32" s="374" t="s">
        <v>153</v>
      </c>
      <c r="F32" s="375"/>
      <c r="G32" s="101"/>
      <c r="H32" s="102"/>
    </row>
    <row r="33" spans="2:8" ht="35.25" customHeight="1" x14ac:dyDescent="0.25">
      <c r="B33" s="98"/>
      <c r="C33" s="379" t="s">
        <v>154</v>
      </c>
      <c r="D33" s="380"/>
      <c r="E33" s="374" t="s">
        <v>155</v>
      </c>
      <c r="F33" s="375"/>
      <c r="G33" s="101"/>
      <c r="H33" s="102"/>
    </row>
    <row r="34" spans="2:8" ht="59.25" customHeight="1" x14ac:dyDescent="0.25">
      <c r="B34" s="98"/>
      <c r="C34" s="379" t="s">
        <v>156</v>
      </c>
      <c r="D34" s="380"/>
      <c r="E34" s="374" t="s">
        <v>157</v>
      </c>
      <c r="F34" s="375"/>
      <c r="G34" s="101"/>
      <c r="H34" s="102"/>
    </row>
    <row r="35" spans="2:8" ht="29.25" customHeight="1" x14ac:dyDescent="0.25">
      <c r="B35" s="98"/>
      <c r="C35" s="379" t="s">
        <v>25</v>
      </c>
      <c r="D35" s="380"/>
      <c r="E35" s="374" t="s">
        <v>158</v>
      </c>
      <c r="F35" s="375"/>
      <c r="G35" s="101"/>
      <c r="H35" s="102"/>
    </row>
    <row r="36" spans="2:8" ht="82.5" customHeight="1" x14ac:dyDescent="0.25">
      <c r="B36" s="98"/>
      <c r="C36" s="379" t="s">
        <v>160</v>
      </c>
      <c r="D36" s="380"/>
      <c r="E36" s="374" t="s">
        <v>159</v>
      </c>
      <c r="F36" s="375"/>
      <c r="G36" s="101"/>
      <c r="H36" s="102"/>
    </row>
    <row r="37" spans="2:8" ht="46.5" customHeight="1" x14ac:dyDescent="0.25">
      <c r="B37" s="98"/>
      <c r="C37" s="379" t="s">
        <v>29</v>
      </c>
      <c r="D37" s="380"/>
      <c r="E37" s="374" t="s">
        <v>161</v>
      </c>
      <c r="F37" s="375"/>
      <c r="G37" s="101"/>
      <c r="H37" s="102"/>
    </row>
    <row r="38" spans="2:8" ht="6.75" customHeight="1" thickBot="1" x14ac:dyDescent="0.3">
      <c r="B38" s="98"/>
      <c r="C38" s="381"/>
      <c r="D38" s="382"/>
      <c r="E38" s="383"/>
      <c r="F38" s="384"/>
      <c r="G38" s="101"/>
      <c r="H38" s="102"/>
    </row>
    <row r="39" spans="2:8" ht="15.75" thickTop="1" x14ac:dyDescent="0.25">
      <c r="B39" s="98"/>
      <c r="C39" s="99"/>
      <c r="D39" s="99"/>
      <c r="E39" s="100"/>
      <c r="F39" s="100"/>
      <c r="G39" s="101"/>
      <c r="H39" s="102"/>
    </row>
    <row r="40" spans="2:8" ht="21" customHeight="1" x14ac:dyDescent="0.25">
      <c r="B40" s="376" t="s">
        <v>170</v>
      </c>
      <c r="C40" s="377"/>
      <c r="D40" s="377"/>
      <c r="E40" s="377"/>
      <c r="F40" s="377"/>
      <c r="G40" s="377"/>
      <c r="H40" s="378"/>
    </row>
    <row r="41" spans="2:8" ht="20.25" customHeight="1" x14ac:dyDescent="0.25">
      <c r="B41" s="376" t="s">
        <v>171</v>
      </c>
      <c r="C41" s="377"/>
      <c r="D41" s="377"/>
      <c r="E41" s="377"/>
      <c r="F41" s="377"/>
      <c r="G41" s="377"/>
      <c r="H41" s="378"/>
    </row>
    <row r="42" spans="2:8" ht="20.25" customHeight="1" x14ac:dyDescent="0.25">
      <c r="B42" s="376" t="s">
        <v>172</v>
      </c>
      <c r="C42" s="377"/>
      <c r="D42" s="377"/>
      <c r="E42" s="377"/>
      <c r="F42" s="377"/>
      <c r="G42" s="377"/>
      <c r="H42" s="378"/>
    </row>
    <row r="43" spans="2:8" ht="20.25" customHeight="1" x14ac:dyDescent="0.25">
      <c r="B43" s="376" t="s">
        <v>173</v>
      </c>
      <c r="C43" s="377"/>
      <c r="D43" s="377"/>
      <c r="E43" s="377"/>
      <c r="F43" s="377"/>
      <c r="G43" s="377"/>
      <c r="H43" s="378"/>
    </row>
    <row r="44" spans="2:8" x14ac:dyDescent="0.25">
      <c r="B44" s="376" t="s">
        <v>174</v>
      </c>
      <c r="C44" s="377"/>
      <c r="D44" s="377"/>
      <c r="E44" s="377"/>
      <c r="F44" s="377"/>
      <c r="G44" s="377"/>
      <c r="H44" s="378"/>
    </row>
    <row r="45" spans="2:8" ht="15.75" thickBot="1" x14ac:dyDescent="0.3">
      <c r="B45" s="103"/>
      <c r="C45" s="104"/>
      <c r="D45" s="104"/>
      <c r="E45" s="104"/>
      <c r="F45" s="104"/>
      <c r="G45" s="104"/>
      <c r="H45" s="10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32"/>
  <sheetViews>
    <sheetView zoomScale="40" zoomScaleNormal="40" workbookViewId="0">
      <selection activeCell="B6" sqref="B6"/>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2"/>
      <c r="B1" s="730" t="s">
        <v>49</v>
      </c>
      <c r="C1" s="730"/>
      <c r="D1" s="730"/>
      <c r="E1" s="72"/>
      <c r="F1" s="72"/>
      <c r="G1" s="72"/>
      <c r="H1" s="72"/>
      <c r="I1" s="72"/>
      <c r="J1" s="72"/>
      <c r="K1" s="72"/>
      <c r="L1" s="72"/>
      <c r="M1" s="72"/>
      <c r="N1" s="72"/>
      <c r="O1" s="72"/>
      <c r="P1" s="72"/>
      <c r="Q1" s="72"/>
      <c r="R1" s="72"/>
      <c r="S1" s="72"/>
      <c r="T1" s="72"/>
      <c r="U1" s="72"/>
    </row>
    <row r="2" spans="1:21" x14ac:dyDescent="0.25">
      <c r="A2" s="72"/>
      <c r="B2" s="72"/>
      <c r="C2" s="72"/>
      <c r="D2" s="72"/>
      <c r="E2" s="72"/>
      <c r="F2" s="72"/>
      <c r="G2" s="72"/>
      <c r="H2" s="72"/>
      <c r="I2" s="72"/>
      <c r="J2" s="72"/>
      <c r="K2" s="72"/>
      <c r="L2" s="72"/>
      <c r="M2" s="72"/>
      <c r="N2" s="72"/>
      <c r="O2" s="72"/>
      <c r="P2" s="72"/>
      <c r="Q2" s="72"/>
      <c r="R2" s="72"/>
      <c r="S2" s="72"/>
      <c r="T2" s="72"/>
      <c r="U2" s="72"/>
    </row>
    <row r="3" spans="1:21" ht="30" x14ac:dyDescent="0.25">
      <c r="A3" s="72"/>
      <c r="B3" s="93"/>
      <c r="C3" s="25" t="s">
        <v>42</v>
      </c>
      <c r="D3" s="25" t="s">
        <v>43</v>
      </c>
      <c r="E3" s="72"/>
      <c r="F3" s="72"/>
      <c r="G3" s="72"/>
      <c r="H3" s="72"/>
      <c r="I3" s="72"/>
      <c r="J3" s="72"/>
      <c r="K3" s="72"/>
      <c r="L3" s="72"/>
      <c r="M3" s="72"/>
      <c r="N3" s="72"/>
      <c r="O3" s="72"/>
      <c r="P3" s="72"/>
      <c r="Q3" s="72"/>
      <c r="R3" s="72"/>
      <c r="S3" s="72"/>
      <c r="T3" s="72"/>
      <c r="U3" s="72"/>
    </row>
    <row r="4" spans="1:21" ht="33.75" x14ac:dyDescent="0.25">
      <c r="A4" s="92" t="s">
        <v>69</v>
      </c>
      <c r="B4" s="28" t="s">
        <v>85</v>
      </c>
      <c r="C4" s="33" t="s">
        <v>124</v>
      </c>
      <c r="D4" s="26" t="s">
        <v>81</v>
      </c>
      <c r="E4" s="72"/>
      <c r="F4" s="72"/>
      <c r="G4" s="72"/>
      <c r="H4" s="72"/>
      <c r="I4" s="72"/>
      <c r="J4" s="72"/>
      <c r="K4" s="72"/>
      <c r="L4" s="72"/>
      <c r="M4" s="72"/>
      <c r="N4" s="72"/>
      <c r="O4" s="72"/>
      <c r="P4" s="72"/>
      <c r="Q4" s="72"/>
      <c r="R4" s="72"/>
      <c r="S4" s="72"/>
      <c r="T4" s="72"/>
      <c r="U4" s="72"/>
    </row>
    <row r="5" spans="1:21" ht="67.5" x14ac:dyDescent="0.25">
      <c r="A5" s="92" t="s">
        <v>70</v>
      </c>
      <c r="B5" s="29" t="s">
        <v>45</v>
      </c>
      <c r="C5" s="34" t="s">
        <v>77</v>
      </c>
      <c r="D5" s="27" t="s">
        <v>82</v>
      </c>
      <c r="E5" s="72"/>
      <c r="F5" s="72"/>
      <c r="G5" s="72"/>
      <c r="H5" s="72"/>
      <c r="I5" s="72"/>
      <c r="J5" s="72"/>
      <c r="K5" s="72"/>
      <c r="L5" s="72"/>
      <c r="M5" s="72"/>
      <c r="N5" s="72"/>
      <c r="O5" s="72"/>
      <c r="P5" s="72"/>
      <c r="Q5" s="72"/>
      <c r="R5" s="72"/>
      <c r="S5" s="72"/>
      <c r="T5" s="72"/>
      <c r="U5" s="72"/>
    </row>
    <row r="6" spans="1:21" ht="67.5" x14ac:dyDescent="0.25">
      <c r="A6" s="92" t="s">
        <v>67</v>
      </c>
      <c r="B6" s="30" t="s">
        <v>46</v>
      </c>
      <c r="C6" s="34" t="s">
        <v>78</v>
      </c>
      <c r="D6" s="27" t="s">
        <v>84</v>
      </c>
      <c r="E6" s="72"/>
      <c r="F6" s="72"/>
      <c r="G6" s="72"/>
      <c r="H6" s="72"/>
      <c r="I6" s="72"/>
      <c r="J6" s="72"/>
      <c r="K6" s="72"/>
      <c r="L6" s="72"/>
      <c r="M6" s="72"/>
      <c r="N6" s="72"/>
      <c r="O6" s="72"/>
      <c r="P6" s="72"/>
      <c r="Q6" s="72"/>
      <c r="R6" s="72"/>
      <c r="S6" s="72"/>
      <c r="T6" s="72"/>
      <c r="U6" s="72"/>
    </row>
    <row r="7" spans="1:21" ht="101.25" x14ac:dyDescent="0.25">
      <c r="A7" s="92" t="s">
        <v>6</v>
      </c>
      <c r="B7" s="31" t="s">
        <v>47</v>
      </c>
      <c r="C7" s="34" t="s">
        <v>79</v>
      </c>
      <c r="D7" s="27" t="s">
        <v>83</v>
      </c>
      <c r="E7" s="72"/>
      <c r="F7" s="72"/>
      <c r="G7" s="72"/>
      <c r="H7" s="72"/>
      <c r="I7" s="72"/>
      <c r="J7" s="72"/>
      <c r="K7" s="72"/>
      <c r="L7" s="72"/>
      <c r="M7" s="72"/>
      <c r="N7" s="72"/>
      <c r="O7" s="72"/>
      <c r="P7" s="72"/>
      <c r="Q7" s="72"/>
      <c r="R7" s="72"/>
      <c r="S7" s="72"/>
      <c r="T7" s="72"/>
      <c r="U7" s="72"/>
    </row>
    <row r="8" spans="1:21" ht="67.5" x14ac:dyDescent="0.25">
      <c r="A8" s="92" t="s">
        <v>71</v>
      </c>
      <c r="B8" s="32" t="s">
        <v>48</v>
      </c>
      <c r="C8" s="34" t="s">
        <v>80</v>
      </c>
      <c r="D8" s="27" t="s">
        <v>102</v>
      </c>
      <c r="E8" s="72"/>
      <c r="F8" s="72"/>
      <c r="G8" s="72"/>
      <c r="H8" s="72"/>
      <c r="I8" s="72"/>
      <c r="J8" s="72"/>
      <c r="K8" s="72"/>
      <c r="L8" s="72"/>
      <c r="M8" s="72"/>
      <c r="N8" s="72"/>
      <c r="O8" s="72"/>
      <c r="P8" s="72"/>
      <c r="Q8" s="72"/>
      <c r="R8" s="72"/>
      <c r="S8" s="72"/>
      <c r="T8" s="72"/>
      <c r="U8" s="72"/>
    </row>
    <row r="9" spans="1:21" ht="20.25" x14ac:dyDescent="0.25">
      <c r="A9" s="92"/>
      <c r="B9" s="92"/>
      <c r="C9" s="94"/>
      <c r="D9" s="94"/>
      <c r="E9" s="72"/>
      <c r="F9" s="72"/>
      <c r="G9" s="72"/>
      <c r="H9" s="72"/>
      <c r="I9" s="72"/>
      <c r="J9" s="72"/>
      <c r="K9" s="72"/>
      <c r="L9" s="72"/>
      <c r="M9" s="72"/>
      <c r="N9" s="72"/>
      <c r="O9" s="72"/>
      <c r="P9" s="72"/>
      <c r="Q9" s="72"/>
      <c r="R9" s="72"/>
      <c r="S9" s="72"/>
      <c r="T9" s="72"/>
      <c r="U9" s="72"/>
    </row>
    <row r="10" spans="1:21" ht="16.5" x14ac:dyDescent="0.25">
      <c r="A10" s="92"/>
      <c r="B10" s="95"/>
      <c r="C10" s="95"/>
      <c r="D10" s="95"/>
      <c r="E10" s="72"/>
      <c r="F10" s="72"/>
      <c r="G10" s="72"/>
      <c r="H10" s="72"/>
      <c r="I10" s="72"/>
      <c r="J10" s="72"/>
      <c r="K10" s="72"/>
      <c r="L10" s="72"/>
      <c r="M10" s="72"/>
      <c r="N10" s="72"/>
      <c r="O10" s="72"/>
      <c r="P10" s="72"/>
      <c r="Q10" s="72"/>
      <c r="R10" s="72"/>
      <c r="S10" s="72"/>
      <c r="T10" s="72"/>
      <c r="U10" s="72"/>
    </row>
    <row r="11" spans="1:21" x14ac:dyDescent="0.25">
      <c r="A11" s="92"/>
      <c r="B11" s="92" t="s">
        <v>75</v>
      </c>
      <c r="C11" s="92" t="s">
        <v>112</v>
      </c>
      <c r="D11" s="92" t="s">
        <v>119</v>
      </c>
      <c r="E11" s="72"/>
      <c r="F11" s="72"/>
      <c r="G11" s="72"/>
      <c r="H11" s="72"/>
      <c r="I11" s="72"/>
      <c r="J11" s="72"/>
      <c r="K11" s="72"/>
      <c r="L11" s="72"/>
      <c r="M11" s="72"/>
      <c r="N11" s="72"/>
      <c r="O11" s="72"/>
      <c r="P11" s="72"/>
      <c r="Q11" s="72"/>
      <c r="R11" s="72"/>
      <c r="S11" s="72"/>
      <c r="T11" s="72"/>
      <c r="U11" s="72"/>
    </row>
    <row r="12" spans="1:21" x14ac:dyDescent="0.25">
      <c r="A12" s="92"/>
      <c r="B12" s="92" t="s">
        <v>73</v>
      </c>
      <c r="C12" s="92" t="s">
        <v>116</v>
      </c>
      <c r="D12" s="92" t="s">
        <v>120</v>
      </c>
      <c r="E12" s="72"/>
      <c r="F12" s="72"/>
      <c r="G12" s="72"/>
      <c r="H12" s="72"/>
      <c r="I12" s="72"/>
      <c r="J12" s="72"/>
      <c r="K12" s="72"/>
      <c r="L12" s="72"/>
      <c r="M12" s="72"/>
      <c r="N12" s="72"/>
      <c r="O12" s="72"/>
      <c r="P12" s="72"/>
      <c r="Q12" s="72"/>
      <c r="R12" s="72"/>
      <c r="S12" s="72"/>
      <c r="T12" s="72"/>
      <c r="U12" s="72"/>
    </row>
    <row r="13" spans="1:21" x14ac:dyDescent="0.25">
      <c r="A13" s="92"/>
      <c r="B13" s="92"/>
      <c r="C13" s="92" t="s">
        <v>115</v>
      </c>
      <c r="D13" s="92" t="s">
        <v>121</v>
      </c>
      <c r="E13" s="72"/>
      <c r="F13" s="72"/>
      <c r="G13" s="72"/>
      <c r="H13" s="72"/>
      <c r="I13" s="72"/>
      <c r="J13" s="72"/>
      <c r="K13" s="72"/>
      <c r="L13" s="72"/>
      <c r="M13" s="72"/>
      <c r="N13" s="72"/>
      <c r="O13" s="72"/>
      <c r="P13" s="72"/>
      <c r="Q13" s="72"/>
      <c r="R13" s="72"/>
      <c r="S13" s="72"/>
      <c r="T13" s="72"/>
      <c r="U13" s="72"/>
    </row>
    <row r="14" spans="1:21" x14ac:dyDescent="0.25">
      <c r="A14" s="92"/>
      <c r="B14" s="92"/>
      <c r="C14" s="92" t="s">
        <v>117</v>
      </c>
      <c r="D14" s="92" t="s">
        <v>122</v>
      </c>
      <c r="E14" s="72"/>
      <c r="F14" s="72"/>
      <c r="G14" s="72"/>
      <c r="H14" s="72"/>
      <c r="I14" s="72"/>
      <c r="J14" s="72"/>
      <c r="K14" s="72"/>
      <c r="L14" s="72"/>
      <c r="M14" s="72"/>
      <c r="N14" s="72"/>
      <c r="O14" s="72"/>
      <c r="P14" s="72"/>
      <c r="Q14" s="72"/>
      <c r="R14" s="72"/>
      <c r="S14" s="72"/>
      <c r="T14" s="72"/>
      <c r="U14" s="72"/>
    </row>
    <row r="15" spans="1:21" x14ac:dyDescent="0.25">
      <c r="A15" s="92"/>
      <c r="B15" s="92"/>
      <c r="C15" s="92" t="s">
        <v>118</v>
      </c>
      <c r="D15" s="92" t="s">
        <v>123</v>
      </c>
      <c r="E15" s="72"/>
      <c r="F15" s="72"/>
      <c r="G15" s="72"/>
      <c r="H15" s="72"/>
      <c r="I15" s="72"/>
      <c r="J15" s="72"/>
      <c r="K15" s="72"/>
      <c r="L15" s="72"/>
      <c r="M15" s="72"/>
      <c r="N15" s="72"/>
      <c r="O15" s="72"/>
      <c r="P15" s="72"/>
      <c r="Q15" s="72"/>
      <c r="R15" s="72"/>
      <c r="S15" s="72"/>
      <c r="T15" s="72"/>
      <c r="U15" s="72"/>
    </row>
    <row r="16" spans="1:21" x14ac:dyDescent="0.25">
      <c r="A16" s="92"/>
      <c r="B16" s="92"/>
      <c r="C16" s="92"/>
      <c r="D16" s="92"/>
      <c r="E16" s="72"/>
      <c r="F16" s="72"/>
      <c r="G16" s="72"/>
      <c r="H16" s="72"/>
      <c r="I16" s="72"/>
      <c r="J16" s="72"/>
      <c r="K16" s="72"/>
      <c r="L16" s="72"/>
      <c r="M16" s="72"/>
      <c r="N16" s="72"/>
      <c r="O16" s="72"/>
    </row>
    <row r="17" spans="1:15" x14ac:dyDescent="0.25">
      <c r="A17" s="92"/>
      <c r="B17" s="92"/>
      <c r="C17" s="92"/>
      <c r="D17" s="92"/>
      <c r="E17" s="72"/>
      <c r="F17" s="72"/>
      <c r="G17" s="72"/>
      <c r="H17" s="72"/>
      <c r="I17" s="72"/>
      <c r="J17" s="72"/>
      <c r="K17" s="72"/>
      <c r="L17" s="72"/>
      <c r="M17" s="72"/>
      <c r="N17" s="72"/>
      <c r="O17" s="72"/>
    </row>
    <row r="18" spans="1:15" x14ac:dyDescent="0.25">
      <c r="A18" s="92"/>
      <c r="B18" s="96"/>
      <c r="C18" s="96"/>
      <c r="D18" s="96"/>
      <c r="E18" s="72"/>
      <c r="F18" s="72"/>
      <c r="G18" s="72"/>
      <c r="H18" s="72"/>
      <c r="I18" s="72"/>
      <c r="J18" s="72"/>
      <c r="K18" s="72"/>
      <c r="L18" s="72"/>
      <c r="M18" s="72"/>
      <c r="N18" s="72"/>
      <c r="O18" s="72"/>
    </row>
    <row r="19" spans="1:15" x14ac:dyDescent="0.25">
      <c r="A19" s="92"/>
      <c r="B19" s="96"/>
      <c r="C19" s="96"/>
      <c r="D19" s="96"/>
      <c r="E19" s="72"/>
      <c r="F19" s="72"/>
      <c r="G19" s="72"/>
      <c r="H19" s="72"/>
      <c r="I19" s="72"/>
      <c r="J19" s="72"/>
      <c r="K19" s="72"/>
      <c r="L19" s="72"/>
      <c r="M19" s="72"/>
      <c r="N19" s="72"/>
      <c r="O19" s="72"/>
    </row>
    <row r="20" spans="1:15" x14ac:dyDescent="0.25">
      <c r="A20" s="92"/>
      <c r="B20" s="96"/>
      <c r="C20" s="96"/>
      <c r="D20" s="96"/>
      <c r="E20" s="72"/>
      <c r="F20" s="72"/>
      <c r="G20" s="72"/>
      <c r="H20" s="72"/>
      <c r="I20" s="72"/>
      <c r="J20" s="72"/>
      <c r="K20" s="72"/>
      <c r="L20" s="72"/>
      <c r="M20" s="72"/>
      <c r="N20" s="72"/>
      <c r="O20" s="72"/>
    </row>
    <row r="21" spans="1:15" x14ac:dyDescent="0.25">
      <c r="A21" s="92"/>
      <c r="B21" s="96"/>
      <c r="C21" s="96"/>
      <c r="D21" s="96"/>
      <c r="E21" s="72"/>
      <c r="F21" s="72"/>
      <c r="G21" s="72"/>
      <c r="H21" s="72"/>
      <c r="I21" s="72"/>
      <c r="J21" s="72"/>
      <c r="K21" s="72"/>
      <c r="L21" s="72"/>
      <c r="M21" s="72"/>
      <c r="N21" s="72"/>
      <c r="O21" s="72"/>
    </row>
    <row r="22" spans="1:15" ht="20.25" x14ac:dyDescent="0.25">
      <c r="A22" s="92"/>
      <c r="B22" s="92"/>
      <c r="C22" s="94"/>
      <c r="D22" s="94"/>
      <c r="E22" s="72"/>
      <c r="F22" s="72"/>
      <c r="G22" s="72"/>
      <c r="H22" s="72"/>
      <c r="I22" s="72"/>
      <c r="J22" s="72"/>
      <c r="K22" s="72"/>
      <c r="L22" s="72"/>
      <c r="M22" s="72"/>
      <c r="N22" s="72"/>
      <c r="O22" s="72"/>
    </row>
    <row r="23" spans="1:15" ht="20.25" x14ac:dyDescent="0.25">
      <c r="A23" s="92"/>
      <c r="B23" s="92"/>
      <c r="C23" s="94"/>
      <c r="D23" s="94"/>
      <c r="E23" s="72"/>
      <c r="F23" s="72"/>
      <c r="G23" s="72"/>
      <c r="H23" s="72"/>
      <c r="I23" s="72"/>
      <c r="J23" s="72"/>
      <c r="K23" s="72"/>
      <c r="L23" s="72"/>
      <c r="M23" s="72"/>
      <c r="N23" s="72"/>
      <c r="O23" s="72"/>
    </row>
    <row r="24" spans="1:15" ht="20.25" x14ac:dyDescent="0.25">
      <c r="A24" s="92"/>
      <c r="B24" s="92"/>
      <c r="C24" s="94"/>
      <c r="D24" s="94"/>
      <c r="E24" s="72"/>
      <c r="F24" s="72"/>
      <c r="G24" s="72"/>
      <c r="H24" s="72"/>
      <c r="I24" s="72"/>
      <c r="J24" s="72"/>
      <c r="K24" s="72"/>
      <c r="L24" s="72"/>
      <c r="M24" s="72"/>
      <c r="N24" s="72"/>
      <c r="O24" s="72"/>
    </row>
    <row r="25" spans="1:15" ht="20.25" x14ac:dyDescent="0.25">
      <c r="A25" s="92"/>
      <c r="B25" s="92"/>
      <c r="C25" s="94"/>
      <c r="D25" s="94"/>
      <c r="E25" s="72"/>
      <c r="F25" s="72"/>
      <c r="G25" s="72"/>
      <c r="H25" s="72"/>
      <c r="I25" s="72"/>
      <c r="J25" s="72"/>
      <c r="K25" s="72"/>
      <c r="L25" s="72"/>
      <c r="M25" s="72"/>
      <c r="N25" s="72"/>
      <c r="O25" s="72"/>
    </row>
    <row r="26" spans="1:15" ht="20.25" x14ac:dyDescent="0.25">
      <c r="A26" s="92"/>
      <c r="B26" s="92"/>
      <c r="C26" s="94"/>
      <c r="D26" s="94"/>
      <c r="E26" s="72"/>
      <c r="F26" s="72"/>
      <c r="G26" s="72"/>
      <c r="H26" s="72"/>
      <c r="I26" s="72"/>
      <c r="J26" s="72"/>
      <c r="K26" s="72"/>
      <c r="L26" s="72"/>
      <c r="M26" s="72"/>
      <c r="N26" s="72"/>
      <c r="O26" s="72"/>
    </row>
    <row r="27" spans="1:15" ht="20.25" x14ac:dyDescent="0.25">
      <c r="A27" s="92"/>
      <c r="B27" s="92"/>
      <c r="C27" s="94"/>
      <c r="D27" s="94"/>
      <c r="E27" s="72"/>
      <c r="F27" s="72"/>
      <c r="G27" s="72"/>
      <c r="H27" s="72"/>
      <c r="I27" s="72"/>
      <c r="J27" s="72"/>
      <c r="K27" s="72"/>
      <c r="L27" s="72"/>
      <c r="M27" s="72"/>
      <c r="N27" s="72"/>
      <c r="O27" s="72"/>
    </row>
    <row r="28" spans="1:15" ht="20.25" x14ac:dyDescent="0.25">
      <c r="A28" s="92"/>
      <c r="B28" s="92"/>
      <c r="C28" s="94"/>
      <c r="D28" s="94"/>
      <c r="E28" s="72"/>
      <c r="F28" s="72"/>
      <c r="G28" s="72"/>
      <c r="H28" s="72"/>
      <c r="I28" s="72"/>
      <c r="J28" s="72"/>
      <c r="K28" s="72"/>
      <c r="L28" s="72"/>
      <c r="M28" s="72"/>
      <c r="N28" s="72"/>
      <c r="O28" s="72"/>
    </row>
    <row r="29" spans="1:15" ht="20.25" x14ac:dyDescent="0.25">
      <c r="A29" s="92"/>
      <c r="B29" s="92"/>
      <c r="C29" s="94"/>
      <c r="D29" s="94"/>
      <c r="E29" s="72"/>
      <c r="F29" s="72"/>
      <c r="G29" s="72"/>
      <c r="H29" s="72"/>
      <c r="I29" s="72"/>
      <c r="J29" s="72"/>
      <c r="K29" s="72"/>
      <c r="L29" s="72"/>
      <c r="M29" s="72"/>
      <c r="N29" s="72"/>
      <c r="O29" s="72"/>
    </row>
    <row r="30" spans="1:15" ht="20.25" x14ac:dyDescent="0.25">
      <c r="A30" s="92"/>
      <c r="B30" s="92"/>
      <c r="C30" s="94"/>
      <c r="D30" s="94"/>
      <c r="E30" s="72"/>
      <c r="F30" s="72"/>
      <c r="G30" s="72"/>
      <c r="H30" s="72"/>
      <c r="I30" s="72"/>
      <c r="J30" s="72"/>
      <c r="K30" s="72"/>
      <c r="L30" s="72"/>
      <c r="M30" s="72"/>
      <c r="N30" s="72"/>
      <c r="O30" s="72"/>
    </row>
    <row r="31" spans="1:15" ht="20.25" x14ac:dyDescent="0.25">
      <c r="A31" s="92"/>
      <c r="B31" s="92"/>
      <c r="C31" s="94"/>
      <c r="D31" s="94"/>
      <c r="E31" s="72"/>
      <c r="F31" s="72"/>
      <c r="G31" s="72"/>
      <c r="H31" s="72"/>
      <c r="I31" s="72"/>
      <c r="J31" s="72"/>
      <c r="K31" s="72"/>
      <c r="L31" s="72"/>
      <c r="M31" s="72"/>
      <c r="N31" s="72"/>
      <c r="O31" s="72"/>
    </row>
    <row r="32" spans="1:15" ht="20.25" x14ac:dyDescent="0.25">
      <c r="A32" s="92"/>
      <c r="B32" s="92"/>
      <c r="C32" s="94"/>
      <c r="D32" s="94"/>
      <c r="E32" s="72"/>
      <c r="F32" s="72"/>
      <c r="G32" s="72"/>
      <c r="H32" s="72"/>
      <c r="I32" s="72"/>
      <c r="J32" s="72"/>
      <c r="K32" s="72"/>
      <c r="L32" s="72"/>
      <c r="M32" s="72"/>
      <c r="N32" s="72"/>
      <c r="O32" s="72"/>
    </row>
    <row r="33" spans="1:15" ht="20.25" x14ac:dyDescent="0.25">
      <c r="A33" s="92"/>
      <c r="B33" s="92"/>
      <c r="C33" s="94"/>
      <c r="D33" s="94"/>
      <c r="E33" s="72"/>
      <c r="F33" s="72"/>
      <c r="G33" s="72"/>
      <c r="H33" s="72"/>
      <c r="I33" s="72"/>
      <c r="J33" s="72"/>
      <c r="K33" s="72"/>
      <c r="L33" s="72"/>
      <c r="M33" s="72"/>
      <c r="N33" s="72"/>
      <c r="O33" s="72"/>
    </row>
    <row r="34" spans="1:15" ht="20.25" x14ac:dyDescent="0.25">
      <c r="A34" s="92"/>
      <c r="B34" s="92"/>
      <c r="C34" s="94"/>
      <c r="D34" s="94"/>
      <c r="E34" s="72"/>
      <c r="F34" s="72"/>
      <c r="G34" s="72"/>
      <c r="H34" s="72"/>
      <c r="I34" s="72"/>
      <c r="J34" s="72"/>
      <c r="K34" s="72"/>
      <c r="L34" s="72"/>
      <c r="M34" s="72"/>
      <c r="N34" s="72"/>
      <c r="O34" s="72"/>
    </row>
    <row r="35" spans="1:15" ht="20.25" x14ac:dyDescent="0.25">
      <c r="A35" s="92"/>
      <c r="B35" s="92"/>
      <c r="C35" s="94"/>
      <c r="D35" s="94"/>
      <c r="E35" s="72"/>
      <c r="F35" s="72"/>
      <c r="G35" s="72"/>
      <c r="H35" s="72"/>
      <c r="I35" s="72"/>
      <c r="J35" s="72"/>
      <c r="K35" s="72"/>
      <c r="L35" s="72"/>
      <c r="M35" s="72"/>
      <c r="N35" s="72"/>
      <c r="O35" s="72"/>
    </row>
    <row r="36" spans="1:15" ht="20.25" x14ac:dyDescent="0.25">
      <c r="A36" s="92"/>
      <c r="B36" s="92"/>
      <c r="C36" s="94"/>
      <c r="D36" s="94"/>
      <c r="E36" s="72"/>
      <c r="F36" s="72"/>
      <c r="G36" s="72"/>
      <c r="H36" s="72"/>
      <c r="I36" s="72"/>
      <c r="J36" s="72"/>
      <c r="K36" s="72"/>
      <c r="L36" s="72"/>
      <c r="M36" s="72"/>
      <c r="N36" s="72"/>
      <c r="O36" s="72"/>
    </row>
    <row r="37" spans="1:15" ht="20.25" x14ac:dyDescent="0.25">
      <c r="A37" s="92"/>
      <c r="B37" s="92"/>
      <c r="C37" s="94"/>
      <c r="D37" s="94"/>
      <c r="E37" s="72"/>
      <c r="F37" s="72"/>
      <c r="G37" s="72"/>
      <c r="H37" s="72"/>
      <c r="I37" s="72"/>
      <c r="J37" s="72"/>
      <c r="K37" s="72"/>
      <c r="L37" s="72"/>
      <c r="M37" s="72"/>
      <c r="N37" s="72"/>
      <c r="O37" s="72"/>
    </row>
    <row r="38" spans="1:15" ht="20.25" x14ac:dyDescent="0.25">
      <c r="A38" s="92"/>
      <c r="B38" s="92"/>
      <c r="C38" s="94"/>
      <c r="D38" s="94"/>
      <c r="E38" s="72"/>
      <c r="F38" s="72"/>
      <c r="G38" s="72"/>
      <c r="H38" s="72"/>
      <c r="I38" s="72"/>
      <c r="J38" s="72"/>
      <c r="K38" s="72"/>
      <c r="L38" s="72"/>
      <c r="M38" s="72"/>
      <c r="N38" s="72"/>
      <c r="O38" s="72"/>
    </row>
    <row r="39" spans="1:15" ht="20.25" x14ac:dyDescent="0.25">
      <c r="A39" s="92"/>
      <c r="B39" s="92"/>
      <c r="C39" s="94"/>
      <c r="D39" s="94"/>
      <c r="E39" s="72"/>
      <c r="F39" s="72"/>
      <c r="G39" s="72"/>
      <c r="H39" s="72"/>
      <c r="I39" s="72"/>
      <c r="J39" s="72"/>
      <c r="K39" s="72"/>
      <c r="L39" s="72"/>
      <c r="M39" s="72"/>
      <c r="N39" s="72"/>
      <c r="O39" s="72"/>
    </row>
    <row r="40" spans="1:15" ht="20.25" x14ac:dyDescent="0.25">
      <c r="A40" s="92"/>
      <c r="B40" s="92"/>
      <c r="C40" s="94"/>
      <c r="D40" s="94"/>
      <c r="E40" s="72"/>
      <c r="F40" s="72"/>
      <c r="G40" s="72"/>
      <c r="H40" s="72"/>
      <c r="I40" s="72"/>
      <c r="J40" s="72"/>
      <c r="K40" s="72"/>
      <c r="L40" s="72"/>
      <c r="M40" s="72"/>
      <c r="N40" s="72"/>
      <c r="O40" s="72"/>
    </row>
    <row r="41" spans="1:15" ht="20.25" x14ac:dyDescent="0.25">
      <c r="A41" s="92"/>
      <c r="B41" s="92"/>
      <c r="C41" s="94"/>
      <c r="D41" s="94"/>
      <c r="E41" s="72"/>
      <c r="F41" s="72"/>
      <c r="G41" s="72"/>
      <c r="H41" s="72"/>
      <c r="I41" s="72"/>
      <c r="J41" s="72"/>
      <c r="K41" s="72"/>
      <c r="L41" s="72"/>
      <c r="M41" s="72"/>
      <c r="N41" s="72"/>
      <c r="O41" s="72"/>
    </row>
    <row r="42" spans="1:15" ht="20.25" x14ac:dyDescent="0.25">
      <c r="A42" s="92"/>
      <c r="B42" s="92"/>
      <c r="C42" s="94"/>
      <c r="D42" s="94"/>
      <c r="E42" s="72"/>
      <c r="F42" s="72"/>
      <c r="G42" s="72"/>
      <c r="H42" s="72"/>
      <c r="I42" s="72"/>
      <c r="J42" s="72"/>
      <c r="K42" s="72"/>
      <c r="L42" s="72"/>
      <c r="M42" s="72"/>
      <c r="N42" s="72"/>
      <c r="O42" s="72"/>
    </row>
    <row r="43" spans="1:15" ht="20.25" x14ac:dyDescent="0.25">
      <c r="A43" s="92"/>
      <c r="B43" s="92"/>
      <c r="C43" s="94"/>
      <c r="D43" s="94"/>
      <c r="E43" s="72"/>
      <c r="F43" s="72"/>
      <c r="G43" s="72"/>
      <c r="H43" s="72"/>
      <c r="I43" s="72"/>
      <c r="J43" s="72"/>
      <c r="K43" s="72"/>
      <c r="L43" s="72"/>
      <c r="M43" s="72"/>
      <c r="N43" s="72"/>
      <c r="O43" s="72"/>
    </row>
    <row r="44" spans="1:15" ht="20.25" x14ac:dyDescent="0.25">
      <c r="A44" s="92"/>
      <c r="B44" s="92"/>
      <c r="C44" s="94"/>
      <c r="D44" s="94"/>
      <c r="E44" s="72"/>
      <c r="F44" s="72"/>
      <c r="G44" s="72"/>
      <c r="H44" s="72"/>
      <c r="I44" s="72"/>
      <c r="J44" s="72"/>
      <c r="K44" s="72"/>
      <c r="L44" s="72"/>
      <c r="M44" s="72"/>
      <c r="N44" s="72"/>
      <c r="O44" s="72"/>
    </row>
    <row r="45" spans="1:15" ht="20.25" x14ac:dyDescent="0.25">
      <c r="A45" s="92"/>
      <c r="B45" s="92"/>
      <c r="C45" s="94"/>
      <c r="D45" s="94"/>
      <c r="E45" s="72"/>
      <c r="F45" s="72"/>
      <c r="G45" s="72"/>
      <c r="H45" s="72"/>
      <c r="I45" s="72"/>
      <c r="J45" s="72"/>
      <c r="K45" s="72"/>
      <c r="L45" s="72"/>
      <c r="M45" s="72"/>
      <c r="N45" s="72"/>
      <c r="O45" s="72"/>
    </row>
    <row r="46" spans="1:15" ht="20.25" x14ac:dyDescent="0.25">
      <c r="A46" s="92"/>
      <c r="B46" s="92"/>
      <c r="C46" s="94"/>
      <c r="D46" s="94"/>
      <c r="E46" s="72"/>
      <c r="F46" s="72"/>
      <c r="G46" s="72"/>
      <c r="H46" s="72"/>
      <c r="I46" s="72"/>
      <c r="J46" s="72"/>
      <c r="K46" s="72"/>
      <c r="L46" s="72"/>
      <c r="M46" s="72"/>
      <c r="N46" s="72"/>
      <c r="O46" s="72"/>
    </row>
    <row r="47" spans="1:15" ht="20.25" x14ac:dyDescent="0.25">
      <c r="A47" s="92"/>
      <c r="B47" s="92"/>
      <c r="C47" s="94"/>
      <c r="D47" s="94"/>
      <c r="E47" s="72"/>
      <c r="F47" s="72"/>
      <c r="G47" s="72"/>
      <c r="H47" s="72"/>
      <c r="I47" s="72"/>
      <c r="J47" s="72"/>
      <c r="K47" s="72"/>
      <c r="L47" s="72"/>
      <c r="M47" s="72"/>
      <c r="N47" s="72"/>
      <c r="O47" s="72"/>
    </row>
    <row r="48" spans="1:15" ht="20.25" x14ac:dyDescent="0.25">
      <c r="A48" s="92"/>
      <c r="B48" s="92"/>
      <c r="C48" s="94"/>
      <c r="D48" s="94"/>
      <c r="E48" s="72"/>
      <c r="F48" s="72"/>
      <c r="G48" s="72"/>
      <c r="H48" s="72"/>
      <c r="I48" s="72"/>
      <c r="J48" s="72"/>
      <c r="K48" s="72"/>
      <c r="L48" s="72"/>
      <c r="M48" s="72"/>
      <c r="N48" s="72"/>
      <c r="O48" s="72"/>
    </row>
    <row r="49" spans="1:15" ht="20.25" x14ac:dyDescent="0.25">
      <c r="A49" s="92"/>
      <c r="B49" s="92"/>
      <c r="C49" s="94"/>
      <c r="D49" s="94"/>
      <c r="E49" s="72"/>
      <c r="F49" s="72"/>
      <c r="G49" s="72"/>
      <c r="H49" s="72"/>
      <c r="I49" s="72"/>
      <c r="J49" s="72"/>
      <c r="K49" s="72"/>
      <c r="L49" s="72"/>
      <c r="M49" s="72"/>
      <c r="N49" s="72"/>
      <c r="O49" s="72"/>
    </row>
    <row r="50" spans="1:15" ht="20.25" x14ac:dyDescent="0.25">
      <c r="A50" s="92"/>
      <c r="B50" s="92"/>
      <c r="C50" s="94"/>
      <c r="D50" s="94"/>
      <c r="E50" s="72"/>
      <c r="F50" s="72"/>
      <c r="G50" s="72"/>
      <c r="H50" s="72"/>
      <c r="I50" s="72"/>
      <c r="J50" s="72"/>
      <c r="K50" s="72"/>
      <c r="L50" s="72"/>
      <c r="M50" s="72"/>
      <c r="N50" s="72"/>
      <c r="O50" s="72"/>
    </row>
    <row r="51" spans="1:15" ht="20.25" x14ac:dyDescent="0.25">
      <c r="A51" s="92"/>
      <c r="B51" s="92"/>
      <c r="C51" s="94"/>
      <c r="D51" s="94"/>
      <c r="E51" s="72"/>
      <c r="F51" s="72"/>
      <c r="G51" s="72"/>
      <c r="H51" s="72"/>
      <c r="I51" s="72"/>
      <c r="J51" s="72"/>
      <c r="K51" s="72"/>
      <c r="L51" s="72"/>
      <c r="M51" s="72"/>
      <c r="N51" s="72"/>
      <c r="O51" s="72"/>
    </row>
    <row r="52" spans="1:15" ht="20.25" x14ac:dyDescent="0.25">
      <c r="A52" s="92"/>
      <c r="B52" s="17"/>
      <c r="C52" s="23"/>
      <c r="D52" s="23"/>
    </row>
    <row r="53" spans="1:15" ht="20.25" x14ac:dyDescent="0.25">
      <c r="A53" s="92"/>
      <c r="B53" s="17"/>
      <c r="C53" s="23"/>
      <c r="D53" s="23"/>
    </row>
    <row r="54" spans="1:15" ht="20.25" x14ac:dyDescent="0.25">
      <c r="A54" s="92"/>
      <c r="B54" s="17"/>
      <c r="C54" s="23"/>
      <c r="D54" s="23"/>
    </row>
    <row r="55" spans="1:15" ht="20.25" x14ac:dyDescent="0.25">
      <c r="A55" s="92"/>
      <c r="B55" s="17"/>
      <c r="C55" s="23"/>
      <c r="D55" s="23"/>
    </row>
    <row r="56" spans="1:15" ht="20.25" x14ac:dyDescent="0.25">
      <c r="A56" s="92"/>
      <c r="B56" s="17"/>
      <c r="C56" s="23"/>
      <c r="D56" s="23"/>
    </row>
    <row r="57" spans="1:15" ht="20.25" x14ac:dyDescent="0.25">
      <c r="A57" s="92"/>
      <c r="B57" s="17"/>
      <c r="C57" s="23"/>
      <c r="D57" s="23"/>
    </row>
    <row r="58" spans="1:15" ht="20.25" x14ac:dyDescent="0.25">
      <c r="A58" s="92"/>
      <c r="B58" s="17"/>
      <c r="C58" s="23"/>
      <c r="D58" s="23"/>
    </row>
    <row r="59" spans="1:15" ht="20.25" x14ac:dyDescent="0.25">
      <c r="A59" s="92"/>
      <c r="B59" s="17"/>
      <c r="C59" s="23"/>
      <c r="D59" s="23"/>
    </row>
    <row r="60" spans="1:15" ht="20.25" x14ac:dyDescent="0.25">
      <c r="A60" s="92"/>
      <c r="B60" s="17"/>
      <c r="C60" s="23"/>
      <c r="D60" s="23"/>
    </row>
    <row r="61" spans="1:15" ht="20.25" x14ac:dyDescent="0.25">
      <c r="A61" s="92"/>
      <c r="B61" s="17"/>
      <c r="C61" s="23"/>
      <c r="D61" s="23"/>
    </row>
    <row r="62" spans="1:15" ht="20.25" x14ac:dyDescent="0.25">
      <c r="A62" s="92"/>
      <c r="B62" s="17"/>
      <c r="C62" s="23"/>
      <c r="D62" s="23"/>
    </row>
    <row r="63" spans="1:15" ht="20.25" x14ac:dyDescent="0.25">
      <c r="A63" s="92"/>
      <c r="B63" s="17"/>
      <c r="C63" s="23"/>
      <c r="D63" s="23"/>
    </row>
    <row r="64" spans="1:15" ht="20.25" x14ac:dyDescent="0.25">
      <c r="A64" s="92"/>
      <c r="B64" s="17"/>
      <c r="C64" s="23"/>
      <c r="D64" s="23"/>
    </row>
    <row r="65" spans="1:4" ht="20.25" x14ac:dyDescent="0.25">
      <c r="A65" s="92"/>
      <c r="B65" s="17"/>
      <c r="C65" s="23"/>
      <c r="D65" s="23"/>
    </row>
    <row r="66" spans="1:4" ht="20.25" x14ac:dyDescent="0.25">
      <c r="A66" s="92"/>
      <c r="B66" s="17"/>
      <c r="C66" s="23"/>
      <c r="D66" s="23"/>
    </row>
    <row r="67" spans="1:4" ht="20.25" x14ac:dyDescent="0.25">
      <c r="A67" s="92"/>
      <c r="B67" s="17"/>
      <c r="C67" s="23"/>
      <c r="D67" s="23"/>
    </row>
    <row r="68" spans="1:4" ht="20.25" x14ac:dyDescent="0.25">
      <c r="A68" s="92"/>
      <c r="B68" s="17"/>
      <c r="C68" s="23"/>
      <c r="D68" s="23"/>
    </row>
    <row r="69" spans="1:4" ht="20.25" x14ac:dyDescent="0.25">
      <c r="A69" s="92"/>
      <c r="B69" s="17"/>
      <c r="C69" s="23"/>
      <c r="D69" s="23"/>
    </row>
    <row r="70" spans="1:4" ht="20.25" x14ac:dyDescent="0.25">
      <c r="A70" s="92"/>
      <c r="B70" s="17"/>
      <c r="C70" s="23"/>
      <c r="D70" s="23"/>
    </row>
    <row r="71" spans="1:4" ht="20.25" x14ac:dyDescent="0.25">
      <c r="A71" s="92"/>
      <c r="B71" s="17"/>
      <c r="C71" s="23"/>
      <c r="D71" s="23"/>
    </row>
    <row r="72" spans="1:4" ht="20.25" x14ac:dyDescent="0.25">
      <c r="A72" s="92"/>
      <c r="B72" s="17"/>
      <c r="C72" s="23"/>
      <c r="D72" s="23"/>
    </row>
    <row r="73" spans="1:4" ht="20.25" x14ac:dyDescent="0.25">
      <c r="A73" s="92"/>
      <c r="B73" s="17"/>
      <c r="C73" s="23"/>
      <c r="D73" s="23"/>
    </row>
    <row r="74" spans="1:4" ht="20.25" x14ac:dyDescent="0.25">
      <c r="A74" s="92"/>
      <c r="B74" s="17"/>
      <c r="C74" s="23"/>
      <c r="D74" s="23"/>
    </row>
    <row r="75" spans="1:4" ht="20.25" x14ac:dyDescent="0.25">
      <c r="A75" s="92"/>
      <c r="B75" s="17"/>
      <c r="C75" s="23"/>
      <c r="D75" s="23"/>
    </row>
    <row r="76" spans="1:4" ht="20.25" x14ac:dyDescent="0.25">
      <c r="A76" s="92"/>
      <c r="B76" s="17"/>
      <c r="C76" s="23"/>
      <c r="D76" s="23"/>
    </row>
    <row r="77" spans="1:4" ht="20.25" x14ac:dyDescent="0.25">
      <c r="A77" s="92"/>
      <c r="B77" s="17"/>
      <c r="C77" s="23"/>
      <c r="D77" s="23"/>
    </row>
    <row r="78" spans="1:4" ht="20.25" x14ac:dyDescent="0.25">
      <c r="A78" s="92"/>
      <c r="B78" s="17"/>
      <c r="C78" s="23"/>
      <c r="D78" s="23"/>
    </row>
    <row r="79" spans="1:4" ht="20.25" x14ac:dyDescent="0.25">
      <c r="A79" s="92"/>
      <c r="B79" s="17"/>
      <c r="C79" s="23"/>
      <c r="D79" s="23"/>
    </row>
    <row r="80" spans="1:4" ht="20.25" x14ac:dyDescent="0.25">
      <c r="A80" s="92"/>
      <c r="B80" s="17"/>
      <c r="C80" s="23"/>
      <c r="D80" s="23"/>
    </row>
    <row r="81" spans="1:4" ht="20.25" x14ac:dyDescent="0.25">
      <c r="A81" s="92"/>
      <c r="B81" s="17"/>
      <c r="C81" s="23"/>
      <c r="D81" s="23"/>
    </row>
    <row r="82" spans="1:4" ht="20.25" x14ac:dyDescent="0.25">
      <c r="A82" s="92"/>
      <c r="B82" s="17"/>
      <c r="C82" s="23"/>
      <c r="D82" s="23"/>
    </row>
    <row r="83" spans="1:4" ht="20.25" x14ac:dyDescent="0.25">
      <c r="A83" s="92"/>
      <c r="B83" s="17"/>
      <c r="C83" s="23"/>
      <c r="D83" s="23"/>
    </row>
    <row r="84" spans="1:4" ht="20.25" x14ac:dyDescent="0.25">
      <c r="A84" s="92"/>
      <c r="B84" s="17"/>
      <c r="C84" s="23"/>
      <c r="D84" s="23"/>
    </row>
    <row r="85" spans="1:4" ht="20.25" x14ac:dyDescent="0.25">
      <c r="A85" s="92"/>
      <c r="B85" s="17"/>
      <c r="C85" s="23"/>
      <c r="D85" s="23"/>
    </row>
    <row r="86" spans="1:4" ht="20.25" x14ac:dyDescent="0.25">
      <c r="A86" s="92"/>
      <c r="B86" s="17"/>
      <c r="C86" s="23"/>
      <c r="D86" s="23"/>
    </row>
    <row r="87" spans="1:4" ht="20.25" x14ac:dyDescent="0.25">
      <c r="A87" s="92"/>
      <c r="B87" s="17"/>
      <c r="C87" s="23"/>
      <c r="D87" s="23"/>
    </row>
    <row r="88" spans="1:4" ht="20.25" x14ac:dyDescent="0.25">
      <c r="A88" s="92"/>
      <c r="B88" s="17"/>
      <c r="C88" s="23"/>
      <c r="D88" s="23"/>
    </row>
    <row r="89" spans="1:4" ht="20.25" x14ac:dyDescent="0.25">
      <c r="A89" s="92"/>
      <c r="B89" s="17"/>
      <c r="C89" s="23"/>
      <c r="D89" s="23"/>
    </row>
    <row r="90" spans="1:4" ht="20.25" x14ac:dyDescent="0.25">
      <c r="A90" s="92"/>
      <c r="B90" s="17"/>
      <c r="C90" s="23"/>
      <c r="D90" s="23"/>
    </row>
    <row r="91" spans="1:4" ht="20.25" x14ac:dyDescent="0.25">
      <c r="A91" s="92"/>
      <c r="B91" s="17"/>
      <c r="C91" s="23"/>
      <c r="D91" s="23"/>
    </row>
    <row r="92" spans="1:4" ht="20.25" x14ac:dyDescent="0.25">
      <c r="A92" s="92"/>
      <c r="B92" s="17"/>
      <c r="C92" s="23"/>
      <c r="D92" s="23"/>
    </row>
    <row r="93" spans="1:4" ht="20.25" x14ac:dyDescent="0.25">
      <c r="A93" s="92"/>
      <c r="B93" s="17"/>
      <c r="C93" s="23"/>
      <c r="D93" s="23"/>
    </row>
    <row r="94" spans="1:4" ht="20.25" x14ac:dyDescent="0.25">
      <c r="A94" s="92"/>
      <c r="B94" s="17"/>
      <c r="C94" s="23"/>
      <c r="D94" s="23"/>
    </row>
    <row r="95" spans="1:4" ht="20.25" x14ac:dyDescent="0.25">
      <c r="A95" s="92"/>
      <c r="B95" s="17"/>
      <c r="C95" s="23"/>
      <c r="D95" s="23"/>
    </row>
    <row r="96" spans="1:4" ht="20.25" x14ac:dyDescent="0.25">
      <c r="A96" s="92"/>
      <c r="B96" s="17"/>
      <c r="C96" s="23"/>
      <c r="D96" s="23"/>
    </row>
    <row r="97" spans="1:4" ht="20.25" x14ac:dyDescent="0.25">
      <c r="A97" s="92"/>
      <c r="B97" s="17"/>
      <c r="C97" s="23"/>
      <c r="D97" s="23"/>
    </row>
    <row r="98" spans="1:4" ht="20.25" x14ac:dyDescent="0.25">
      <c r="A98" s="92"/>
      <c r="B98" s="17"/>
      <c r="C98" s="23"/>
      <c r="D98" s="23"/>
    </row>
    <row r="99" spans="1:4" ht="20.25" x14ac:dyDescent="0.25">
      <c r="A99" s="92"/>
      <c r="B99" s="17"/>
      <c r="C99" s="23"/>
      <c r="D99" s="23"/>
    </row>
    <row r="100" spans="1:4" ht="20.25" x14ac:dyDescent="0.25">
      <c r="A100" s="92"/>
      <c r="B100" s="17"/>
      <c r="C100" s="23"/>
      <c r="D100" s="23"/>
    </row>
    <row r="101" spans="1:4" ht="20.25" x14ac:dyDescent="0.25">
      <c r="A101" s="92"/>
      <c r="B101" s="17"/>
      <c r="C101" s="23"/>
      <c r="D101" s="23"/>
    </row>
    <row r="102" spans="1:4" ht="20.25" x14ac:dyDescent="0.25">
      <c r="A102" s="92"/>
      <c r="B102" s="17"/>
      <c r="C102" s="23"/>
      <c r="D102" s="23"/>
    </row>
    <row r="103" spans="1:4" ht="20.25" x14ac:dyDescent="0.25">
      <c r="A103" s="92"/>
      <c r="B103" s="17"/>
      <c r="C103" s="23"/>
      <c r="D103" s="23"/>
    </row>
    <row r="104" spans="1:4" ht="20.25" x14ac:dyDescent="0.25">
      <c r="A104" s="92"/>
      <c r="B104" s="17"/>
      <c r="C104" s="23"/>
      <c r="D104" s="23"/>
    </row>
    <row r="105" spans="1:4" ht="20.25" x14ac:dyDescent="0.25">
      <c r="A105" s="92"/>
      <c r="B105" s="17"/>
      <c r="C105" s="23"/>
      <c r="D105" s="23"/>
    </row>
    <row r="106" spans="1:4" ht="20.25" x14ac:dyDescent="0.25">
      <c r="A106" s="92"/>
      <c r="B106" s="17"/>
      <c r="C106" s="23"/>
      <c r="D106" s="23"/>
    </row>
    <row r="107" spans="1:4" ht="20.25" x14ac:dyDescent="0.25">
      <c r="A107" s="92"/>
      <c r="B107" s="17"/>
      <c r="C107" s="23"/>
      <c r="D107" s="23"/>
    </row>
    <row r="108" spans="1:4" ht="20.25" x14ac:dyDescent="0.25">
      <c r="A108" s="92"/>
      <c r="B108" s="17"/>
      <c r="C108" s="23"/>
      <c r="D108" s="23"/>
    </row>
    <row r="109" spans="1:4" ht="20.25" x14ac:dyDescent="0.25">
      <c r="A109" s="92"/>
      <c r="B109" s="17"/>
      <c r="C109" s="23"/>
      <c r="D109" s="23"/>
    </row>
    <row r="110" spans="1:4" ht="20.25" x14ac:dyDescent="0.25">
      <c r="A110" s="92"/>
      <c r="B110" s="17"/>
      <c r="C110" s="23"/>
      <c r="D110" s="23"/>
    </row>
    <row r="111" spans="1:4" ht="20.25" x14ac:dyDescent="0.25">
      <c r="A111" s="92"/>
      <c r="B111" s="17"/>
      <c r="C111" s="23"/>
      <c r="D111" s="23"/>
    </row>
    <row r="112" spans="1:4" ht="20.25" x14ac:dyDescent="0.25">
      <c r="A112" s="92"/>
      <c r="B112" s="17"/>
      <c r="C112" s="23"/>
      <c r="D112" s="23"/>
    </row>
    <row r="113" spans="1:4" ht="20.25" x14ac:dyDescent="0.25">
      <c r="A113" s="92"/>
      <c r="B113" s="17"/>
      <c r="C113" s="23"/>
      <c r="D113" s="23"/>
    </row>
    <row r="114" spans="1:4" ht="20.25" x14ac:dyDescent="0.25">
      <c r="A114" s="92"/>
      <c r="B114" s="17"/>
      <c r="C114" s="23"/>
      <c r="D114" s="23"/>
    </row>
    <row r="115" spans="1:4" ht="20.25" x14ac:dyDescent="0.25">
      <c r="A115" s="92"/>
      <c r="B115" s="17"/>
      <c r="C115" s="23"/>
      <c r="D115" s="23"/>
    </row>
    <row r="116" spans="1:4" ht="20.25" x14ac:dyDescent="0.25">
      <c r="A116" s="92"/>
      <c r="B116" s="17"/>
      <c r="C116" s="23"/>
      <c r="D116" s="23"/>
    </row>
    <row r="117" spans="1:4" ht="20.25" x14ac:dyDescent="0.25">
      <c r="A117" s="92"/>
      <c r="B117" s="17"/>
      <c r="C117" s="23"/>
      <c r="D117" s="23"/>
    </row>
    <row r="118" spans="1:4" ht="20.25" x14ac:dyDescent="0.25">
      <c r="A118" s="92"/>
      <c r="B118" s="17"/>
      <c r="C118" s="23"/>
      <c r="D118" s="23"/>
    </row>
    <row r="119" spans="1:4" ht="20.25" x14ac:dyDescent="0.25">
      <c r="A119" s="92"/>
      <c r="B119" s="17"/>
      <c r="C119" s="23"/>
      <c r="D119" s="23"/>
    </row>
    <row r="120" spans="1:4" ht="20.25" x14ac:dyDescent="0.25">
      <c r="A120" s="92"/>
      <c r="B120" s="17"/>
      <c r="C120" s="23"/>
      <c r="D120" s="23"/>
    </row>
    <row r="121" spans="1:4" ht="20.25" x14ac:dyDescent="0.25">
      <c r="A121" s="92"/>
      <c r="B121" s="17"/>
      <c r="C121" s="23"/>
      <c r="D121" s="23"/>
    </row>
    <row r="122" spans="1:4" ht="20.25" x14ac:dyDescent="0.25">
      <c r="A122" s="92"/>
      <c r="B122" s="17"/>
      <c r="C122" s="23"/>
      <c r="D122" s="23"/>
    </row>
    <row r="123" spans="1:4" ht="20.25" x14ac:dyDescent="0.25">
      <c r="A123" s="92"/>
      <c r="B123" s="17"/>
      <c r="C123" s="23"/>
      <c r="D123" s="23"/>
    </row>
    <row r="124" spans="1:4" ht="20.25" x14ac:dyDescent="0.25">
      <c r="A124" s="92"/>
      <c r="B124" s="17"/>
      <c r="C124" s="23"/>
      <c r="D124" s="23"/>
    </row>
    <row r="125" spans="1:4" ht="20.25" x14ac:dyDescent="0.25">
      <c r="A125" s="92"/>
      <c r="B125" s="17"/>
      <c r="C125" s="23"/>
      <c r="D125" s="23"/>
    </row>
    <row r="126" spans="1:4" ht="20.25" x14ac:dyDescent="0.25">
      <c r="A126" s="92"/>
      <c r="B126" s="17"/>
      <c r="C126" s="23"/>
      <c r="D126" s="23"/>
    </row>
    <row r="127" spans="1:4" ht="20.25" x14ac:dyDescent="0.25">
      <c r="A127" s="92"/>
      <c r="B127" s="17"/>
      <c r="C127" s="23"/>
      <c r="D127" s="23"/>
    </row>
    <row r="128" spans="1:4" ht="20.25" x14ac:dyDescent="0.25">
      <c r="A128" s="92"/>
      <c r="B128" s="17"/>
      <c r="C128" s="23"/>
      <c r="D128" s="23"/>
    </row>
    <row r="129" spans="1:4" ht="20.25" x14ac:dyDescent="0.25">
      <c r="A129" s="92"/>
      <c r="B129" s="17"/>
      <c r="C129" s="23"/>
      <c r="D129" s="23"/>
    </row>
    <row r="130" spans="1:4" ht="20.25" x14ac:dyDescent="0.25">
      <c r="A130" s="92"/>
      <c r="B130" s="17"/>
      <c r="C130" s="23"/>
      <c r="D130" s="23"/>
    </row>
    <row r="131" spans="1:4" ht="20.25" x14ac:dyDescent="0.25">
      <c r="A131" s="92"/>
      <c r="B131" s="17"/>
      <c r="C131" s="23"/>
      <c r="D131" s="23"/>
    </row>
    <row r="132" spans="1:4" ht="20.25" x14ac:dyDescent="0.25">
      <c r="A132" s="92"/>
      <c r="B132" s="17"/>
      <c r="C132" s="23"/>
      <c r="D132" s="23"/>
    </row>
    <row r="133" spans="1:4" ht="20.25" x14ac:dyDescent="0.25">
      <c r="A133" s="92"/>
      <c r="B133" s="17"/>
      <c r="C133" s="23"/>
      <c r="D133" s="23"/>
    </row>
    <row r="134" spans="1:4" ht="20.25" x14ac:dyDescent="0.25">
      <c r="A134" s="92"/>
      <c r="B134" s="17"/>
      <c r="C134" s="23"/>
      <c r="D134" s="23"/>
    </row>
    <row r="135" spans="1:4" ht="20.25" x14ac:dyDescent="0.25">
      <c r="A135" s="92"/>
      <c r="B135" s="17"/>
      <c r="C135" s="23"/>
      <c r="D135" s="23"/>
    </row>
    <row r="136" spans="1:4" ht="20.25" x14ac:dyDescent="0.25">
      <c r="A136" s="92"/>
      <c r="B136" s="17"/>
      <c r="C136" s="23"/>
      <c r="D136" s="23"/>
    </row>
    <row r="137" spans="1:4" ht="20.25" x14ac:dyDescent="0.25">
      <c r="A137" s="92"/>
      <c r="B137" s="17"/>
      <c r="C137" s="23"/>
      <c r="D137" s="23"/>
    </row>
    <row r="138" spans="1:4" ht="20.25" x14ac:dyDescent="0.25">
      <c r="A138" s="92"/>
      <c r="B138" s="17"/>
      <c r="C138" s="23"/>
      <c r="D138" s="23"/>
    </row>
    <row r="139" spans="1:4" ht="20.25" x14ac:dyDescent="0.25">
      <c r="A139" s="92"/>
      <c r="B139" s="17"/>
      <c r="C139" s="23"/>
      <c r="D139" s="23"/>
    </row>
    <row r="140" spans="1:4" ht="20.25" x14ac:dyDescent="0.25">
      <c r="A140" s="92"/>
      <c r="B140" s="17"/>
      <c r="C140" s="23"/>
      <c r="D140" s="23"/>
    </row>
    <row r="141" spans="1:4" ht="20.25" x14ac:dyDescent="0.25">
      <c r="A141" s="92"/>
      <c r="B141" s="17"/>
      <c r="C141" s="23"/>
      <c r="D141" s="23"/>
    </row>
    <row r="142" spans="1:4" ht="20.25" x14ac:dyDescent="0.25">
      <c r="A142" s="92"/>
      <c r="B142" s="17"/>
      <c r="C142" s="23"/>
      <c r="D142" s="23"/>
    </row>
    <row r="143" spans="1:4" ht="20.25" x14ac:dyDescent="0.25">
      <c r="A143" s="92"/>
      <c r="B143" s="17"/>
      <c r="C143" s="23"/>
      <c r="D143" s="23"/>
    </row>
    <row r="144" spans="1:4" ht="20.25" x14ac:dyDescent="0.25">
      <c r="A144" s="92"/>
      <c r="B144" s="17"/>
      <c r="C144" s="23"/>
      <c r="D144" s="23"/>
    </row>
    <row r="145" spans="1:4" ht="20.25" x14ac:dyDescent="0.25">
      <c r="A145" s="92"/>
      <c r="B145" s="17"/>
      <c r="C145" s="23"/>
      <c r="D145" s="23"/>
    </row>
    <row r="146" spans="1:4" ht="20.25" x14ac:dyDescent="0.25">
      <c r="A146" s="92"/>
      <c r="B146" s="17"/>
      <c r="C146" s="23"/>
      <c r="D146" s="23"/>
    </row>
    <row r="147" spans="1:4" ht="20.25" x14ac:dyDescent="0.25">
      <c r="A147" s="92"/>
      <c r="B147" s="17"/>
      <c r="C147" s="23"/>
      <c r="D147" s="23"/>
    </row>
    <row r="148" spans="1:4" ht="20.25" x14ac:dyDescent="0.25">
      <c r="A148" s="92"/>
      <c r="B148" s="17"/>
      <c r="C148" s="23"/>
      <c r="D148" s="23"/>
    </row>
    <row r="149" spans="1:4" ht="20.25" x14ac:dyDescent="0.25">
      <c r="A149" s="92"/>
      <c r="B149" s="17"/>
      <c r="C149" s="23"/>
      <c r="D149" s="23"/>
    </row>
    <row r="150" spans="1:4" ht="20.25" x14ac:dyDescent="0.25">
      <c r="A150" s="92"/>
      <c r="B150" s="17"/>
      <c r="C150" s="23"/>
      <c r="D150" s="23"/>
    </row>
    <row r="151" spans="1:4" ht="20.25" x14ac:dyDescent="0.25">
      <c r="A151" s="92"/>
      <c r="B151" s="17"/>
      <c r="C151" s="23"/>
      <c r="D151" s="23"/>
    </row>
    <row r="152" spans="1:4" ht="20.25" x14ac:dyDescent="0.25">
      <c r="A152" s="92"/>
      <c r="B152" s="17"/>
      <c r="C152" s="23"/>
      <c r="D152" s="23"/>
    </row>
    <row r="153" spans="1:4" ht="20.25" x14ac:dyDescent="0.25">
      <c r="A153" s="92"/>
      <c r="B153" s="17"/>
      <c r="C153" s="23"/>
      <c r="D153" s="23"/>
    </row>
    <row r="154" spans="1:4" ht="20.25" x14ac:dyDescent="0.25">
      <c r="A154" s="92"/>
      <c r="B154" s="17"/>
      <c r="C154" s="23"/>
      <c r="D154" s="23"/>
    </row>
    <row r="155" spans="1:4" ht="20.25" x14ac:dyDescent="0.25">
      <c r="A155" s="92"/>
      <c r="B155" s="17"/>
      <c r="C155" s="23"/>
      <c r="D155" s="23"/>
    </row>
    <row r="156" spans="1:4" ht="20.25" x14ac:dyDescent="0.25">
      <c r="A156" s="92"/>
      <c r="B156" s="17"/>
      <c r="C156" s="23"/>
      <c r="D156" s="23"/>
    </row>
    <row r="157" spans="1:4" ht="20.25" x14ac:dyDescent="0.25">
      <c r="A157" s="92"/>
      <c r="B157" s="17"/>
      <c r="C157" s="23"/>
      <c r="D157" s="23"/>
    </row>
    <row r="158" spans="1:4" ht="20.25" x14ac:dyDescent="0.25">
      <c r="A158" s="92"/>
      <c r="B158" s="17"/>
      <c r="C158" s="23"/>
      <c r="D158" s="23"/>
    </row>
    <row r="159" spans="1:4" ht="20.25" x14ac:dyDescent="0.25">
      <c r="A159" s="92"/>
      <c r="B159" s="17"/>
      <c r="C159" s="23"/>
      <c r="D159" s="23"/>
    </row>
    <row r="160" spans="1:4" ht="20.25" x14ac:dyDescent="0.25">
      <c r="A160" s="92"/>
      <c r="B160" s="17"/>
      <c r="C160" s="23"/>
      <c r="D160" s="23"/>
    </row>
    <row r="161" spans="1:4" ht="20.25" x14ac:dyDescent="0.25">
      <c r="A161" s="92"/>
      <c r="B161" s="17"/>
      <c r="C161" s="23"/>
      <c r="D161" s="23"/>
    </row>
    <row r="162" spans="1:4" ht="20.25" x14ac:dyDescent="0.25">
      <c r="A162" s="92"/>
      <c r="B162" s="17"/>
      <c r="C162" s="23"/>
      <c r="D162" s="23"/>
    </row>
    <row r="163" spans="1:4" ht="20.25" x14ac:dyDescent="0.25">
      <c r="A163" s="92"/>
      <c r="B163" s="17"/>
      <c r="C163" s="23"/>
      <c r="D163" s="23"/>
    </row>
    <row r="164" spans="1:4" ht="20.25" x14ac:dyDescent="0.25">
      <c r="A164" s="92"/>
      <c r="B164" s="17"/>
      <c r="C164" s="23"/>
      <c r="D164" s="23"/>
    </row>
    <row r="165" spans="1:4" ht="20.25" x14ac:dyDescent="0.25">
      <c r="A165" s="92"/>
      <c r="B165" s="17"/>
      <c r="C165" s="23"/>
      <c r="D165" s="23"/>
    </row>
    <row r="166" spans="1:4" ht="20.25" x14ac:dyDescent="0.25">
      <c r="A166" s="92"/>
      <c r="B166" s="17"/>
      <c r="C166" s="23"/>
      <c r="D166" s="23"/>
    </row>
    <row r="167" spans="1:4" ht="20.25" x14ac:dyDescent="0.25">
      <c r="A167" s="92"/>
      <c r="B167" s="17"/>
      <c r="C167" s="23"/>
      <c r="D167" s="23"/>
    </row>
    <row r="168" spans="1:4" ht="20.25" x14ac:dyDescent="0.25">
      <c r="A168" s="92"/>
      <c r="B168" s="17"/>
      <c r="C168" s="23"/>
      <c r="D168" s="23"/>
    </row>
    <row r="169" spans="1:4" ht="20.25" x14ac:dyDescent="0.25">
      <c r="A169" s="92"/>
      <c r="B169" s="17"/>
      <c r="C169" s="23"/>
      <c r="D169" s="23"/>
    </row>
    <row r="170" spans="1:4" ht="20.25" x14ac:dyDescent="0.25">
      <c r="A170" s="92"/>
      <c r="B170" s="17"/>
      <c r="C170" s="23"/>
      <c r="D170" s="23"/>
    </row>
    <row r="171" spans="1:4" ht="20.25" x14ac:dyDescent="0.25">
      <c r="A171" s="92"/>
      <c r="B171" s="17"/>
      <c r="C171" s="23"/>
      <c r="D171" s="23"/>
    </row>
    <row r="172" spans="1:4" ht="20.25" x14ac:dyDescent="0.25">
      <c r="A172" s="92"/>
      <c r="B172" s="17"/>
      <c r="C172" s="23"/>
      <c r="D172" s="23"/>
    </row>
    <row r="173" spans="1:4" ht="20.25" x14ac:dyDescent="0.25">
      <c r="A173" s="92"/>
      <c r="B173" s="17"/>
      <c r="C173" s="23"/>
      <c r="D173" s="23"/>
    </row>
    <row r="174" spans="1:4" ht="20.25" x14ac:dyDescent="0.25">
      <c r="A174" s="92"/>
      <c r="B174" s="17"/>
      <c r="C174" s="23"/>
      <c r="D174" s="23"/>
    </row>
    <row r="175" spans="1:4" ht="20.25" x14ac:dyDescent="0.25">
      <c r="A175" s="92"/>
      <c r="B175" s="17"/>
      <c r="C175" s="23"/>
      <c r="D175" s="23"/>
    </row>
    <row r="176" spans="1:4" ht="20.25" x14ac:dyDescent="0.25">
      <c r="A176" s="92"/>
      <c r="B176" s="17"/>
      <c r="C176" s="23"/>
      <c r="D176" s="23"/>
    </row>
    <row r="177" spans="1:4" ht="20.25" x14ac:dyDescent="0.25">
      <c r="A177" s="92"/>
      <c r="B177" s="17"/>
      <c r="C177" s="23"/>
      <c r="D177" s="23"/>
    </row>
    <row r="178" spans="1:4" ht="20.25" x14ac:dyDescent="0.25">
      <c r="A178" s="92"/>
      <c r="B178" s="17"/>
      <c r="C178" s="23"/>
      <c r="D178" s="23"/>
    </row>
    <row r="179" spans="1:4" ht="20.25" x14ac:dyDescent="0.25">
      <c r="A179" s="92"/>
      <c r="B179" s="17"/>
      <c r="C179" s="23"/>
      <c r="D179" s="23"/>
    </row>
    <row r="180" spans="1:4" ht="20.25" x14ac:dyDescent="0.25">
      <c r="A180" s="92"/>
      <c r="B180" s="17"/>
      <c r="C180" s="23"/>
      <c r="D180" s="23"/>
    </row>
    <row r="181" spans="1:4" ht="20.25" x14ac:dyDescent="0.25">
      <c r="A181" s="92"/>
      <c r="B181" s="17"/>
      <c r="C181" s="23"/>
      <c r="D181" s="23"/>
    </row>
    <row r="182" spans="1:4" ht="20.25" x14ac:dyDescent="0.25">
      <c r="A182" s="92"/>
      <c r="B182" s="17"/>
      <c r="C182" s="23"/>
      <c r="D182" s="23"/>
    </row>
    <row r="183" spans="1:4" ht="20.25" x14ac:dyDescent="0.25">
      <c r="A183" s="92"/>
      <c r="B183" s="17"/>
      <c r="C183" s="23"/>
      <c r="D183" s="23"/>
    </row>
    <row r="184" spans="1:4" ht="20.25" x14ac:dyDescent="0.25">
      <c r="A184" s="92"/>
      <c r="B184" s="17"/>
      <c r="C184" s="23"/>
      <c r="D184" s="23"/>
    </row>
    <row r="185" spans="1:4" ht="20.25" x14ac:dyDescent="0.25">
      <c r="A185" s="92"/>
      <c r="B185" s="17"/>
      <c r="C185" s="23"/>
      <c r="D185" s="23"/>
    </row>
    <row r="186" spans="1:4" ht="20.25" x14ac:dyDescent="0.25">
      <c r="A186" s="92"/>
      <c r="B186" s="17"/>
      <c r="C186" s="23"/>
      <c r="D186" s="23"/>
    </row>
    <row r="187" spans="1:4" ht="20.25" x14ac:dyDescent="0.25">
      <c r="A187" s="92"/>
      <c r="B187" s="17"/>
      <c r="C187" s="23"/>
      <c r="D187" s="23"/>
    </row>
    <row r="188" spans="1:4" ht="20.25" x14ac:dyDescent="0.25">
      <c r="A188" s="92"/>
      <c r="B188" s="17"/>
      <c r="C188" s="23"/>
      <c r="D188" s="23"/>
    </row>
    <row r="189" spans="1:4" ht="20.25" x14ac:dyDescent="0.25">
      <c r="A189" s="92"/>
      <c r="B189" s="17"/>
      <c r="C189" s="23"/>
      <c r="D189" s="23"/>
    </row>
    <row r="190" spans="1:4" ht="20.25" x14ac:dyDescent="0.25">
      <c r="A190" s="92"/>
      <c r="B190" s="17"/>
      <c r="C190" s="23"/>
      <c r="D190" s="23"/>
    </row>
    <row r="191" spans="1:4" ht="20.25" x14ac:dyDescent="0.25">
      <c r="A191" s="92"/>
      <c r="B191" s="17"/>
      <c r="C191" s="23"/>
      <c r="D191" s="23"/>
    </row>
    <row r="192" spans="1:4" ht="20.25" x14ac:dyDescent="0.25">
      <c r="A192" s="92"/>
      <c r="B192" s="17"/>
      <c r="C192" s="23"/>
      <c r="D192" s="23"/>
    </row>
    <row r="193" spans="1:4" ht="20.25" x14ac:dyDescent="0.25">
      <c r="A193" s="92"/>
      <c r="B193" s="17"/>
      <c r="C193" s="23"/>
      <c r="D193" s="23"/>
    </row>
    <row r="194" spans="1:4" ht="20.25" x14ac:dyDescent="0.25">
      <c r="A194" s="92"/>
      <c r="B194" s="17"/>
      <c r="C194" s="23"/>
      <c r="D194" s="23"/>
    </row>
    <row r="195" spans="1:4" ht="20.25" x14ac:dyDescent="0.25">
      <c r="A195" s="92"/>
      <c r="B195" s="17"/>
      <c r="C195" s="23"/>
      <c r="D195" s="23"/>
    </row>
    <row r="196" spans="1:4" ht="20.25" x14ac:dyDescent="0.25">
      <c r="A196" s="92"/>
      <c r="B196" s="17"/>
      <c r="C196" s="23"/>
      <c r="D196" s="23"/>
    </row>
    <row r="197" spans="1:4" ht="20.25" x14ac:dyDescent="0.25">
      <c r="A197" s="92"/>
      <c r="B197" s="17"/>
      <c r="C197" s="23"/>
      <c r="D197" s="23"/>
    </row>
    <row r="198" spans="1:4" ht="20.25" x14ac:dyDescent="0.25">
      <c r="A198" s="92"/>
      <c r="B198" s="17"/>
      <c r="C198" s="23"/>
      <c r="D198" s="23"/>
    </row>
    <row r="199" spans="1:4" ht="20.25" x14ac:dyDescent="0.25">
      <c r="A199" s="92"/>
      <c r="B199" s="17"/>
      <c r="C199" s="23"/>
      <c r="D199" s="23"/>
    </row>
    <row r="200" spans="1:4" ht="20.25" x14ac:dyDescent="0.25">
      <c r="A200" s="92"/>
      <c r="B200" s="17"/>
      <c r="C200" s="23"/>
      <c r="D200" s="23"/>
    </row>
    <row r="201" spans="1:4" ht="20.25" x14ac:dyDescent="0.25">
      <c r="A201" s="92"/>
      <c r="B201" s="17"/>
      <c r="C201" s="23"/>
      <c r="D201" s="23"/>
    </row>
    <row r="202" spans="1:4" ht="20.25" x14ac:dyDescent="0.25">
      <c r="A202" s="92"/>
      <c r="B202" s="17"/>
      <c r="C202" s="23"/>
      <c r="D202" s="23"/>
    </row>
    <row r="203" spans="1:4" ht="20.25" x14ac:dyDescent="0.25">
      <c r="A203" s="92"/>
      <c r="B203" s="17"/>
      <c r="C203" s="23"/>
      <c r="D203" s="23"/>
    </row>
    <row r="204" spans="1:4" ht="20.25" x14ac:dyDescent="0.25">
      <c r="A204" s="92"/>
      <c r="B204" s="17"/>
      <c r="C204" s="23"/>
      <c r="D204" s="23"/>
    </row>
    <row r="205" spans="1:4" ht="20.25" x14ac:dyDescent="0.25">
      <c r="A205" s="92"/>
      <c r="B205" s="17"/>
      <c r="C205" s="23"/>
      <c r="D205" s="23"/>
    </row>
    <row r="206" spans="1:4" ht="20.25" x14ac:dyDescent="0.25">
      <c r="A206" s="92"/>
      <c r="B206" s="17"/>
      <c r="C206" s="23"/>
      <c r="D206" s="23"/>
    </row>
    <row r="207" spans="1:4" ht="20.25" x14ac:dyDescent="0.25">
      <c r="A207" s="92"/>
      <c r="B207" s="17"/>
      <c r="C207" s="23"/>
      <c r="D207" s="23"/>
    </row>
    <row r="208" spans="1:4" x14ac:dyDescent="0.25">
      <c r="A208" s="72"/>
      <c r="B208" s="17"/>
      <c r="C208" s="17"/>
      <c r="D208" s="17"/>
    </row>
    <row r="209" spans="1:8" ht="20.25" x14ac:dyDescent="0.25">
      <c r="A209" s="72"/>
      <c r="B209" s="19" t="s">
        <v>72</v>
      </c>
      <c r="C209" s="19" t="s">
        <v>111</v>
      </c>
      <c r="D209" s="22" t="s">
        <v>72</v>
      </c>
      <c r="E209" s="22" t="s">
        <v>111</v>
      </c>
    </row>
    <row r="210" spans="1:8" ht="21" x14ac:dyDescent="0.35">
      <c r="A210" s="72"/>
      <c r="B210" s="20" t="s">
        <v>74</v>
      </c>
      <c r="C210" s="20" t="s">
        <v>44</v>
      </c>
      <c r="D210" t="s">
        <v>74</v>
      </c>
      <c r="F210" t="str">
        <f>IF(NOT(ISBLANK(D210)),D210,IF(NOT(ISBLANK(E210)),"     "&amp;E210,FALSE))</f>
        <v>Afectación Económica o presupuestal</v>
      </c>
      <c r="G210" t="s">
        <v>74</v>
      </c>
      <c r="H210" t="str">
        <f ca="1">IF(NOT(ISERROR(MATCH(G210,_xlfn.ANCHORARRAY(B221),0))),F223&amp;"Por favor no seleccionar los criterios de impacto",G210)</f>
        <v>Afectación Económica o presupuestal</v>
      </c>
    </row>
    <row r="211" spans="1:8" ht="21" x14ac:dyDescent="0.35">
      <c r="A211" s="72"/>
      <c r="B211" s="20" t="s">
        <v>74</v>
      </c>
      <c r="C211" s="20" t="s">
        <v>77</v>
      </c>
      <c r="E211" t="s">
        <v>44</v>
      </c>
      <c r="F211" t="str">
        <f t="shared" ref="F211:F221" si="0">IF(NOT(ISBLANK(D211)),D211,IF(NOT(ISBLANK(E211)),"     "&amp;E211,FALSE))</f>
        <v xml:space="preserve">     Afectación menor a 10 SMLMV .</v>
      </c>
    </row>
    <row r="212" spans="1:8" ht="21" x14ac:dyDescent="0.35">
      <c r="A212" s="72"/>
      <c r="B212" s="20" t="s">
        <v>74</v>
      </c>
      <c r="C212" s="20" t="s">
        <v>78</v>
      </c>
      <c r="E212" t="s">
        <v>77</v>
      </c>
      <c r="F212" t="str">
        <f t="shared" si="0"/>
        <v xml:space="preserve">     Entre 10 y 50 SMLMV </v>
      </c>
    </row>
    <row r="213" spans="1:8" ht="21" x14ac:dyDescent="0.35">
      <c r="A213" s="72"/>
      <c r="B213" s="20" t="s">
        <v>74</v>
      </c>
      <c r="C213" s="20" t="s">
        <v>79</v>
      </c>
      <c r="E213" t="s">
        <v>78</v>
      </c>
      <c r="F213" t="str">
        <f t="shared" si="0"/>
        <v xml:space="preserve">     Entre 50 y 100 SMLMV </v>
      </c>
    </row>
    <row r="214" spans="1:8" ht="21" x14ac:dyDescent="0.35">
      <c r="A214" s="72"/>
      <c r="B214" s="20" t="s">
        <v>74</v>
      </c>
      <c r="C214" s="20" t="s">
        <v>80</v>
      </c>
      <c r="E214" t="s">
        <v>79</v>
      </c>
      <c r="F214" t="str">
        <f t="shared" si="0"/>
        <v xml:space="preserve">     Entre 100 y 500 SMLMV </v>
      </c>
    </row>
    <row r="215" spans="1:8" ht="21" x14ac:dyDescent="0.35">
      <c r="A215" s="72"/>
      <c r="B215" s="20" t="s">
        <v>43</v>
      </c>
      <c r="C215" s="20" t="s">
        <v>81</v>
      </c>
      <c r="E215" t="s">
        <v>80</v>
      </c>
      <c r="F215" t="str">
        <f t="shared" si="0"/>
        <v xml:space="preserve">     Mayor a 500 SMLMV </v>
      </c>
    </row>
    <row r="216" spans="1:8" ht="21" x14ac:dyDescent="0.35">
      <c r="A216" s="72"/>
      <c r="B216" s="20" t="s">
        <v>43</v>
      </c>
      <c r="C216" s="20" t="s">
        <v>82</v>
      </c>
      <c r="D216" t="s">
        <v>43</v>
      </c>
      <c r="F216" t="str">
        <f t="shared" si="0"/>
        <v>Pérdida Reputacional</v>
      </c>
    </row>
    <row r="217" spans="1:8" ht="21" x14ac:dyDescent="0.35">
      <c r="A217" s="72"/>
      <c r="B217" s="20" t="s">
        <v>43</v>
      </c>
      <c r="C217" s="20" t="s">
        <v>84</v>
      </c>
      <c r="E217" t="s">
        <v>81</v>
      </c>
      <c r="F217" t="str">
        <f t="shared" si="0"/>
        <v xml:space="preserve">     El riesgo afecta la imagen de alguna área de la organización</v>
      </c>
    </row>
    <row r="218" spans="1:8" ht="21" x14ac:dyDescent="0.35">
      <c r="A218" s="72"/>
      <c r="B218" s="20" t="s">
        <v>43</v>
      </c>
      <c r="C218" s="20" t="s">
        <v>83</v>
      </c>
      <c r="E218" t="s">
        <v>82</v>
      </c>
      <c r="F218" t="str">
        <f t="shared" si="0"/>
        <v xml:space="preserve">     El riesgo afecta la imagen de la entidad internamente, de conocimiento general, nivel interno, de junta dircetiva y accionistas y/o de provedores</v>
      </c>
    </row>
    <row r="219" spans="1:8" ht="21" x14ac:dyDescent="0.35">
      <c r="A219" s="72"/>
      <c r="B219" s="20" t="s">
        <v>43</v>
      </c>
      <c r="C219" s="20" t="s">
        <v>102</v>
      </c>
      <c r="E219" t="s">
        <v>84</v>
      </c>
      <c r="F219" t="str">
        <f t="shared" si="0"/>
        <v xml:space="preserve">     El riesgo afecta la imagen de la entidad con algunos usuarios de relevancia frente al logro de los objetivos</v>
      </c>
    </row>
    <row r="220" spans="1:8" x14ac:dyDescent="0.25">
      <c r="A220" s="72"/>
      <c r="B220" s="21"/>
      <c r="C220" s="21"/>
      <c r="E220" t="s">
        <v>83</v>
      </c>
      <c r="F220" t="str">
        <f t="shared" si="0"/>
        <v xml:space="preserve">     El riesgo afecta la imagen de de la entidad con efecto publicitario sostenido a nivel de sector administrativo, nivel departamental o municipal</v>
      </c>
    </row>
    <row r="221" spans="1:8" x14ac:dyDescent="0.25">
      <c r="A221" s="72"/>
      <c r="B221" s="21" t="e" cm="1">
        <f t="array" aca="1" ref="B221:B223" ca="1">_xlfn.UNIQUE(Tabla1[[#All],[Criterios]])</f>
        <v>#NAME?</v>
      </c>
      <c r="C221" s="21"/>
      <c r="E221" t="s">
        <v>102</v>
      </c>
      <c r="F221" t="str">
        <f t="shared" si="0"/>
        <v xml:space="preserve">     El riesgo afecta la imagen de la entidad a nivel nacional, con efecto publicitarios sostenible a nivel país</v>
      </c>
    </row>
    <row r="222" spans="1:8" x14ac:dyDescent="0.25">
      <c r="A222" s="72"/>
      <c r="B222" s="21" t="e">
        <f ca="1"/>
        <v>#NAME?</v>
      </c>
      <c r="C222" s="21"/>
    </row>
    <row r="223" spans="1:8" x14ac:dyDescent="0.25">
      <c r="B223" s="21" t="e">
        <f ca="1"/>
        <v>#NAME?</v>
      </c>
      <c r="C223" s="21"/>
      <c r="F223" s="24" t="s">
        <v>113</v>
      </c>
    </row>
    <row r="224" spans="1:8" x14ac:dyDescent="0.25">
      <c r="B224" s="16"/>
      <c r="C224" s="16"/>
      <c r="F224" s="24" t="s">
        <v>114</v>
      </c>
    </row>
    <row r="225" spans="2:4" x14ac:dyDescent="0.25">
      <c r="B225" s="16"/>
      <c r="C225" s="16"/>
    </row>
    <row r="226" spans="2:4" x14ac:dyDescent="0.25">
      <c r="B226" s="16"/>
      <c r="C226" s="16"/>
    </row>
    <row r="227" spans="2:4" x14ac:dyDescent="0.25">
      <c r="B227" s="16"/>
      <c r="C227" s="16"/>
      <c r="D227" s="16"/>
    </row>
    <row r="228" spans="2:4" x14ac:dyDescent="0.25">
      <c r="B228" s="16"/>
      <c r="C228" s="16"/>
      <c r="D228" s="16"/>
    </row>
    <row r="229" spans="2:4" x14ac:dyDescent="0.25">
      <c r="B229" s="16"/>
      <c r="C229" s="16"/>
      <c r="D229" s="16"/>
    </row>
    <row r="230" spans="2:4" x14ac:dyDescent="0.25">
      <c r="B230" s="16"/>
      <c r="C230" s="16"/>
      <c r="D230" s="16"/>
    </row>
    <row r="231" spans="2:4" x14ac:dyDescent="0.25">
      <c r="B231" s="16"/>
      <c r="C231" s="16"/>
      <c r="D231" s="16"/>
    </row>
    <row r="232" spans="2:4" x14ac:dyDescent="0.25">
      <c r="B232" s="16"/>
      <c r="C232" s="16"/>
      <c r="D232" s="16"/>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6"/>
  <sheetViews>
    <sheetView zoomScale="70" zoomScaleNormal="70" workbookViewId="0">
      <selection activeCell="G9" sqref="G9"/>
    </sheetView>
  </sheetViews>
  <sheetFormatPr baseColWidth="10" defaultColWidth="14.28515625" defaultRowHeight="12.75" x14ac:dyDescent="0.2"/>
  <cols>
    <col min="1" max="2" width="14.28515625" style="77"/>
    <col min="3" max="3" width="17" style="77" customWidth="1"/>
    <col min="4" max="4" width="14.28515625" style="77"/>
    <col min="5" max="5" width="46" style="77" customWidth="1"/>
    <col min="6" max="16384" width="14.28515625" style="77"/>
  </cols>
  <sheetData>
    <row r="1" spans="2:6" ht="24" customHeight="1" thickBot="1" x14ac:dyDescent="0.25">
      <c r="B1" s="731" t="s">
        <v>64</v>
      </c>
      <c r="C1" s="732"/>
      <c r="D1" s="732"/>
      <c r="E1" s="732"/>
      <c r="F1" s="733"/>
    </row>
    <row r="2" spans="2:6" ht="16.5" thickBot="1" x14ac:dyDescent="0.3">
      <c r="B2" s="78"/>
      <c r="C2" s="78"/>
      <c r="D2" s="78"/>
      <c r="E2" s="78"/>
      <c r="F2" s="78"/>
    </row>
    <row r="3" spans="2:6" ht="16.5" thickBot="1" x14ac:dyDescent="0.25">
      <c r="B3" s="735" t="s">
        <v>50</v>
      </c>
      <c r="C3" s="736"/>
      <c r="D3" s="736"/>
      <c r="E3" s="90" t="s">
        <v>51</v>
      </c>
      <c r="F3" s="91" t="s">
        <v>52</v>
      </c>
    </row>
    <row r="4" spans="2:6" ht="31.5" x14ac:dyDescent="0.2">
      <c r="B4" s="737" t="s">
        <v>53</v>
      </c>
      <c r="C4" s="739" t="s">
        <v>12</v>
      </c>
      <c r="D4" s="79" t="s">
        <v>13</v>
      </c>
      <c r="E4" s="80" t="s">
        <v>54</v>
      </c>
      <c r="F4" s="81">
        <v>0.25</v>
      </c>
    </row>
    <row r="5" spans="2:6" ht="47.25" x14ac:dyDescent="0.2">
      <c r="B5" s="738"/>
      <c r="C5" s="740"/>
      <c r="D5" s="82" t="s">
        <v>14</v>
      </c>
      <c r="E5" s="83" t="s">
        <v>55</v>
      </c>
      <c r="F5" s="84">
        <v>0.15</v>
      </c>
    </row>
    <row r="6" spans="2:6" ht="47.25" x14ac:dyDescent="0.2">
      <c r="B6" s="738"/>
      <c r="C6" s="740"/>
      <c r="D6" s="82" t="s">
        <v>15</v>
      </c>
      <c r="E6" s="83" t="s">
        <v>56</v>
      </c>
      <c r="F6" s="84">
        <v>0.1</v>
      </c>
    </row>
    <row r="7" spans="2:6" ht="63" x14ac:dyDescent="0.2">
      <c r="B7" s="738"/>
      <c r="C7" s="740" t="s">
        <v>16</v>
      </c>
      <c r="D7" s="82" t="s">
        <v>9</v>
      </c>
      <c r="E7" s="83" t="s">
        <v>57</v>
      </c>
      <c r="F7" s="84">
        <v>0.25</v>
      </c>
    </row>
    <row r="8" spans="2:6" ht="31.5" x14ac:dyDescent="0.2">
      <c r="B8" s="738"/>
      <c r="C8" s="740"/>
      <c r="D8" s="82" t="s">
        <v>8</v>
      </c>
      <c r="E8" s="83" t="s">
        <v>58</v>
      </c>
      <c r="F8" s="84">
        <v>0.15</v>
      </c>
    </row>
    <row r="9" spans="2:6" ht="47.25" x14ac:dyDescent="0.2">
      <c r="B9" s="738" t="s">
        <v>128</v>
      </c>
      <c r="C9" s="740" t="s">
        <v>17</v>
      </c>
      <c r="D9" s="82" t="s">
        <v>18</v>
      </c>
      <c r="E9" s="83" t="s">
        <v>59</v>
      </c>
      <c r="F9" s="85" t="s">
        <v>60</v>
      </c>
    </row>
    <row r="10" spans="2:6" ht="63" x14ac:dyDescent="0.2">
      <c r="B10" s="738"/>
      <c r="C10" s="740"/>
      <c r="D10" s="82" t="s">
        <v>19</v>
      </c>
      <c r="E10" s="83" t="s">
        <v>61</v>
      </c>
      <c r="F10" s="85" t="s">
        <v>60</v>
      </c>
    </row>
    <row r="11" spans="2:6" ht="47.25" x14ac:dyDescent="0.2">
      <c r="B11" s="738"/>
      <c r="C11" s="740" t="s">
        <v>20</v>
      </c>
      <c r="D11" s="82" t="s">
        <v>21</v>
      </c>
      <c r="E11" s="83" t="s">
        <v>62</v>
      </c>
      <c r="F11" s="85" t="s">
        <v>60</v>
      </c>
    </row>
    <row r="12" spans="2:6" ht="47.25" x14ac:dyDescent="0.2">
      <c r="B12" s="738"/>
      <c r="C12" s="740"/>
      <c r="D12" s="82" t="s">
        <v>22</v>
      </c>
      <c r="E12" s="83" t="s">
        <v>63</v>
      </c>
      <c r="F12" s="85" t="s">
        <v>60</v>
      </c>
    </row>
    <row r="13" spans="2:6" ht="31.5" x14ac:dyDescent="0.2">
      <c r="B13" s="738"/>
      <c r="C13" s="740" t="s">
        <v>23</v>
      </c>
      <c r="D13" s="82" t="s">
        <v>103</v>
      </c>
      <c r="E13" s="83" t="s">
        <v>106</v>
      </c>
      <c r="F13" s="85" t="s">
        <v>60</v>
      </c>
    </row>
    <row r="14" spans="2:6" ht="32.25" thickBot="1" x14ac:dyDescent="0.25">
      <c r="B14" s="741"/>
      <c r="C14" s="742"/>
      <c r="D14" s="86" t="s">
        <v>104</v>
      </c>
      <c r="E14" s="87" t="s">
        <v>105</v>
      </c>
      <c r="F14" s="88" t="s">
        <v>60</v>
      </c>
    </row>
    <row r="15" spans="2:6" ht="49.5" customHeight="1" x14ac:dyDescent="0.2">
      <c r="B15" s="734" t="s">
        <v>125</v>
      </c>
      <c r="C15" s="734"/>
      <c r="D15" s="734"/>
      <c r="E15" s="734"/>
      <c r="F15" s="734"/>
    </row>
    <row r="16" spans="2:6" ht="27" customHeight="1" x14ac:dyDescent="0.25">
      <c r="B16" s="8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zoomScale="55" zoomScaleNormal="55" workbookViewId="0">
      <selection activeCell="L27" sqref="L27"/>
    </sheetView>
  </sheetViews>
  <sheetFormatPr baseColWidth="10" defaultColWidth="11.42578125" defaultRowHeight="16.5" x14ac:dyDescent="0.3"/>
  <cols>
    <col min="1" max="1" width="11.42578125" style="1"/>
    <col min="2" max="2" width="22.7109375" style="113" customWidth="1"/>
    <col min="3" max="6" width="11.42578125" style="113"/>
    <col min="7" max="7" width="93.5703125" style="113" customWidth="1"/>
    <col min="8" max="8" width="74.28515625" style="113" customWidth="1"/>
    <col min="9" max="15" width="11.42578125" style="113"/>
    <col min="16" max="16384" width="11.42578125" style="1"/>
  </cols>
  <sheetData>
    <row r="2" spans="2:8" x14ac:dyDescent="0.3">
      <c r="B2" s="113" t="s">
        <v>26</v>
      </c>
      <c r="E2" s="113" t="s">
        <v>108</v>
      </c>
    </row>
    <row r="3" spans="2:8" x14ac:dyDescent="0.3">
      <c r="B3" s="113" t="s">
        <v>27</v>
      </c>
      <c r="E3" s="113" t="s">
        <v>107</v>
      </c>
    </row>
    <row r="4" spans="2:8" x14ac:dyDescent="0.3">
      <c r="B4" s="113" t="s">
        <v>28</v>
      </c>
      <c r="E4" s="113" t="s">
        <v>109</v>
      </c>
    </row>
    <row r="9" spans="2:8" x14ac:dyDescent="0.3">
      <c r="B9" s="113" t="s">
        <v>30</v>
      </c>
      <c r="E9" s="113" t="s">
        <v>292</v>
      </c>
    </row>
    <row r="10" spans="2:8" x14ac:dyDescent="0.3">
      <c r="B10" s="113" t="s">
        <v>31</v>
      </c>
      <c r="E10" s="113" t="s">
        <v>293</v>
      </c>
    </row>
    <row r="14" spans="2:8" x14ac:dyDescent="0.3">
      <c r="B14" s="113" t="s">
        <v>257</v>
      </c>
      <c r="G14" s="246" t="s">
        <v>654</v>
      </c>
      <c r="H14" s="246" t="s">
        <v>631</v>
      </c>
    </row>
    <row r="15" spans="2:8" ht="25.5" x14ac:dyDescent="0.3">
      <c r="B15" s="250" t="s">
        <v>655</v>
      </c>
      <c r="G15" s="248" t="s">
        <v>108</v>
      </c>
      <c r="H15" s="243" t="s">
        <v>633</v>
      </c>
    </row>
    <row r="16" spans="2:8" x14ac:dyDescent="0.3">
      <c r="B16" s="250" t="s">
        <v>656</v>
      </c>
      <c r="G16" s="248" t="s">
        <v>627</v>
      </c>
      <c r="H16" s="243" t="s">
        <v>639</v>
      </c>
    </row>
    <row r="17" spans="2:8" x14ac:dyDescent="0.3">
      <c r="B17" s="251" t="s">
        <v>233</v>
      </c>
      <c r="G17" s="248" t="s">
        <v>634</v>
      </c>
      <c r="H17" s="243" t="s">
        <v>640</v>
      </c>
    </row>
    <row r="18" spans="2:8" x14ac:dyDescent="0.3">
      <c r="B18" s="251" t="s">
        <v>657</v>
      </c>
      <c r="G18" s="248" t="s">
        <v>628</v>
      </c>
      <c r="H18" s="243" t="s">
        <v>641</v>
      </c>
    </row>
    <row r="19" spans="2:8" ht="25.5" x14ac:dyDescent="0.3">
      <c r="B19" s="251" t="s">
        <v>658</v>
      </c>
      <c r="G19" s="248" t="s">
        <v>645</v>
      </c>
      <c r="H19" s="243" t="s">
        <v>642</v>
      </c>
    </row>
    <row r="20" spans="2:8" ht="25.5" x14ac:dyDescent="0.3">
      <c r="B20" s="251" t="s">
        <v>659</v>
      </c>
      <c r="G20" s="248" t="s">
        <v>629</v>
      </c>
      <c r="H20" s="244" t="s">
        <v>643</v>
      </c>
    </row>
    <row r="21" spans="2:8" x14ac:dyDescent="0.3">
      <c r="B21" s="251" t="s">
        <v>660</v>
      </c>
      <c r="G21" s="247" t="s">
        <v>662</v>
      </c>
      <c r="H21" s="244" t="s">
        <v>644</v>
      </c>
    </row>
    <row r="22" spans="2:8" x14ac:dyDescent="0.3">
      <c r="B22" s="251" t="s">
        <v>634</v>
      </c>
      <c r="G22" s="247" t="s">
        <v>630</v>
      </c>
      <c r="H22" s="246" t="s">
        <v>632</v>
      </c>
    </row>
    <row r="23" spans="2:8" ht="25.5" x14ac:dyDescent="0.3">
      <c r="B23" s="251" t="s">
        <v>327</v>
      </c>
      <c r="G23" s="247" t="s">
        <v>635</v>
      </c>
      <c r="H23" s="244" t="s">
        <v>646</v>
      </c>
    </row>
    <row r="24" spans="2:8" ht="25.5" x14ac:dyDescent="0.3">
      <c r="B24" s="251" t="s">
        <v>661</v>
      </c>
      <c r="G24" s="247" t="s">
        <v>636</v>
      </c>
      <c r="H24" s="244" t="s">
        <v>647</v>
      </c>
    </row>
    <row r="25" spans="2:8" ht="66.75" customHeight="1" x14ac:dyDescent="0.3">
      <c r="G25" s="247" t="s">
        <v>378</v>
      </c>
      <c r="H25" s="244" t="s">
        <v>648</v>
      </c>
    </row>
    <row r="26" spans="2:8" ht="38.25" x14ac:dyDescent="0.3">
      <c r="G26" s="247" t="s">
        <v>663</v>
      </c>
      <c r="H26" s="244" t="s">
        <v>649</v>
      </c>
    </row>
    <row r="27" spans="2:8" ht="25.5" x14ac:dyDescent="0.3">
      <c r="G27" s="249" t="s">
        <v>637</v>
      </c>
      <c r="H27" s="245" t="s">
        <v>650</v>
      </c>
    </row>
    <row r="28" spans="2:8" ht="25.5" x14ac:dyDescent="0.3">
      <c r="G28" s="249" t="s">
        <v>651</v>
      </c>
      <c r="H28" s="245" t="s">
        <v>652</v>
      </c>
    </row>
    <row r="29" spans="2:8" ht="25.5" x14ac:dyDescent="0.3">
      <c r="G29" s="249" t="s">
        <v>638</v>
      </c>
      <c r="H29" s="245" t="s">
        <v>653</v>
      </c>
    </row>
    <row r="30" spans="2:8" x14ac:dyDescent="0.3">
      <c r="G30" s="245"/>
      <c r="H30" s="113" t="s">
        <v>644</v>
      </c>
    </row>
  </sheetData>
  <sortState ref="B2:B5">
    <sortCondition ref="B2:B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0"/>
  <sheetViews>
    <sheetView topLeftCell="A4" zoomScale="70" zoomScaleNormal="70" workbookViewId="0">
      <selection activeCell="B20" sqref="B20"/>
    </sheetView>
  </sheetViews>
  <sheetFormatPr baseColWidth="10" defaultColWidth="11.5703125" defaultRowHeight="15" x14ac:dyDescent="0.25"/>
  <cols>
    <col min="1" max="1" width="13.140625" customWidth="1"/>
    <col min="2" max="2" width="26.7109375" customWidth="1"/>
    <col min="3" max="3" width="22.7109375" customWidth="1"/>
    <col min="5" max="5" width="16.85546875" customWidth="1"/>
    <col min="6" max="6" width="29.28515625" customWidth="1"/>
    <col min="7" max="7" width="33.5703125" customWidth="1"/>
    <col min="8" max="8" width="14.42578125" customWidth="1"/>
    <col min="14" max="14" width="12.7109375" customWidth="1"/>
  </cols>
  <sheetData>
    <row r="1" spans="1:18" s="139" customFormat="1" ht="43.5" customHeight="1" x14ac:dyDescent="0.25">
      <c r="A1" s="743" t="s">
        <v>183</v>
      </c>
      <c r="B1" s="743"/>
      <c r="C1" s="743"/>
      <c r="E1" s="743" t="s">
        <v>328</v>
      </c>
      <c r="F1" s="743"/>
      <c r="G1" s="743"/>
      <c r="J1" s="744" t="s">
        <v>329</v>
      </c>
      <c r="K1" s="744"/>
      <c r="L1" s="744"/>
      <c r="M1" s="744"/>
      <c r="N1" s="744"/>
      <c r="O1" s="744"/>
      <c r="P1" s="744"/>
    </row>
    <row r="2" spans="1:18" x14ac:dyDescent="0.25">
      <c r="A2" s="140"/>
      <c r="B2" s="141" t="s">
        <v>330</v>
      </c>
      <c r="C2" s="141" t="s">
        <v>183</v>
      </c>
      <c r="E2" s="140" t="s">
        <v>192</v>
      </c>
      <c r="F2" s="141" t="s">
        <v>331</v>
      </c>
      <c r="G2" s="141" t="s">
        <v>332</v>
      </c>
      <c r="L2" s="745"/>
      <c r="M2" s="745"/>
      <c r="N2" s="745"/>
      <c r="O2" s="745"/>
      <c r="P2" s="745"/>
    </row>
    <row r="3" spans="1:18" ht="60" x14ac:dyDescent="0.25">
      <c r="A3" s="142" t="s">
        <v>37</v>
      </c>
      <c r="B3" s="143" t="s">
        <v>333</v>
      </c>
      <c r="C3" s="144">
        <v>0.2</v>
      </c>
      <c r="E3" s="142" t="s">
        <v>334</v>
      </c>
      <c r="F3" s="143" t="s">
        <v>335</v>
      </c>
      <c r="G3" s="145" t="s">
        <v>336</v>
      </c>
      <c r="I3" s="746" t="s">
        <v>183</v>
      </c>
      <c r="J3" s="146" t="s">
        <v>337</v>
      </c>
      <c r="K3" s="147"/>
      <c r="L3" s="148" t="s">
        <v>338</v>
      </c>
      <c r="M3" s="148" t="s">
        <v>338</v>
      </c>
      <c r="N3" s="148" t="s">
        <v>338</v>
      </c>
      <c r="O3" s="148" t="s">
        <v>338</v>
      </c>
      <c r="P3" s="149" t="s">
        <v>339</v>
      </c>
      <c r="R3" s="150" t="s">
        <v>65</v>
      </c>
    </row>
    <row r="4" spans="1:18" ht="87.4" customHeight="1" x14ac:dyDescent="0.25">
      <c r="A4" s="151" t="s">
        <v>39</v>
      </c>
      <c r="B4" s="143" t="s">
        <v>340</v>
      </c>
      <c r="C4" s="144">
        <v>0.4</v>
      </c>
      <c r="E4" s="151" t="s">
        <v>70</v>
      </c>
      <c r="F4" s="143" t="s">
        <v>341</v>
      </c>
      <c r="G4" s="145" t="s">
        <v>342</v>
      </c>
      <c r="I4" s="746"/>
      <c r="J4" s="152" t="s">
        <v>343</v>
      </c>
      <c r="K4" s="140"/>
      <c r="L4" s="153" t="s">
        <v>344</v>
      </c>
      <c r="M4" s="153" t="s">
        <v>344</v>
      </c>
      <c r="N4" s="148" t="s">
        <v>338</v>
      </c>
      <c r="O4" s="148" t="s">
        <v>338</v>
      </c>
      <c r="P4" s="149" t="s">
        <v>339</v>
      </c>
      <c r="R4" s="154" t="s">
        <v>66</v>
      </c>
    </row>
    <row r="5" spans="1:18" ht="61.9" customHeight="1" x14ac:dyDescent="0.25">
      <c r="A5" s="155" t="s">
        <v>91</v>
      </c>
      <c r="B5" s="143" t="s">
        <v>345</v>
      </c>
      <c r="C5" s="144">
        <v>0.6</v>
      </c>
      <c r="E5" s="155" t="s">
        <v>67</v>
      </c>
      <c r="F5" s="143" t="s">
        <v>78</v>
      </c>
      <c r="G5" s="145" t="s">
        <v>346</v>
      </c>
      <c r="I5" s="746"/>
      <c r="J5" s="155" t="s">
        <v>347</v>
      </c>
      <c r="K5" s="140"/>
      <c r="L5" s="153" t="s">
        <v>344</v>
      </c>
      <c r="M5" s="153" t="s">
        <v>344</v>
      </c>
      <c r="N5" s="153" t="s">
        <v>344</v>
      </c>
      <c r="O5" s="148" t="s">
        <v>338</v>
      </c>
      <c r="P5" s="149" t="s">
        <v>339</v>
      </c>
      <c r="R5" s="156" t="s">
        <v>67</v>
      </c>
    </row>
    <row r="6" spans="1:18" ht="75" x14ac:dyDescent="0.25">
      <c r="A6" s="152" t="s">
        <v>5</v>
      </c>
      <c r="B6" s="143" t="s">
        <v>348</v>
      </c>
      <c r="C6" s="144">
        <v>0.8</v>
      </c>
      <c r="E6" s="152" t="s">
        <v>6</v>
      </c>
      <c r="F6" s="143" t="s">
        <v>349</v>
      </c>
      <c r="G6" s="145" t="s">
        <v>350</v>
      </c>
      <c r="I6" s="746"/>
      <c r="J6" s="151" t="s">
        <v>351</v>
      </c>
      <c r="K6" s="140"/>
      <c r="L6" s="157" t="s">
        <v>352</v>
      </c>
      <c r="M6" s="153" t="s">
        <v>344</v>
      </c>
      <c r="N6" s="153" t="s">
        <v>344</v>
      </c>
      <c r="O6" s="148" t="s">
        <v>338</v>
      </c>
      <c r="P6" s="149" t="s">
        <v>339</v>
      </c>
      <c r="R6" s="158" t="s">
        <v>68</v>
      </c>
    </row>
    <row r="7" spans="1:18" ht="55.5" customHeight="1" x14ac:dyDescent="0.25">
      <c r="A7" s="159" t="s">
        <v>40</v>
      </c>
      <c r="B7" s="143" t="s">
        <v>353</v>
      </c>
      <c r="C7" s="144">
        <v>1</v>
      </c>
      <c r="E7" s="159" t="s">
        <v>71</v>
      </c>
      <c r="F7" s="143" t="s">
        <v>354</v>
      </c>
      <c r="G7" s="145" t="s">
        <v>355</v>
      </c>
      <c r="I7" s="746"/>
      <c r="J7" s="160" t="s">
        <v>356</v>
      </c>
      <c r="K7" s="140"/>
      <c r="L7" s="157" t="s">
        <v>352</v>
      </c>
      <c r="M7" s="157" t="s">
        <v>352</v>
      </c>
      <c r="N7" s="153" t="s">
        <v>344</v>
      </c>
      <c r="O7" s="148" t="s">
        <v>338</v>
      </c>
      <c r="P7" s="149" t="s">
        <v>339</v>
      </c>
    </row>
    <row r="8" spans="1:18" ht="36" customHeight="1" x14ac:dyDescent="0.25">
      <c r="A8" s="161"/>
      <c r="B8" s="162"/>
      <c r="C8" s="163"/>
      <c r="E8" s="161"/>
      <c r="F8" s="162"/>
      <c r="G8" s="164"/>
      <c r="I8" s="133"/>
      <c r="J8" s="137"/>
      <c r="K8" s="137"/>
      <c r="L8" s="747"/>
      <c r="M8" s="748"/>
      <c r="N8" s="748"/>
      <c r="O8" s="748"/>
      <c r="P8" s="749"/>
    </row>
    <row r="9" spans="1:18" ht="30" x14ac:dyDescent="0.25">
      <c r="F9" s="162" t="s">
        <v>357</v>
      </c>
      <c r="L9" s="142" t="s">
        <v>85</v>
      </c>
      <c r="M9" s="151" t="s">
        <v>358</v>
      </c>
      <c r="N9" s="155" t="s">
        <v>46</v>
      </c>
      <c r="O9" s="152" t="s">
        <v>47</v>
      </c>
      <c r="P9" s="146" t="s">
        <v>48</v>
      </c>
    </row>
    <row r="10" spans="1:18" ht="14.65" customHeight="1" x14ac:dyDescent="0.25">
      <c r="D10" s="165" t="s">
        <v>52</v>
      </c>
      <c r="F10" s="162" t="s">
        <v>359</v>
      </c>
      <c r="L10" s="750" t="s">
        <v>328</v>
      </c>
      <c r="M10" s="750"/>
      <c r="N10" s="750"/>
      <c r="O10" s="750"/>
      <c r="P10" s="750"/>
    </row>
    <row r="11" spans="1:18" ht="14.65" customHeight="1" x14ac:dyDescent="0.25">
      <c r="A11" s="751" t="s">
        <v>360</v>
      </c>
      <c r="B11" s="752" t="s">
        <v>252</v>
      </c>
      <c r="C11" s="166" t="s">
        <v>13</v>
      </c>
      <c r="D11" s="167">
        <v>0.25</v>
      </c>
      <c r="F11" s="162" t="s">
        <v>361</v>
      </c>
      <c r="L11" s="750"/>
      <c r="M11" s="750"/>
      <c r="N11" s="750"/>
      <c r="O11" s="750"/>
      <c r="P11" s="750"/>
    </row>
    <row r="12" spans="1:18" x14ac:dyDescent="0.25">
      <c r="A12" s="751"/>
      <c r="B12" s="753"/>
      <c r="C12" s="166" t="s">
        <v>14</v>
      </c>
      <c r="D12" s="167">
        <v>0.15</v>
      </c>
      <c r="F12" s="162" t="s">
        <v>362</v>
      </c>
    </row>
    <row r="13" spans="1:18" x14ac:dyDescent="0.25">
      <c r="A13" s="751"/>
      <c r="B13" s="753"/>
      <c r="C13" s="166" t="s">
        <v>15</v>
      </c>
      <c r="D13" s="167">
        <v>0.1</v>
      </c>
      <c r="H13" s="168" t="s">
        <v>17</v>
      </c>
      <c r="I13" s="168" t="s">
        <v>20</v>
      </c>
      <c r="J13" s="168" t="s">
        <v>23</v>
      </c>
    </row>
    <row r="14" spans="1:18" x14ac:dyDescent="0.25">
      <c r="A14" s="751"/>
      <c r="B14" s="754" t="s">
        <v>363</v>
      </c>
      <c r="C14" s="166" t="s">
        <v>9</v>
      </c>
      <c r="D14" s="167">
        <v>0.25</v>
      </c>
      <c r="F14" s="169" t="s">
        <v>364</v>
      </c>
      <c r="H14" s="132" t="s">
        <v>18</v>
      </c>
      <c r="I14" s="132" t="s">
        <v>21</v>
      </c>
      <c r="J14" s="132" t="s">
        <v>365</v>
      </c>
    </row>
    <row r="15" spans="1:18" x14ac:dyDescent="0.25">
      <c r="A15" s="751"/>
      <c r="B15" s="754"/>
      <c r="C15" s="166" t="s">
        <v>8</v>
      </c>
      <c r="D15" s="167">
        <v>0.1</v>
      </c>
      <c r="F15" s="170" t="s">
        <v>366</v>
      </c>
      <c r="H15" s="132" t="s">
        <v>367</v>
      </c>
      <c r="I15" s="132" t="s">
        <v>22</v>
      </c>
      <c r="J15" s="132" t="s">
        <v>368</v>
      </c>
    </row>
    <row r="16" spans="1:18" x14ac:dyDescent="0.25">
      <c r="F16" s="170" t="s">
        <v>369</v>
      </c>
    </row>
    <row r="17" spans="1:6" x14ac:dyDescent="0.25">
      <c r="A17" s="751" t="s">
        <v>256</v>
      </c>
      <c r="B17" s="166" t="s">
        <v>370</v>
      </c>
      <c r="F17" s="170" t="s">
        <v>371</v>
      </c>
    </row>
    <row r="18" spans="1:6" x14ac:dyDescent="0.25">
      <c r="A18" s="751"/>
      <c r="B18" s="166" t="s">
        <v>27</v>
      </c>
      <c r="F18" s="170" t="s">
        <v>373</v>
      </c>
    </row>
    <row r="19" spans="1:6" x14ac:dyDescent="0.25">
      <c r="A19" s="751"/>
      <c r="B19" s="166" t="s">
        <v>372</v>
      </c>
      <c r="F19" s="170" t="s">
        <v>374</v>
      </c>
    </row>
    <row r="20" spans="1:6" x14ac:dyDescent="0.25">
      <c r="A20" s="751"/>
      <c r="B20" s="166" t="s">
        <v>28</v>
      </c>
      <c r="F20" s="170" t="s">
        <v>375</v>
      </c>
    </row>
    <row r="21" spans="1:6" x14ac:dyDescent="0.25">
      <c r="F21" s="170" t="s">
        <v>376</v>
      </c>
    </row>
    <row r="22" spans="1:6" x14ac:dyDescent="0.25">
      <c r="F22" s="170" t="s">
        <v>377</v>
      </c>
    </row>
    <row r="25" spans="1:6" ht="21" x14ac:dyDescent="0.25">
      <c r="C25" s="743" t="s">
        <v>183</v>
      </c>
      <c r="D25" s="743"/>
      <c r="E25" s="743"/>
    </row>
    <row r="26" spans="1:6" x14ac:dyDescent="0.25">
      <c r="C26" s="141" t="s">
        <v>330</v>
      </c>
      <c r="D26" t="s">
        <v>4</v>
      </c>
    </row>
    <row r="27" spans="1:6" ht="75" x14ac:dyDescent="0.25">
      <c r="C27" s="143" t="s">
        <v>333</v>
      </c>
      <c r="D27" s="144">
        <v>0.2</v>
      </c>
      <c r="E27" s="142" t="s">
        <v>37</v>
      </c>
    </row>
    <row r="28" spans="1:6" ht="60" x14ac:dyDescent="0.25">
      <c r="C28" s="143" t="s">
        <v>340</v>
      </c>
      <c r="D28" s="144">
        <v>0.4</v>
      </c>
      <c r="E28" s="151" t="s">
        <v>39</v>
      </c>
    </row>
    <row r="29" spans="1:6" ht="60" x14ac:dyDescent="0.25">
      <c r="C29" s="143" t="s">
        <v>345</v>
      </c>
      <c r="D29" s="144">
        <v>0.6</v>
      </c>
      <c r="E29" s="155" t="s">
        <v>91</v>
      </c>
    </row>
    <row r="30" spans="1:6" ht="90" x14ac:dyDescent="0.25">
      <c r="C30" s="143" t="s">
        <v>348</v>
      </c>
      <c r="D30" s="144">
        <v>0.8</v>
      </c>
      <c r="E30" s="152" t="s">
        <v>5</v>
      </c>
    </row>
    <row r="31" spans="1:6" ht="60" x14ac:dyDescent="0.25">
      <c r="C31" s="143" t="s">
        <v>353</v>
      </c>
      <c r="D31" s="144">
        <v>1</v>
      </c>
      <c r="E31" s="159" t="s">
        <v>40</v>
      </c>
    </row>
    <row r="34" spans="2:7" x14ac:dyDescent="0.25">
      <c r="B34" t="s">
        <v>378</v>
      </c>
    </row>
    <row r="35" spans="2:7" ht="25.5" x14ac:dyDescent="0.25">
      <c r="B35" s="134" t="s">
        <v>273</v>
      </c>
      <c r="F35" t="s">
        <v>379</v>
      </c>
    </row>
    <row r="36" spans="2:7" ht="25.5" x14ac:dyDescent="0.25">
      <c r="B36" s="134" t="s">
        <v>274</v>
      </c>
      <c r="F36" t="s">
        <v>380</v>
      </c>
      <c r="G36" t="s">
        <v>381</v>
      </c>
    </row>
    <row r="37" spans="2:7" x14ac:dyDescent="0.25">
      <c r="B37" s="134" t="s">
        <v>275</v>
      </c>
      <c r="E37" s="172"/>
      <c r="F37" t="s">
        <v>382</v>
      </c>
      <c r="G37" t="s">
        <v>383</v>
      </c>
    </row>
    <row r="38" spans="2:7" ht="25.5" x14ac:dyDescent="0.25">
      <c r="B38" s="134" t="s">
        <v>276</v>
      </c>
      <c r="D38" s="171"/>
      <c r="E38" s="172"/>
      <c r="F38" t="s">
        <v>384</v>
      </c>
      <c r="G38" t="s">
        <v>385</v>
      </c>
    </row>
    <row r="39" spans="2:7" ht="25.5" x14ac:dyDescent="0.25">
      <c r="B39" s="134" t="s">
        <v>277</v>
      </c>
      <c r="F39" t="s">
        <v>386</v>
      </c>
      <c r="G39" t="s">
        <v>387</v>
      </c>
    </row>
    <row r="40" spans="2:7" ht="25.5" x14ac:dyDescent="0.25">
      <c r="B40" s="134" t="s">
        <v>278</v>
      </c>
      <c r="F40" t="s">
        <v>388</v>
      </c>
      <c r="G40" t="s">
        <v>389</v>
      </c>
    </row>
    <row r="41" spans="2:7" x14ac:dyDescent="0.25">
      <c r="B41" s="134" t="s">
        <v>279</v>
      </c>
      <c r="F41" t="s">
        <v>390</v>
      </c>
      <c r="G41" t="s">
        <v>389</v>
      </c>
    </row>
    <row r="42" spans="2:7" x14ac:dyDescent="0.25">
      <c r="B42" s="134" t="s">
        <v>280</v>
      </c>
      <c r="F42" t="s">
        <v>391</v>
      </c>
      <c r="G42" t="s">
        <v>392</v>
      </c>
    </row>
    <row r="43" spans="2:7" x14ac:dyDescent="0.25">
      <c r="B43" s="134" t="s">
        <v>281</v>
      </c>
      <c r="F43" t="s">
        <v>393</v>
      </c>
      <c r="G43" t="s">
        <v>394</v>
      </c>
    </row>
    <row r="44" spans="2:7" x14ac:dyDescent="0.25">
      <c r="B44" s="134" t="s">
        <v>282</v>
      </c>
      <c r="F44" t="s">
        <v>395</v>
      </c>
      <c r="G44" t="s">
        <v>396</v>
      </c>
    </row>
    <row r="45" spans="2:7" x14ac:dyDescent="0.25">
      <c r="B45" s="134" t="s">
        <v>283</v>
      </c>
      <c r="F45" t="s">
        <v>397</v>
      </c>
      <c r="G45" t="s">
        <v>398</v>
      </c>
    </row>
    <row r="46" spans="2:7" x14ac:dyDescent="0.25">
      <c r="B46" s="134" t="s">
        <v>284</v>
      </c>
    </row>
    <row r="47" spans="2:7" ht="25.5" x14ac:dyDescent="0.25">
      <c r="B47" s="134" t="s">
        <v>285</v>
      </c>
    </row>
    <row r="48" spans="2:7" x14ac:dyDescent="0.25">
      <c r="B48" s="134" t="s">
        <v>286</v>
      </c>
    </row>
    <row r="49" spans="2:7" ht="25.5" x14ac:dyDescent="0.25">
      <c r="B49" s="134" t="s">
        <v>287</v>
      </c>
    </row>
    <row r="50" spans="2:7" x14ac:dyDescent="0.25">
      <c r="B50" s="134" t="s">
        <v>288</v>
      </c>
    </row>
    <row r="51" spans="2:7" x14ac:dyDescent="0.25">
      <c r="B51" s="134" t="s">
        <v>289</v>
      </c>
    </row>
    <row r="52" spans="2:7" ht="15.75" thickBot="1" x14ac:dyDescent="0.3">
      <c r="B52" s="134" t="s">
        <v>290</v>
      </c>
    </row>
    <row r="53" spans="2:7" ht="26.25" thickBot="1" x14ac:dyDescent="0.3">
      <c r="G53" s="173" t="s">
        <v>399</v>
      </c>
    </row>
    <row r="54" spans="2:7" ht="39" thickBot="1" x14ac:dyDescent="0.3">
      <c r="B54" s="174" t="s">
        <v>400</v>
      </c>
      <c r="C54" s="173" t="s">
        <v>399</v>
      </c>
      <c r="G54" s="174" t="s">
        <v>401</v>
      </c>
    </row>
    <row r="55" spans="2:7" ht="15.75" thickBot="1" x14ac:dyDescent="0.3">
      <c r="B55" s="175" t="s">
        <v>402</v>
      </c>
      <c r="C55" s="174" t="s">
        <v>403</v>
      </c>
      <c r="G55" s="176" t="s">
        <v>404</v>
      </c>
    </row>
    <row r="56" spans="2:7" ht="30" x14ac:dyDescent="0.25">
      <c r="B56" s="177" t="s">
        <v>405</v>
      </c>
      <c r="C56" s="175" t="s">
        <v>402</v>
      </c>
      <c r="G56" s="176" t="s">
        <v>406</v>
      </c>
    </row>
    <row r="57" spans="2:7" x14ac:dyDescent="0.25">
      <c r="B57" s="177" t="s">
        <v>407</v>
      </c>
      <c r="C57" s="177" t="s">
        <v>405</v>
      </c>
      <c r="G57" s="176" t="s">
        <v>408</v>
      </c>
    </row>
    <row r="58" spans="2:7" ht="30" x14ac:dyDescent="0.25">
      <c r="B58" s="178" t="s">
        <v>409</v>
      </c>
      <c r="C58" s="177" t="s">
        <v>407</v>
      </c>
      <c r="G58" s="176" t="s">
        <v>410</v>
      </c>
    </row>
    <row r="59" spans="2:7" ht="45" x14ac:dyDescent="0.25">
      <c r="B59" s="179" t="s">
        <v>411</v>
      </c>
      <c r="C59" s="178" t="s">
        <v>409</v>
      </c>
      <c r="G59" s="176" t="s">
        <v>412</v>
      </c>
    </row>
    <row r="60" spans="2:7" x14ac:dyDescent="0.25">
      <c r="B60" s="177" t="s">
        <v>413</v>
      </c>
      <c r="C60" s="179" t="s">
        <v>411</v>
      </c>
      <c r="G60" s="176" t="s">
        <v>414</v>
      </c>
    </row>
    <row r="61" spans="2:7" x14ac:dyDescent="0.25">
      <c r="B61" s="179" t="s">
        <v>415</v>
      </c>
      <c r="C61" s="177" t="s">
        <v>413</v>
      </c>
      <c r="G61" s="176" t="s">
        <v>416</v>
      </c>
    </row>
    <row r="62" spans="2:7" x14ac:dyDescent="0.25">
      <c r="B62" s="179" t="s">
        <v>417</v>
      </c>
      <c r="C62" s="179" t="s">
        <v>415</v>
      </c>
      <c r="G62" s="176" t="s">
        <v>418</v>
      </c>
    </row>
    <row r="63" spans="2:7" x14ac:dyDescent="0.25">
      <c r="B63" s="179" t="s">
        <v>419</v>
      </c>
      <c r="C63" s="177" t="s">
        <v>420</v>
      </c>
      <c r="G63" s="176" t="s">
        <v>421</v>
      </c>
    </row>
    <row r="64" spans="2:7" x14ac:dyDescent="0.25">
      <c r="B64" s="177" t="s">
        <v>420</v>
      </c>
      <c r="C64" s="177" t="s">
        <v>422</v>
      </c>
      <c r="G64" s="176" t="s">
        <v>423</v>
      </c>
    </row>
    <row r="65" spans="2:7" x14ac:dyDescent="0.25">
      <c r="B65" s="177" t="s">
        <v>424</v>
      </c>
      <c r="C65" s="177" t="s">
        <v>425</v>
      </c>
      <c r="G65" s="176" t="s">
        <v>426</v>
      </c>
    </row>
    <row r="66" spans="2:7" x14ac:dyDescent="0.25">
      <c r="B66" s="177" t="s">
        <v>422</v>
      </c>
      <c r="C66" s="177" t="s">
        <v>427</v>
      </c>
      <c r="G66" s="176" t="s">
        <v>428</v>
      </c>
    </row>
    <row r="67" spans="2:7" ht="45" x14ac:dyDescent="0.25">
      <c r="B67" s="177" t="s">
        <v>429</v>
      </c>
      <c r="C67" s="178" t="s">
        <v>430</v>
      </c>
      <c r="G67" s="176" t="s">
        <v>431</v>
      </c>
    </row>
    <row r="68" spans="2:7" x14ac:dyDescent="0.25">
      <c r="B68" s="177" t="s">
        <v>425</v>
      </c>
      <c r="C68" s="177" t="s">
        <v>432</v>
      </c>
      <c r="G68" s="176" t="s">
        <v>433</v>
      </c>
    </row>
    <row r="69" spans="2:7" x14ac:dyDescent="0.25">
      <c r="B69" s="177" t="s">
        <v>434</v>
      </c>
      <c r="C69" s="177" t="s">
        <v>435</v>
      </c>
      <c r="G69" s="176" t="s">
        <v>436</v>
      </c>
    </row>
    <row r="70" spans="2:7" x14ac:dyDescent="0.25">
      <c r="B70" s="177" t="s">
        <v>427</v>
      </c>
      <c r="C70" s="177" t="s">
        <v>437</v>
      </c>
      <c r="G70" s="176" t="s">
        <v>438</v>
      </c>
    </row>
    <row r="71" spans="2:7" ht="45" x14ac:dyDescent="0.25">
      <c r="B71" s="178" t="s">
        <v>430</v>
      </c>
      <c r="C71" s="177" t="s">
        <v>439</v>
      </c>
      <c r="G71" s="176" t="s">
        <v>440</v>
      </c>
    </row>
    <row r="72" spans="2:7" x14ac:dyDescent="0.25">
      <c r="B72" s="177" t="s">
        <v>441</v>
      </c>
      <c r="C72" s="177" t="s">
        <v>442</v>
      </c>
      <c r="G72" s="176" t="s">
        <v>443</v>
      </c>
    </row>
    <row r="73" spans="2:7" ht="30" x14ac:dyDescent="0.25">
      <c r="B73" s="178" t="s">
        <v>444</v>
      </c>
      <c r="C73" s="177" t="s">
        <v>445</v>
      </c>
      <c r="G73" s="176"/>
    </row>
    <row r="74" spans="2:7" x14ac:dyDescent="0.25">
      <c r="B74" s="177" t="s">
        <v>432</v>
      </c>
      <c r="C74" s="177" t="s">
        <v>446</v>
      </c>
      <c r="G74" s="176"/>
    </row>
    <row r="75" spans="2:7" ht="15.75" thickBot="1" x14ac:dyDescent="0.3">
      <c r="B75" s="177" t="s">
        <v>435</v>
      </c>
      <c r="C75" s="177" t="s">
        <v>447</v>
      </c>
      <c r="G75" s="176"/>
    </row>
    <row r="76" spans="2:7" ht="15.75" thickBot="1" x14ac:dyDescent="0.3">
      <c r="B76" s="177" t="s">
        <v>437</v>
      </c>
      <c r="C76" s="177" t="s">
        <v>448</v>
      </c>
      <c r="G76" s="173" t="s">
        <v>449</v>
      </c>
    </row>
    <row r="77" spans="2:7" ht="26.25" thickBot="1" x14ac:dyDescent="0.3">
      <c r="B77" s="177" t="s">
        <v>439</v>
      </c>
      <c r="C77" s="173" t="s">
        <v>449</v>
      </c>
      <c r="G77" s="174" t="s">
        <v>401</v>
      </c>
    </row>
    <row r="78" spans="2:7" ht="15.75" thickBot="1" x14ac:dyDescent="0.3">
      <c r="B78" s="177" t="s">
        <v>442</v>
      </c>
      <c r="C78" s="174" t="s">
        <v>403</v>
      </c>
      <c r="G78" s="176" t="s">
        <v>450</v>
      </c>
    </row>
    <row r="79" spans="2:7" ht="30" x14ac:dyDescent="0.25">
      <c r="B79" s="177" t="s">
        <v>445</v>
      </c>
      <c r="C79" s="175" t="s">
        <v>402</v>
      </c>
      <c r="G79" s="176" t="s">
        <v>451</v>
      </c>
    </row>
    <row r="80" spans="2:7" ht="45" x14ac:dyDescent="0.25">
      <c r="B80" s="177" t="s">
        <v>452</v>
      </c>
      <c r="C80" s="178" t="s">
        <v>409</v>
      </c>
      <c r="G80" s="176" t="s">
        <v>453</v>
      </c>
    </row>
    <row r="81" spans="2:7" x14ac:dyDescent="0.25">
      <c r="B81" s="177" t="s">
        <v>446</v>
      </c>
      <c r="C81" s="179" t="s">
        <v>411</v>
      </c>
      <c r="G81" s="176" t="s">
        <v>454</v>
      </c>
    </row>
    <row r="82" spans="2:7" x14ac:dyDescent="0.25">
      <c r="B82" s="177" t="s">
        <v>455</v>
      </c>
      <c r="C82" s="179" t="s">
        <v>415</v>
      </c>
      <c r="G82" s="176" t="s">
        <v>456</v>
      </c>
    </row>
    <row r="83" spans="2:7" x14ac:dyDescent="0.25">
      <c r="B83" s="177" t="s">
        <v>447</v>
      </c>
      <c r="C83" s="179" t="s">
        <v>417</v>
      </c>
      <c r="G83" s="176" t="s">
        <v>457</v>
      </c>
    </row>
    <row r="84" spans="2:7" x14ac:dyDescent="0.25">
      <c r="B84" s="177" t="s">
        <v>458</v>
      </c>
      <c r="C84" s="179" t="s">
        <v>419</v>
      </c>
      <c r="G84" s="176" t="s">
        <v>459</v>
      </c>
    </row>
    <row r="85" spans="2:7" x14ac:dyDescent="0.25">
      <c r="B85" s="177" t="s">
        <v>460</v>
      </c>
      <c r="C85" s="177" t="s">
        <v>424</v>
      </c>
      <c r="G85" s="176" t="s">
        <v>461</v>
      </c>
    </row>
    <row r="86" spans="2:7" x14ac:dyDescent="0.25">
      <c r="B86" s="177" t="s">
        <v>448</v>
      </c>
      <c r="C86" s="177" t="s">
        <v>422</v>
      </c>
      <c r="G86" s="176" t="s">
        <v>462</v>
      </c>
    </row>
    <row r="87" spans="2:7" x14ac:dyDescent="0.25">
      <c r="B87" s="177" t="s">
        <v>463</v>
      </c>
      <c r="C87" s="177" t="s">
        <v>429</v>
      </c>
      <c r="G87" s="176" t="s">
        <v>464</v>
      </c>
    </row>
    <row r="88" spans="2:7" x14ac:dyDescent="0.25">
      <c r="B88" s="177" t="s">
        <v>465</v>
      </c>
      <c r="C88" s="177" t="s">
        <v>425</v>
      </c>
      <c r="G88" s="176" t="s">
        <v>466</v>
      </c>
    </row>
    <row r="89" spans="2:7" ht="45" x14ac:dyDescent="0.25">
      <c r="B89" s="179" t="s">
        <v>467</v>
      </c>
      <c r="C89" s="178" t="s">
        <v>430</v>
      </c>
      <c r="G89" s="176" t="s">
        <v>468</v>
      </c>
    </row>
    <row r="90" spans="2:7" x14ac:dyDescent="0.25">
      <c r="C90" s="177" t="s">
        <v>441</v>
      </c>
      <c r="G90" s="176" t="s">
        <v>469</v>
      </c>
    </row>
    <row r="91" spans="2:7" ht="30" x14ac:dyDescent="0.25">
      <c r="C91" s="178" t="s">
        <v>444</v>
      </c>
      <c r="G91" s="176" t="s">
        <v>470</v>
      </c>
    </row>
    <row r="92" spans="2:7" x14ac:dyDescent="0.25">
      <c r="C92" s="177" t="s">
        <v>435</v>
      </c>
      <c r="G92" s="176" t="s">
        <v>471</v>
      </c>
    </row>
    <row r="93" spans="2:7" x14ac:dyDescent="0.25">
      <c r="C93" s="177" t="s">
        <v>437</v>
      </c>
      <c r="G93" s="176"/>
    </row>
    <row r="94" spans="2:7" x14ac:dyDescent="0.25">
      <c r="C94" s="177" t="s">
        <v>439</v>
      </c>
      <c r="G94" s="176"/>
    </row>
    <row r="95" spans="2:7" x14ac:dyDescent="0.25">
      <c r="C95" s="177" t="s">
        <v>445</v>
      </c>
      <c r="G95" s="176"/>
    </row>
    <row r="96" spans="2:7" x14ac:dyDescent="0.25">
      <c r="C96" s="177" t="s">
        <v>446</v>
      </c>
      <c r="G96" s="176"/>
    </row>
    <row r="97" spans="3:7" x14ac:dyDescent="0.25">
      <c r="C97" s="177" t="s">
        <v>455</v>
      </c>
      <c r="G97" s="176"/>
    </row>
    <row r="98" spans="3:7" ht="15.75" thickBot="1" x14ac:dyDescent="0.3">
      <c r="C98" s="177" t="s">
        <v>463</v>
      </c>
      <c r="G98" s="176"/>
    </row>
    <row r="99" spans="3:7" ht="15.75" thickBot="1" x14ac:dyDescent="0.3">
      <c r="C99" s="177" t="s">
        <v>465</v>
      </c>
      <c r="G99" s="173" t="s">
        <v>472</v>
      </c>
    </row>
    <row r="100" spans="3:7" ht="15.75" thickBot="1" x14ac:dyDescent="0.3">
      <c r="C100" s="173" t="s">
        <v>472</v>
      </c>
      <c r="G100" s="174" t="s">
        <v>401</v>
      </c>
    </row>
    <row r="101" spans="3:7" ht="15.75" thickBot="1" x14ac:dyDescent="0.3">
      <c r="C101" s="174" t="s">
        <v>403</v>
      </c>
      <c r="G101" s="176" t="s">
        <v>473</v>
      </c>
    </row>
    <row r="102" spans="3:7" ht="30" x14ac:dyDescent="0.25">
      <c r="C102" s="175" t="s">
        <v>402</v>
      </c>
      <c r="G102" s="176" t="s">
        <v>474</v>
      </c>
    </row>
    <row r="103" spans="3:7" x14ac:dyDescent="0.25">
      <c r="C103" s="177" t="s">
        <v>405</v>
      </c>
      <c r="G103" s="176" t="s">
        <v>475</v>
      </c>
    </row>
    <row r="104" spans="3:7" x14ac:dyDescent="0.25">
      <c r="C104" s="177" t="s">
        <v>407</v>
      </c>
      <c r="G104" s="176" t="s">
        <v>476</v>
      </c>
    </row>
    <row r="105" spans="3:7" ht="45" x14ac:dyDescent="0.25">
      <c r="C105" s="178" t="s">
        <v>409</v>
      </c>
      <c r="G105" s="176" t="s">
        <v>477</v>
      </c>
    </row>
    <row r="106" spans="3:7" x14ac:dyDescent="0.25">
      <c r="C106" s="179" t="s">
        <v>415</v>
      </c>
      <c r="G106" s="176" t="s">
        <v>478</v>
      </c>
    </row>
    <row r="107" spans="3:7" x14ac:dyDescent="0.25">
      <c r="C107" s="177" t="s">
        <v>420</v>
      </c>
      <c r="G107" s="176" t="s">
        <v>479</v>
      </c>
    </row>
    <row r="108" spans="3:7" x14ac:dyDescent="0.25">
      <c r="C108" s="177" t="s">
        <v>422</v>
      </c>
      <c r="G108" s="176" t="s">
        <v>480</v>
      </c>
    </row>
    <row r="109" spans="3:7" x14ac:dyDescent="0.25">
      <c r="C109" s="177" t="s">
        <v>425</v>
      </c>
      <c r="G109" s="176" t="s">
        <v>481</v>
      </c>
    </row>
    <row r="110" spans="3:7" x14ac:dyDescent="0.25">
      <c r="C110" s="177" t="s">
        <v>427</v>
      </c>
      <c r="G110" s="176" t="s">
        <v>482</v>
      </c>
    </row>
    <row r="111" spans="3:7" ht="45" x14ac:dyDescent="0.25">
      <c r="C111" s="178" t="s">
        <v>430</v>
      </c>
      <c r="G111" s="176" t="s">
        <v>483</v>
      </c>
    </row>
    <row r="112" spans="3:7" x14ac:dyDescent="0.25">
      <c r="C112" s="177" t="s">
        <v>441</v>
      </c>
      <c r="G112" s="176" t="s">
        <v>484</v>
      </c>
    </row>
    <row r="113" spans="3:7" ht="30" x14ac:dyDescent="0.25">
      <c r="C113" s="178" t="s">
        <v>444</v>
      </c>
      <c r="G113" s="176" t="s">
        <v>485</v>
      </c>
    </row>
    <row r="114" spans="3:7" x14ac:dyDescent="0.25">
      <c r="C114" s="177" t="s">
        <v>432</v>
      </c>
      <c r="G114" s="176" t="s">
        <v>486</v>
      </c>
    </row>
    <row r="115" spans="3:7" x14ac:dyDescent="0.25">
      <c r="C115" s="177" t="s">
        <v>435</v>
      </c>
      <c r="G115" s="176" t="s">
        <v>487</v>
      </c>
    </row>
    <row r="116" spans="3:7" x14ac:dyDescent="0.25">
      <c r="C116" s="177" t="s">
        <v>437</v>
      </c>
      <c r="G116" s="176"/>
    </row>
    <row r="117" spans="3:7" x14ac:dyDescent="0.25">
      <c r="C117" s="177" t="s">
        <v>442</v>
      </c>
      <c r="G117" s="176"/>
    </row>
    <row r="118" spans="3:7" x14ac:dyDescent="0.25">
      <c r="C118" s="177" t="s">
        <v>445</v>
      </c>
      <c r="G118" s="176"/>
    </row>
    <row r="119" spans="3:7" x14ac:dyDescent="0.25">
      <c r="C119" s="177" t="s">
        <v>446</v>
      </c>
      <c r="G119" s="176"/>
    </row>
    <row r="120" spans="3:7" x14ac:dyDescent="0.25">
      <c r="C120" s="177" t="s">
        <v>455</v>
      </c>
      <c r="G120" s="176"/>
    </row>
    <row r="121" spans="3:7" ht="15.75" thickBot="1" x14ac:dyDescent="0.3">
      <c r="C121" s="177" t="s">
        <v>447</v>
      </c>
      <c r="G121" s="176"/>
    </row>
    <row r="122" spans="3:7" ht="15.75" thickBot="1" x14ac:dyDescent="0.3">
      <c r="C122" s="177" t="s">
        <v>448</v>
      </c>
      <c r="G122" s="173" t="s">
        <v>488</v>
      </c>
    </row>
    <row r="123" spans="3:7" ht="26.25" thickBot="1" x14ac:dyDescent="0.3">
      <c r="C123" s="173" t="s">
        <v>488</v>
      </c>
      <c r="G123" s="174" t="s">
        <v>401</v>
      </c>
    </row>
    <row r="124" spans="3:7" ht="15.75" thickBot="1" x14ac:dyDescent="0.3">
      <c r="C124" s="174" t="s">
        <v>403</v>
      </c>
      <c r="G124" s="176" t="s">
        <v>489</v>
      </c>
    </row>
    <row r="125" spans="3:7" ht="30" x14ac:dyDescent="0.25">
      <c r="C125" s="175" t="s">
        <v>402</v>
      </c>
      <c r="G125" s="176" t="s">
        <v>490</v>
      </c>
    </row>
    <row r="126" spans="3:7" ht="45" x14ac:dyDescent="0.25">
      <c r="C126" s="178" t="s">
        <v>409</v>
      </c>
      <c r="G126" s="176" t="s">
        <v>491</v>
      </c>
    </row>
    <row r="127" spans="3:7" x14ac:dyDescent="0.25">
      <c r="C127" s="179" t="s">
        <v>411</v>
      </c>
      <c r="G127" s="176" t="s">
        <v>492</v>
      </c>
    </row>
    <row r="128" spans="3:7" x14ac:dyDescent="0.25">
      <c r="C128" s="177" t="s">
        <v>413</v>
      </c>
      <c r="G128" s="176" t="s">
        <v>493</v>
      </c>
    </row>
    <row r="129" spans="3:7" x14ac:dyDescent="0.25">
      <c r="C129" s="179" t="s">
        <v>415</v>
      </c>
      <c r="G129" s="176" t="s">
        <v>494</v>
      </c>
    </row>
    <row r="130" spans="3:7" x14ac:dyDescent="0.25">
      <c r="C130" s="179" t="s">
        <v>417</v>
      </c>
      <c r="G130" s="176" t="s">
        <v>495</v>
      </c>
    </row>
    <row r="131" spans="3:7" x14ac:dyDescent="0.25">
      <c r="C131" s="177" t="s">
        <v>424</v>
      </c>
      <c r="G131" s="176" t="s">
        <v>496</v>
      </c>
    </row>
    <row r="132" spans="3:7" x14ac:dyDescent="0.25">
      <c r="C132" s="177" t="s">
        <v>422</v>
      </c>
      <c r="G132" s="176" t="s">
        <v>462</v>
      </c>
    </row>
    <row r="133" spans="3:7" x14ac:dyDescent="0.25">
      <c r="C133" s="177" t="s">
        <v>429</v>
      </c>
      <c r="G133" s="176" t="s">
        <v>497</v>
      </c>
    </row>
    <row r="134" spans="3:7" x14ac:dyDescent="0.25">
      <c r="C134" s="177" t="s">
        <v>425</v>
      </c>
      <c r="G134" s="176" t="s">
        <v>486</v>
      </c>
    </row>
    <row r="135" spans="3:7" ht="45" x14ac:dyDescent="0.25">
      <c r="C135" s="178" t="s">
        <v>430</v>
      </c>
      <c r="G135" s="176"/>
    </row>
    <row r="136" spans="3:7" ht="30" x14ac:dyDescent="0.25">
      <c r="C136" s="178" t="s">
        <v>444</v>
      </c>
      <c r="G136" s="176"/>
    </row>
    <row r="137" spans="3:7" x14ac:dyDescent="0.25">
      <c r="C137" s="177" t="s">
        <v>432</v>
      </c>
      <c r="G137" s="176"/>
    </row>
    <row r="138" spans="3:7" x14ac:dyDescent="0.25">
      <c r="C138" s="177" t="s">
        <v>435</v>
      </c>
      <c r="G138" s="176"/>
    </row>
    <row r="139" spans="3:7" x14ac:dyDescent="0.25">
      <c r="C139" s="177" t="s">
        <v>437</v>
      </c>
      <c r="G139" s="176"/>
    </row>
    <row r="140" spans="3:7" x14ac:dyDescent="0.25">
      <c r="C140" s="177" t="s">
        <v>439</v>
      </c>
      <c r="G140" s="176"/>
    </row>
    <row r="141" spans="3:7" x14ac:dyDescent="0.25">
      <c r="C141" s="177" t="s">
        <v>442</v>
      </c>
      <c r="G141" s="176"/>
    </row>
    <row r="142" spans="3:7" x14ac:dyDescent="0.25">
      <c r="C142" s="177" t="s">
        <v>445</v>
      </c>
      <c r="G142" s="176"/>
    </row>
    <row r="143" spans="3:7" x14ac:dyDescent="0.25">
      <c r="C143" s="179" t="s">
        <v>467</v>
      </c>
      <c r="G143" s="176"/>
    </row>
    <row r="144" spans="3:7" ht="15.75" thickBot="1" x14ac:dyDescent="0.3">
      <c r="C144" s="180"/>
      <c r="G144" s="176"/>
    </row>
    <row r="145" spans="3:7" ht="15.75" thickBot="1" x14ac:dyDescent="0.3">
      <c r="C145" s="181"/>
      <c r="G145" s="173" t="s">
        <v>498</v>
      </c>
    </row>
    <row r="146" spans="3:7" ht="15.75" thickBot="1" x14ac:dyDescent="0.3">
      <c r="C146" s="173" t="s">
        <v>498</v>
      </c>
      <c r="G146" s="174" t="s">
        <v>401</v>
      </c>
    </row>
    <row r="147" spans="3:7" ht="15.75" thickBot="1" x14ac:dyDescent="0.3">
      <c r="C147" s="174" t="s">
        <v>403</v>
      </c>
      <c r="G147" s="176" t="s">
        <v>489</v>
      </c>
    </row>
    <row r="148" spans="3:7" ht="30" x14ac:dyDescent="0.25">
      <c r="C148" s="175" t="s">
        <v>402</v>
      </c>
      <c r="G148" s="176" t="s">
        <v>490</v>
      </c>
    </row>
    <row r="149" spans="3:7" ht="45" x14ac:dyDescent="0.25">
      <c r="C149" s="178" t="s">
        <v>409</v>
      </c>
      <c r="G149" s="176" t="s">
        <v>491</v>
      </c>
    </row>
    <row r="150" spans="3:7" x14ac:dyDescent="0.25">
      <c r="C150" s="179" t="s">
        <v>411</v>
      </c>
      <c r="G150" s="176" t="s">
        <v>499</v>
      </c>
    </row>
    <row r="151" spans="3:7" x14ac:dyDescent="0.25">
      <c r="C151" s="179" t="s">
        <v>415</v>
      </c>
      <c r="G151" s="176" t="s">
        <v>462</v>
      </c>
    </row>
    <row r="152" spans="3:7" x14ac:dyDescent="0.25">
      <c r="C152" s="179" t="s">
        <v>417</v>
      </c>
      <c r="G152" s="176" t="s">
        <v>500</v>
      </c>
    </row>
    <row r="153" spans="3:7" x14ac:dyDescent="0.25">
      <c r="C153" s="179" t="s">
        <v>419</v>
      </c>
      <c r="G153" s="176" t="s">
        <v>486</v>
      </c>
    </row>
    <row r="154" spans="3:7" x14ac:dyDescent="0.25">
      <c r="C154" s="177" t="s">
        <v>424</v>
      </c>
      <c r="G154" s="176" t="s">
        <v>501</v>
      </c>
    </row>
    <row r="155" spans="3:7" x14ac:dyDescent="0.25">
      <c r="C155" s="177" t="s">
        <v>422</v>
      </c>
      <c r="G155" s="176"/>
    </row>
    <row r="156" spans="3:7" x14ac:dyDescent="0.25">
      <c r="C156" s="177" t="s">
        <v>429</v>
      </c>
      <c r="G156" s="176"/>
    </row>
    <row r="157" spans="3:7" x14ac:dyDescent="0.25">
      <c r="C157" s="177" t="s">
        <v>425</v>
      </c>
      <c r="G157" s="176"/>
    </row>
    <row r="158" spans="3:7" ht="45" x14ac:dyDescent="0.25">
      <c r="C158" s="178" t="s">
        <v>430</v>
      </c>
      <c r="G158" s="176"/>
    </row>
    <row r="159" spans="3:7" x14ac:dyDescent="0.25">
      <c r="C159" s="177" t="s">
        <v>441</v>
      </c>
      <c r="G159" s="176"/>
    </row>
    <row r="160" spans="3:7" ht="30" x14ac:dyDescent="0.25">
      <c r="C160" s="178" t="s">
        <v>444</v>
      </c>
      <c r="G160" s="176"/>
    </row>
    <row r="161" spans="3:7" x14ac:dyDescent="0.25">
      <c r="C161" s="177" t="s">
        <v>432</v>
      </c>
      <c r="G161" s="176"/>
    </row>
    <row r="162" spans="3:7" x14ac:dyDescent="0.25">
      <c r="C162" s="177" t="s">
        <v>437</v>
      </c>
      <c r="G162" s="176"/>
    </row>
    <row r="163" spans="3:7" x14ac:dyDescent="0.25">
      <c r="C163" s="177" t="s">
        <v>439</v>
      </c>
      <c r="G163" s="176"/>
    </row>
    <row r="164" spans="3:7" x14ac:dyDescent="0.25">
      <c r="C164" s="177" t="s">
        <v>445</v>
      </c>
      <c r="G164" s="176"/>
    </row>
    <row r="165" spans="3:7" x14ac:dyDescent="0.25">
      <c r="C165" s="177" t="s">
        <v>446</v>
      </c>
      <c r="G165" s="176"/>
    </row>
    <row r="166" spans="3:7" x14ac:dyDescent="0.25">
      <c r="C166" s="177" t="s">
        <v>463</v>
      </c>
      <c r="G166" s="176"/>
    </row>
    <row r="167" spans="3:7" ht="15.75" thickBot="1" x14ac:dyDescent="0.3">
      <c r="C167" s="179" t="s">
        <v>467</v>
      </c>
      <c r="G167" s="176"/>
    </row>
    <row r="168" spans="3:7" ht="15.75" thickBot="1" x14ac:dyDescent="0.3">
      <c r="C168" s="181"/>
      <c r="G168" s="173" t="s">
        <v>502</v>
      </c>
    </row>
    <row r="169" spans="3:7" ht="26.25" thickBot="1" x14ac:dyDescent="0.3">
      <c r="C169" s="173" t="s">
        <v>502</v>
      </c>
      <c r="G169" s="174" t="s">
        <v>401</v>
      </c>
    </row>
    <row r="170" spans="3:7" ht="15.75" thickBot="1" x14ac:dyDescent="0.3">
      <c r="C170" s="174" t="s">
        <v>403</v>
      </c>
      <c r="G170" s="176" t="s">
        <v>503</v>
      </c>
    </row>
    <row r="171" spans="3:7" ht="30" x14ac:dyDescent="0.25">
      <c r="C171" s="175" t="s">
        <v>402</v>
      </c>
      <c r="G171" s="176" t="s">
        <v>504</v>
      </c>
    </row>
    <row r="172" spans="3:7" x14ac:dyDescent="0.25">
      <c r="C172" s="177" t="s">
        <v>405</v>
      </c>
      <c r="G172" s="176" t="s">
        <v>505</v>
      </c>
    </row>
    <row r="173" spans="3:7" x14ac:dyDescent="0.25">
      <c r="C173" s="177" t="s">
        <v>407</v>
      </c>
      <c r="G173" s="176" t="s">
        <v>506</v>
      </c>
    </row>
    <row r="174" spans="3:7" x14ac:dyDescent="0.25">
      <c r="C174" s="179" t="s">
        <v>415</v>
      </c>
      <c r="G174" s="176" t="s">
        <v>507</v>
      </c>
    </row>
    <row r="175" spans="3:7" x14ac:dyDescent="0.25">
      <c r="C175" s="179" t="s">
        <v>417</v>
      </c>
      <c r="G175" s="176" t="s">
        <v>508</v>
      </c>
    </row>
    <row r="176" spans="3:7" x14ac:dyDescent="0.25">
      <c r="C176" s="179" t="s">
        <v>419</v>
      </c>
      <c r="G176" s="176" t="s">
        <v>509</v>
      </c>
    </row>
    <row r="177" spans="3:7" x14ac:dyDescent="0.25">
      <c r="C177" s="177" t="s">
        <v>424</v>
      </c>
      <c r="G177" s="176" t="s">
        <v>510</v>
      </c>
    </row>
    <row r="178" spans="3:7" x14ac:dyDescent="0.25">
      <c r="C178" s="177" t="s">
        <v>422</v>
      </c>
      <c r="G178" s="176" t="s">
        <v>511</v>
      </c>
    </row>
    <row r="179" spans="3:7" x14ac:dyDescent="0.25">
      <c r="C179" s="177" t="s">
        <v>429</v>
      </c>
      <c r="G179" s="176" t="s">
        <v>486</v>
      </c>
    </row>
    <row r="180" spans="3:7" x14ac:dyDescent="0.25">
      <c r="C180" s="177" t="s">
        <v>434</v>
      </c>
      <c r="G180" s="176" t="s">
        <v>512</v>
      </c>
    </row>
    <row r="181" spans="3:7" x14ac:dyDescent="0.25">
      <c r="C181" s="177" t="s">
        <v>445</v>
      </c>
      <c r="G181" s="176" t="s">
        <v>513</v>
      </c>
    </row>
    <row r="182" spans="3:7" x14ac:dyDescent="0.25">
      <c r="C182" s="177" t="s">
        <v>452</v>
      </c>
      <c r="G182" s="176" t="s">
        <v>514</v>
      </c>
    </row>
    <row r="183" spans="3:7" x14ac:dyDescent="0.25">
      <c r="C183" s="177" t="s">
        <v>447</v>
      </c>
      <c r="G183" s="176" t="s">
        <v>515</v>
      </c>
    </row>
    <row r="184" spans="3:7" x14ac:dyDescent="0.25">
      <c r="C184" s="177" t="s">
        <v>458</v>
      </c>
      <c r="G184" s="176"/>
    </row>
    <row r="185" spans="3:7" x14ac:dyDescent="0.25">
      <c r="C185" s="177" t="s">
        <v>460</v>
      </c>
      <c r="G185" s="176"/>
    </row>
    <row r="186" spans="3:7" x14ac:dyDescent="0.25">
      <c r="C186" s="177" t="s">
        <v>448</v>
      </c>
      <c r="G186" s="176"/>
    </row>
    <row r="187" spans="3:7" x14ac:dyDescent="0.25">
      <c r="C187" s="177" t="s">
        <v>463</v>
      </c>
      <c r="G187" s="176"/>
    </row>
    <row r="188" spans="3:7" x14ac:dyDescent="0.25">
      <c r="C188" s="177" t="s">
        <v>465</v>
      </c>
      <c r="G188" s="176"/>
    </row>
    <row r="189" spans="3:7" x14ac:dyDescent="0.25">
      <c r="C189" s="179" t="s">
        <v>467</v>
      </c>
      <c r="G189" s="176"/>
    </row>
    <row r="190" spans="3:7" ht="15.75" thickBot="1" x14ac:dyDescent="0.3">
      <c r="C190" s="180"/>
      <c r="G190" s="176"/>
    </row>
    <row r="191" spans="3:7" ht="15.75" thickBot="1" x14ac:dyDescent="0.3">
      <c r="C191" s="181"/>
      <c r="G191" s="173" t="s">
        <v>516</v>
      </c>
    </row>
    <row r="192" spans="3:7" ht="26.25" thickBot="1" x14ac:dyDescent="0.3">
      <c r="C192" s="173" t="s">
        <v>516</v>
      </c>
      <c r="G192" s="174" t="s">
        <v>401</v>
      </c>
    </row>
    <row r="193" spans="3:7" ht="15.75" thickBot="1" x14ac:dyDescent="0.3">
      <c r="C193" s="174" t="s">
        <v>403</v>
      </c>
      <c r="G193" s="176" t="s">
        <v>517</v>
      </c>
    </row>
    <row r="194" spans="3:7" ht="30" x14ac:dyDescent="0.25">
      <c r="C194" s="175" t="s">
        <v>402</v>
      </c>
      <c r="G194" s="176" t="s">
        <v>518</v>
      </c>
    </row>
    <row r="195" spans="3:7" x14ac:dyDescent="0.25">
      <c r="C195" s="177" t="s">
        <v>405</v>
      </c>
      <c r="G195" s="176" t="s">
        <v>519</v>
      </c>
    </row>
    <row r="196" spans="3:7" x14ac:dyDescent="0.25">
      <c r="C196" s="177" t="s">
        <v>407</v>
      </c>
      <c r="G196" s="176" t="s">
        <v>520</v>
      </c>
    </row>
    <row r="197" spans="3:7" ht="45" x14ac:dyDescent="0.25">
      <c r="C197" s="178" t="s">
        <v>409</v>
      </c>
      <c r="G197" s="176" t="s">
        <v>521</v>
      </c>
    </row>
    <row r="198" spans="3:7" x14ac:dyDescent="0.25">
      <c r="C198" s="179" t="s">
        <v>411</v>
      </c>
      <c r="G198" s="176" t="s">
        <v>522</v>
      </c>
    </row>
    <row r="199" spans="3:7" x14ac:dyDescent="0.25">
      <c r="C199" s="177" t="s">
        <v>413</v>
      </c>
      <c r="G199" s="176" t="s">
        <v>523</v>
      </c>
    </row>
    <row r="200" spans="3:7" x14ac:dyDescent="0.25">
      <c r="C200" s="179" t="s">
        <v>415</v>
      </c>
      <c r="G200" s="176" t="s">
        <v>524</v>
      </c>
    </row>
    <row r="201" spans="3:7" x14ac:dyDescent="0.25">
      <c r="C201" s="179" t="s">
        <v>417</v>
      </c>
      <c r="G201" s="176" t="s">
        <v>511</v>
      </c>
    </row>
    <row r="202" spans="3:7" x14ac:dyDescent="0.25">
      <c r="C202" s="179" t="s">
        <v>419</v>
      </c>
      <c r="G202" s="176" t="s">
        <v>525</v>
      </c>
    </row>
    <row r="203" spans="3:7" x14ac:dyDescent="0.25">
      <c r="C203" s="177" t="s">
        <v>420</v>
      </c>
      <c r="G203" s="176" t="s">
        <v>526</v>
      </c>
    </row>
    <row r="204" spans="3:7" x14ac:dyDescent="0.25">
      <c r="C204" s="177" t="s">
        <v>424</v>
      </c>
      <c r="G204" s="176" t="s">
        <v>527</v>
      </c>
    </row>
    <row r="205" spans="3:7" x14ac:dyDescent="0.25">
      <c r="C205" s="177" t="s">
        <v>422</v>
      </c>
      <c r="G205" s="176" t="s">
        <v>528</v>
      </c>
    </row>
    <row r="206" spans="3:7" x14ac:dyDescent="0.25">
      <c r="C206" s="177" t="s">
        <v>429</v>
      </c>
      <c r="G206" s="176" t="s">
        <v>491</v>
      </c>
    </row>
    <row r="207" spans="3:7" x14ac:dyDescent="0.25">
      <c r="C207" s="177" t="s">
        <v>425</v>
      </c>
      <c r="G207" s="176" t="s">
        <v>529</v>
      </c>
    </row>
    <row r="208" spans="3:7" x14ac:dyDescent="0.25">
      <c r="C208" s="177" t="s">
        <v>427</v>
      </c>
      <c r="G208" s="176" t="s">
        <v>530</v>
      </c>
    </row>
    <row r="209" spans="3:7" ht="30" x14ac:dyDescent="0.25">
      <c r="C209" s="178" t="s">
        <v>444</v>
      </c>
      <c r="G209" s="176" t="s">
        <v>509</v>
      </c>
    </row>
    <row r="210" spans="3:7" x14ac:dyDescent="0.25">
      <c r="C210" s="177" t="s">
        <v>435</v>
      </c>
      <c r="G210" s="176" t="s">
        <v>486</v>
      </c>
    </row>
    <row r="211" spans="3:7" x14ac:dyDescent="0.25">
      <c r="C211" s="177" t="s">
        <v>442</v>
      </c>
      <c r="G211" s="176"/>
    </row>
    <row r="212" spans="3:7" x14ac:dyDescent="0.25">
      <c r="C212" s="177" t="s">
        <v>446</v>
      </c>
      <c r="G212" s="176"/>
    </row>
    <row r="213" spans="3:7" ht="15.75" thickBot="1" x14ac:dyDescent="0.3">
      <c r="C213" s="179" t="s">
        <v>467</v>
      </c>
      <c r="G213" s="176"/>
    </row>
    <row r="214" spans="3:7" ht="15.75" thickBot="1" x14ac:dyDescent="0.3">
      <c r="C214" s="181"/>
      <c r="G214" s="173" t="s">
        <v>531</v>
      </c>
    </row>
    <row r="215" spans="3:7" ht="26.25" thickBot="1" x14ac:dyDescent="0.3">
      <c r="C215" s="173" t="s">
        <v>531</v>
      </c>
      <c r="G215" s="174" t="s">
        <v>401</v>
      </c>
    </row>
    <row r="216" spans="3:7" ht="15.75" thickBot="1" x14ac:dyDescent="0.3">
      <c r="C216" s="174" t="s">
        <v>403</v>
      </c>
      <c r="G216" s="176" t="s">
        <v>517</v>
      </c>
    </row>
    <row r="217" spans="3:7" ht="30" x14ac:dyDescent="0.25">
      <c r="C217" s="175" t="s">
        <v>402</v>
      </c>
      <c r="G217" s="176" t="s">
        <v>518</v>
      </c>
    </row>
    <row r="218" spans="3:7" ht="45" x14ac:dyDescent="0.25">
      <c r="C218" s="178" t="s">
        <v>409</v>
      </c>
      <c r="G218" s="176" t="s">
        <v>519</v>
      </c>
    </row>
    <row r="219" spans="3:7" x14ac:dyDescent="0.25">
      <c r="C219" s="179" t="s">
        <v>411</v>
      </c>
      <c r="G219" s="176" t="s">
        <v>520</v>
      </c>
    </row>
    <row r="220" spans="3:7" x14ac:dyDescent="0.25">
      <c r="C220" s="179" t="s">
        <v>415</v>
      </c>
      <c r="G220" s="176" t="s">
        <v>521</v>
      </c>
    </row>
    <row r="221" spans="3:7" x14ac:dyDescent="0.25">
      <c r="C221" s="179" t="s">
        <v>417</v>
      </c>
      <c r="G221" s="176" t="s">
        <v>522</v>
      </c>
    </row>
    <row r="222" spans="3:7" x14ac:dyDescent="0.25">
      <c r="C222" s="179" t="s">
        <v>419</v>
      </c>
      <c r="G222" s="176" t="s">
        <v>523</v>
      </c>
    </row>
    <row r="223" spans="3:7" x14ac:dyDescent="0.25">
      <c r="C223" s="177" t="s">
        <v>422</v>
      </c>
      <c r="G223" s="176" t="s">
        <v>524</v>
      </c>
    </row>
    <row r="224" spans="3:7" x14ac:dyDescent="0.25">
      <c r="C224" s="177" t="s">
        <v>429</v>
      </c>
      <c r="G224" s="176" t="s">
        <v>511</v>
      </c>
    </row>
    <row r="225" spans="3:7" x14ac:dyDescent="0.25">
      <c r="C225" s="177" t="s">
        <v>425</v>
      </c>
      <c r="G225" s="176" t="s">
        <v>525</v>
      </c>
    </row>
    <row r="226" spans="3:7" x14ac:dyDescent="0.25">
      <c r="C226" s="177" t="s">
        <v>427</v>
      </c>
      <c r="G226" s="176" t="s">
        <v>526</v>
      </c>
    </row>
    <row r="227" spans="3:7" ht="45" x14ac:dyDescent="0.25">
      <c r="C227" s="178" t="s">
        <v>430</v>
      </c>
      <c r="G227" s="176" t="s">
        <v>527</v>
      </c>
    </row>
    <row r="228" spans="3:7" x14ac:dyDescent="0.25">
      <c r="C228" s="177" t="s">
        <v>441</v>
      </c>
      <c r="G228" s="176" t="s">
        <v>528</v>
      </c>
    </row>
    <row r="229" spans="3:7" ht="30" x14ac:dyDescent="0.25">
      <c r="C229" s="178" t="s">
        <v>444</v>
      </c>
      <c r="G229" s="176" t="s">
        <v>491</v>
      </c>
    </row>
    <row r="230" spans="3:7" x14ac:dyDescent="0.25">
      <c r="C230" s="177" t="s">
        <v>435</v>
      </c>
      <c r="G230" s="176" t="s">
        <v>529</v>
      </c>
    </row>
    <row r="231" spans="3:7" x14ac:dyDescent="0.25">
      <c r="C231" s="177" t="s">
        <v>437</v>
      </c>
      <c r="G231" s="176" t="s">
        <v>530</v>
      </c>
    </row>
    <row r="232" spans="3:7" x14ac:dyDescent="0.25">
      <c r="C232" s="177" t="s">
        <v>439</v>
      </c>
      <c r="G232" s="176" t="s">
        <v>509</v>
      </c>
    </row>
    <row r="233" spans="3:7" x14ac:dyDescent="0.25">
      <c r="C233" s="177" t="s">
        <v>445</v>
      </c>
      <c r="G233" s="176" t="s">
        <v>486</v>
      </c>
    </row>
    <row r="234" spans="3:7" x14ac:dyDescent="0.25">
      <c r="C234" s="177" t="s">
        <v>446</v>
      </c>
      <c r="G234" s="176"/>
    </row>
    <row r="235" spans="3:7" x14ac:dyDescent="0.25">
      <c r="C235" s="177" t="s">
        <v>455</v>
      </c>
      <c r="G235" s="176"/>
    </row>
    <row r="236" spans="3:7" ht="15.75" thickBot="1" x14ac:dyDescent="0.3">
      <c r="C236" s="177" t="s">
        <v>447</v>
      </c>
      <c r="G236" s="176"/>
    </row>
    <row r="237" spans="3:7" ht="15.75" thickBot="1" x14ac:dyDescent="0.3">
      <c r="C237" s="182"/>
      <c r="G237" s="173" t="s">
        <v>532</v>
      </c>
    </row>
    <row r="238" spans="3:7" ht="15.75" thickBot="1" x14ac:dyDescent="0.3">
      <c r="C238" s="173" t="s">
        <v>532</v>
      </c>
      <c r="G238" s="174" t="s">
        <v>401</v>
      </c>
    </row>
    <row r="239" spans="3:7" ht="15.75" thickBot="1" x14ac:dyDescent="0.3">
      <c r="C239" s="174" t="s">
        <v>403</v>
      </c>
      <c r="G239" s="176" t="s">
        <v>450</v>
      </c>
    </row>
    <row r="240" spans="3:7" ht="30" x14ac:dyDescent="0.25">
      <c r="C240" s="175" t="s">
        <v>402</v>
      </c>
      <c r="G240" s="176" t="s">
        <v>451</v>
      </c>
    </row>
    <row r="241" spans="3:7" x14ac:dyDescent="0.25">
      <c r="C241" s="177" t="s">
        <v>405</v>
      </c>
      <c r="G241" s="176" t="s">
        <v>453</v>
      </c>
    </row>
    <row r="242" spans="3:7" x14ac:dyDescent="0.25">
      <c r="C242" s="177" t="s">
        <v>407</v>
      </c>
      <c r="G242" s="176" t="s">
        <v>454</v>
      </c>
    </row>
    <row r="243" spans="3:7" ht="45" x14ac:dyDescent="0.25">
      <c r="C243" s="178" t="s">
        <v>409</v>
      </c>
      <c r="G243" s="176" t="s">
        <v>456</v>
      </c>
    </row>
    <row r="244" spans="3:7" x14ac:dyDescent="0.25">
      <c r="C244" s="179" t="s">
        <v>411</v>
      </c>
      <c r="G244" s="176" t="s">
        <v>457</v>
      </c>
    </row>
    <row r="245" spans="3:7" x14ac:dyDescent="0.25">
      <c r="C245" s="177" t="s">
        <v>413</v>
      </c>
      <c r="G245" s="176" t="s">
        <v>459</v>
      </c>
    </row>
    <row r="246" spans="3:7" x14ac:dyDescent="0.25">
      <c r="C246" s="179" t="s">
        <v>415</v>
      </c>
      <c r="G246" s="176" t="s">
        <v>461</v>
      </c>
    </row>
    <row r="247" spans="3:7" x14ac:dyDescent="0.25">
      <c r="C247" s="177" t="s">
        <v>420</v>
      </c>
      <c r="G247" s="176" t="s">
        <v>462</v>
      </c>
    </row>
    <row r="248" spans="3:7" x14ac:dyDescent="0.25">
      <c r="C248" s="177" t="s">
        <v>424</v>
      </c>
      <c r="G248" s="176" t="s">
        <v>464</v>
      </c>
    </row>
    <row r="249" spans="3:7" x14ac:dyDescent="0.25">
      <c r="C249" s="177" t="s">
        <v>422</v>
      </c>
      <c r="G249" s="176" t="s">
        <v>466</v>
      </c>
    </row>
    <row r="250" spans="3:7" x14ac:dyDescent="0.25">
      <c r="C250" s="177" t="s">
        <v>425</v>
      </c>
      <c r="G250" s="176" t="s">
        <v>468</v>
      </c>
    </row>
    <row r="251" spans="3:7" x14ac:dyDescent="0.25">
      <c r="C251" s="177" t="s">
        <v>427</v>
      </c>
      <c r="G251" s="176" t="s">
        <v>469</v>
      </c>
    </row>
    <row r="252" spans="3:7" ht="45" x14ac:dyDescent="0.25">
      <c r="C252" s="178" t="s">
        <v>430</v>
      </c>
      <c r="G252" s="176" t="s">
        <v>470</v>
      </c>
    </row>
    <row r="253" spans="3:7" x14ac:dyDescent="0.25">
      <c r="C253" s="177" t="s">
        <v>432</v>
      </c>
      <c r="G253" s="176"/>
    </row>
    <row r="254" spans="3:7" x14ac:dyDescent="0.25">
      <c r="C254" s="177" t="s">
        <v>435</v>
      </c>
      <c r="G254" s="176"/>
    </row>
    <row r="255" spans="3:7" x14ac:dyDescent="0.25">
      <c r="C255" s="177" t="s">
        <v>437</v>
      </c>
    </row>
    <row r="256" spans="3:7" x14ac:dyDescent="0.25">
      <c r="C256" s="177" t="s">
        <v>439</v>
      </c>
    </row>
    <row r="257" spans="3:3" x14ac:dyDescent="0.25">
      <c r="C257" s="177" t="s">
        <v>445</v>
      </c>
    </row>
    <row r="258" spans="3:3" x14ac:dyDescent="0.25">
      <c r="C258" s="177" t="s">
        <v>446</v>
      </c>
    </row>
    <row r="259" spans="3:3" x14ac:dyDescent="0.25">
      <c r="C259" s="177" t="s">
        <v>447</v>
      </c>
    </row>
    <row r="260" spans="3:3" x14ac:dyDescent="0.25">
      <c r="C260" s="179" t="s">
        <v>467</v>
      </c>
    </row>
  </sheetData>
  <mergeCells count="12">
    <mergeCell ref="C25:E25"/>
    <mergeCell ref="A1:C1"/>
    <mergeCell ref="E1:G1"/>
    <mergeCell ref="J1:P1"/>
    <mergeCell ref="L2:P2"/>
    <mergeCell ref="I3:I7"/>
    <mergeCell ref="L8:P8"/>
    <mergeCell ref="L10:P11"/>
    <mergeCell ref="A11:A15"/>
    <mergeCell ref="B11:B13"/>
    <mergeCell ref="B14:B15"/>
    <mergeCell ref="A17:A2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48"/>
  <sheetViews>
    <sheetView zoomScale="85" zoomScaleNormal="85" workbookViewId="0">
      <selection activeCell="B34" sqref="B34"/>
    </sheetView>
  </sheetViews>
  <sheetFormatPr baseColWidth="10" defaultColWidth="11.42578125" defaultRowHeight="15" x14ac:dyDescent="0.25"/>
  <cols>
    <col min="2" max="2" width="40.85546875" style="116" customWidth="1"/>
    <col min="3" max="3" width="17.7109375" style="116" customWidth="1"/>
    <col min="4" max="4" width="13.28515625" bestFit="1" customWidth="1"/>
    <col min="5" max="5" width="13" customWidth="1"/>
    <col min="6" max="6" width="37.7109375" customWidth="1"/>
    <col min="7" max="7" width="21.7109375" customWidth="1"/>
    <col min="8" max="8" width="18" customWidth="1"/>
    <col min="11" max="11" width="33.28515625" customWidth="1"/>
  </cols>
  <sheetData>
    <row r="4" spans="2:11" ht="25.5" x14ac:dyDescent="0.25">
      <c r="B4" s="240" t="s">
        <v>180</v>
      </c>
      <c r="C4" s="128" t="s">
        <v>257</v>
      </c>
      <c r="D4" s="127" t="s">
        <v>183</v>
      </c>
      <c r="E4" s="126" t="s">
        <v>256</v>
      </c>
      <c r="F4" s="126" t="s">
        <v>255</v>
      </c>
      <c r="G4" s="131" t="s">
        <v>254</v>
      </c>
      <c r="H4" s="755" t="s">
        <v>253</v>
      </c>
      <c r="I4" s="755"/>
      <c r="J4" s="131" t="s">
        <v>252</v>
      </c>
      <c r="K4" s="236" t="s">
        <v>618</v>
      </c>
    </row>
    <row r="5" spans="2:11" ht="25.5" x14ac:dyDescent="0.25">
      <c r="B5" s="241" t="s">
        <v>590</v>
      </c>
      <c r="C5" s="119" t="s">
        <v>233</v>
      </c>
      <c r="D5" s="123" t="s">
        <v>251</v>
      </c>
      <c r="E5" s="123" t="s">
        <v>26</v>
      </c>
      <c r="F5" s="125" t="s">
        <v>250</v>
      </c>
      <c r="G5" s="121" t="s">
        <v>249</v>
      </c>
      <c r="H5" s="121" t="s">
        <v>248</v>
      </c>
      <c r="I5" s="124">
        <v>100</v>
      </c>
      <c r="J5" s="121" t="s">
        <v>13</v>
      </c>
      <c r="K5" s="121" t="s">
        <v>619</v>
      </c>
    </row>
    <row r="6" spans="2:11" ht="25.5" x14ac:dyDescent="0.25">
      <c r="B6" s="241" t="s">
        <v>591</v>
      </c>
      <c r="C6" s="119"/>
      <c r="D6" s="123" t="s">
        <v>247</v>
      </c>
      <c r="F6" s="125" t="s">
        <v>246</v>
      </c>
      <c r="G6" s="121" t="s">
        <v>245</v>
      </c>
      <c r="H6" s="121" t="s">
        <v>244</v>
      </c>
      <c r="I6" s="124">
        <v>50</v>
      </c>
      <c r="J6" s="121" t="s">
        <v>14</v>
      </c>
      <c r="K6" s="121" t="s">
        <v>620</v>
      </c>
    </row>
    <row r="7" spans="2:11" ht="25.5" x14ac:dyDescent="0.25">
      <c r="B7" s="241" t="s">
        <v>592</v>
      </c>
      <c r="C7" s="119"/>
      <c r="D7" s="123" t="s">
        <v>243</v>
      </c>
      <c r="E7" s="125"/>
      <c r="F7" s="125" t="s">
        <v>242</v>
      </c>
      <c r="G7" s="121" t="s">
        <v>241</v>
      </c>
      <c r="H7" s="121" t="s">
        <v>240</v>
      </c>
      <c r="I7" s="124">
        <v>0</v>
      </c>
      <c r="J7" s="121"/>
      <c r="K7" s="121" t="s">
        <v>621</v>
      </c>
    </row>
    <row r="8" spans="2:11" ht="25.5" x14ac:dyDescent="0.25">
      <c r="B8" s="241" t="s">
        <v>593</v>
      </c>
      <c r="C8" s="119"/>
      <c r="D8" s="123" t="s">
        <v>239</v>
      </c>
      <c r="E8" s="123"/>
      <c r="F8" s="113"/>
      <c r="G8" s="113"/>
      <c r="H8" s="121" t="s">
        <v>238</v>
      </c>
      <c r="I8" s="113"/>
      <c r="J8" s="113"/>
      <c r="K8" s="242" t="s">
        <v>622</v>
      </c>
    </row>
    <row r="9" spans="2:11" ht="25.5" x14ac:dyDescent="0.25">
      <c r="B9" s="241" t="s">
        <v>594</v>
      </c>
      <c r="C9" s="119"/>
      <c r="D9" s="123" t="s">
        <v>237</v>
      </c>
      <c r="E9" s="113"/>
      <c r="F9" s="113"/>
      <c r="G9" s="113"/>
      <c r="H9" s="121" t="s">
        <v>236</v>
      </c>
      <c r="I9" s="113"/>
      <c r="J9" s="113"/>
      <c r="K9" s="121" t="s">
        <v>623</v>
      </c>
    </row>
    <row r="10" spans="2:11" ht="25.5" x14ac:dyDescent="0.25">
      <c r="B10" s="241" t="s">
        <v>595</v>
      </c>
      <c r="C10" s="119"/>
      <c r="D10" s="113"/>
      <c r="E10" s="113"/>
      <c r="F10" s="113"/>
      <c r="G10" s="113"/>
      <c r="H10" s="121" t="s">
        <v>235</v>
      </c>
      <c r="I10" s="113"/>
      <c r="J10" s="113"/>
      <c r="K10" s="121" t="s">
        <v>624</v>
      </c>
    </row>
    <row r="11" spans="2:11" ht="25.5" x14ac:dyDescent="0.25">
      <c r="B11" s="241" t="s">
        <v>596</v>
      </c>
      <c r="C11" s="119"/>
      <c r="D11" s="113"/>
      <c r="E11" s="113"/>
      <c r="F11" s="113"/>
      <c r="G11" s="113"/>
      <c r="H11" s="121" t="s">
        <v>234</v>
      </c>
      <c r="I11" s="113"/>
      <c r="J11" s="113"/>
      <c r="K11" s="121" t="s">
        <v>625</v>
      </c>
    </row>
    <row r="12" spans="2:11" ht="25.5" x14ac:dyDescent="0.25">
      <c r="B12" s="241" t="s">
        <v>597</v>
      </c>
      <c r="C12" s="119"/>
      <c r="D12" s="113"/>
      <c r="E12" s="113"/>
      <c r="F12" s="122" t="s">
        <v>232</v>
      </c>
      <c r="G12" s="113"/>
      <c r="H12" s="121" t="s">
        <v>231</v>
      </c>
      <c r="I12" s="113"/>
      <c r="J12" s="113"/>
      <c r="K12" s="113"/>
    </row>
    <row r="13" spans="2:11" ht="33" customHeight="1" x14ac:dyDescent="0.25">
      <c r="B13" s="241" t="s">
        <v>598</v>
      </c>
      <c r="C13" s="119"/>
      <c r="D13" s="113"/>
      <c r="E13" s="113"/>
      <c r="F13" s="120" t="s">
        <v>230</v>
      </c>
      <c r="G13" s="113"/>
      <c r="H13" s="121" t="s">
        <v>229</v>
      </c>
      <c r="I13" s="113"/>
      <c r="J13" s="113"/>
      <c r="K13" s="113"/>
    </row>
    <row r="14" spans="2:11" ht="32.25" customHeight="1" x14ac:dyDescent="0.25">
      <c r="B14" s="241" t="s">
        <v>599</v>
      </c>
      <c r="C14" s="119"/>
      <c r="D14" s="113"/>
      <c r="E14" s="113"/>
      <c r="F14" s="120" t="s">
        <v>228</v>
      </c>
      <c r="G14" s="113"/>
      <c r="H14" s="113"/>
      <c r="I14" s="113"/>
      <c r="J14" s="113"/>
      <c r="K14" s="113"/>
    </row>
    <row r="15" spans="2:11" ht="32.25" customHeight="1" x14ac:dyDescent="0.25">
      <c r="B15" s="241" t="s">
        <v>600</v>
      </c>
      <c r="C15" s="119"/>
      <c r="D15" s="113"/>
      <c r="E15" s="113"/>
      <c r="F15" s="120" t="s">
        <v>227</v>
      </c>
      <c r="G15" s="113"/>
      <c r="H15" s="113"/>
      <c r="I15" s="113"/>
      <c r="J15" s="113"/>
      <c r="K15" s="113"/>
    </row>
    <row r="16" spans="2:11" x14ac:dyDescent="0.25">
      <c r="B16" s="241" t="s">
        <v>601</v>
      </c>
      <c r="C16" s="119"/>
      <c r="D16" s="113"/>
      <c r="E16" s="113"/>
      <c r="F16" s="113"/>
      <c r="G16" s="113"/>
      <c r="H16" s="113"/>
      <c r="I16" s="113"/>
      <c r="J16" s="113"/>
      <c r="K16" s="113"/>
    </row>
    <row r="17" spans="2:11" x14ac:dyDescent="0.25">
      <c r="B17" s="241" t="s">
        <v>602</v>
      </c>
      <c r="C17" s="119"/>
      <c r="D17" s="113"/>
      <c r="E17" s="113"/>
      <c r="F17" s="113"/>
      <c r="G17" s="113"/>
      <c r="H17" s="113"/>
      <c r="I17" s="113"/>
      <c r="J17" s="113"/>
      <c r="K17" s="113"/>
    </row>
    <row r="18" spans="2:11" x14ac:dyDescent="0.25">
      <c r="B18" s="241" t="s">
        <v>603</v>
      </c>
      <c r="C18" s="119"/>
      <c r="D18" s="113"/>
      <c r="E18" s="113"/>
      <c r="F18" s="113"/>
      <c r="G18" s="113"/>
      <c r="H18" s="113"/>
      <c r="I18" s="113"/>
      <c r="J18" s="113"/>
      <c r="K18" s="113"/>
    </row>
    <row r="19" spans="2:11" x14ac:dyDescent="0.25">
      <c r="B19" s="241" t="s">
        <v>604</v>
      </c>
      <c r="C19" s="119"/>
      <c r="D19" s="113"/>
      <c r="E19" s="113"/>
      <c r="F19" s="113"/>
      <c r="G19" s="113"/>
      <c r="H19" s="113"/>
      <c r="I19" s="113"/>
      <c r="J19" s="113"/>
      <c r="K19" s="113"/>
    </row>
    <row r="20" spans="2:11" x14ac:dyDescent="0.25">
      <c r="B20" s="241" t="s">
        <v>605</v>
      </c>
      <c r="C20" s="119"/>
      <c r="D20" s="113"/>
      <c r="E20" s="113"/>
      <c r="F20" s="113"/>
      <c r="G20" s="113"/>
      <c r="H20" s="113"/>
      <c r="I20" s="113"/>
      <c r="J20" s="113"/>
      <c r="K20" s="113"/>
    </row>
    <row r="21" spans="2:11" x14ac:dyDescent="0.25">
      <c r="B21" s="241" t="s">
        <v>606</v>
      </c>
      <c r="C21" s="119"/>
      <c r="D21" s="113"/>
      <c r="E21" s="113"/>
      <c r="F21" s="113"/>
      <c r="G21" s="113"/>
      <c r="H21" s="113"/>
      <c r="I21" s="113"/>
      <c r="J21" s="113"/>
      <c r="K21" s="113"/>
    </row>
    <row r="22" spans="2:11" x14ac:dyDescent="0.25">
      <c r="B22" s="241" t="s">
        <v>607</v>
      </c>
      <c r="C22" s="119"/>
      <c r="D22" s="113"/>
      <c r="E22" s="113"/>
      <c r="F22" s="113"/>
      <c r="G22" s="113"/>
      <c r="H22" s="113"/>
      <c r="I22" s="113"/>
      <c r="J22" s="113"/>
      <c r="K22" s="113"/>
    </row>
    <row r="23" spans="2:11" x14ac:dyDescent="0.25">
      <c r="B23" s="241" t="s">
        <v>608</v>
      </c>
      <c r="C23" s="119"/>
      <c r="D23" s="113"/>
      <c r="E23" s="113"/>
      <c r="F23" s="113"/>
      <c r="G23" s="113"/>
      <c r="H23" s="113"/>
      <c r="I23" s="113"/>
      <c r="J23" s="113"/>
      <c r="K23" s="113"/>
    </row>
    <row r="24" spans="2:11" x14ac:dyDescent="0.25">
      <c r="B24" s="241" t="s">
        <v>609</v>
      </c>
      <c r="C24" s="119"/>
      <c r="D24" s="113"/>
      <c r="E24" s="113"/>
      <c r="F24" s="113"/>
      <c r="G24" s="113"/>
      <c r="H24" s="113"/>
      <c r="I24" s="113"/>
      <c r="J24" s="113"/>
      <c r="K24" s="113"/>
    </row>
    <row r="25" spans="2:11" x14ac:dyDescent="0.25">
      <c r="B25" s="241" t="s">
        <v>610</v>
      </c>
      <c r="C25" s="119"/>
      <c r="D25" s="113"/>
      <c r="E25" s="113"/>
      <c r="F25" s="113"/>
      <c r="G25" s="113"/>
      <c r="H25" s="113"/>
      <c r="I25" s="113"/>
      <c r="J25" s="113"/>
      <c r="K25" s="113"/>
    </row>
    <row r="26" spans="2:11" ht="24" x14ac:dyDescent="0.25">
      <c r="B26" s="241" t="s">
        <v>611</v>
      </c>
      <c r="C26" s="119"/>
      <c r="D26" s="113"/>
      <c r="E26" s="113"/>
      <c r="F26" s="113"/>
      <c r="G26" s="113"/>
      <c r="H26" s="113"/>
      <c r="I26" s="113"/>
      <c r="J26" s="113"/>
      <c r="K26" s="113"/>
    </row>
    <row r="27" spans="2:11" x14ac:dyDescent="0.25">
      <c r="B27" s="241" t="s">
        <v>288</v>
      </c>
      <c r="C27" s="119"/>
      <c r="D27" s="113"/>
      <c r="E27" s="113"/>
      <c r="F27" s="113"/>
      <c r="G27" s="113"/>
      <c r="H27" s="113"/>
      <c r="I27" s="113"/>
      <c r="J27" s="113"/>
      <c r="K27" s="113"/>
    </row>
    <row r="28" spans="2:11" x14ac:dyDescent="0.25">
      <c r="B28" s="241" t="s">
        <v>612</v>
      </c>
    </row>
    <row r="29" spans="2:11" x14ac:dyDescent="0.25">
      <c r="B29" s="241" t="s">
        <v>281</v>
      </c>
    </row>
    <row r="30" spans="2:11" x14ac:dyDescent="0.25">
      <c r="B30" s="241" t="s">
        <v>280</v>
      </c>
    </row>
    <row r="31" spans="2:11" x14ac:dyDescent="0.25">
      <c r="B31" s="241" t="s">
        <v>613</v>
      </c>
    </row>
    <row r="32" spans="2:11" x14ac:dyDescent="0.25">
      <c r="B32" s="241" t="s">
        <v>286</v>
      </c>
    </row>
    <row r="33" spans="1:12" x14ac:dyDescent="0.25">
      <c r="B33" s="241" t="s">
        <v>614</v>
      </c>
    </row>
    <row r="34" spans="1:12" x14ac:dyDescent="0.25">
      <c r="B34" s="241" t="s">
        <v>818</v>
      </c>
    </row>
    <row r="37" spans="1:12" x14ac:dyDescent="0.25">
      <c r="A37" s="113"/>
      <c r="B37" s="113"/>
      <c r="C37" s="113"/>
      <c r="D37" s="113"/>
      <c r="E37" s="113"/>
      <c r="F37" s="113"/>
      <c r="G37" s="117"/>
      <c r="H37" s="117">
        <v>1</v>
      </c>
      <c r="I37" s="117">
        <v>2</v>
      </c>
      <c r="J37" s="117">
        <v>3</v>
      </c>
      <c r="K37" s="117">
        <v>4</v>
      </c>
      <c r="L37" s="117">
        <v>5</v>
      </c>
    </row>
    <row r="38" spans="1:12" x14ac:dyDescent="0.25">
      <c r="A38" s="113">
        <v>1</v>
      </c>
      <c r="B38" s="113" t="s">
        <v>226</v>
      </c>
      <c r="C38" s="113"/>
      <c r="D38" s="113"/>
      <c r="E38" s="113"/>
      <c r="F38" s="113"/>
      <c r="G38" s="117">
        <v>1</v>
      </c>
      <c r="H38" s="117" t="s">
        <v>221</v>
      </c>
      <c r="I38" s="117" t="s">
        <v>221</v>
      </c>
      <c r="J38" s="117" t="s">
        <v>220</v>
      </c>
      <c r="K38" s="117" t="s">
        <v>219</v>
      </c>
      <c r="L38" s="118" t="s">
        <v>218</v>
      </c>
    </row>
    <row r="39" spans="1:12" x14ac:dyDescent="0.25">
      <c r="A39" s="113">
        <v>2</v>
      </c>
      <c r="B39" s="113" t="s">
        <v>225</v>
      </c>
      <c r="C39" s="113"/>
      <c r="D39" s="113"/>
      <c r="E39" s="113"/>
      <c r="F39" s="113"/>
      <c r="G39" s="117">
        <v>2</v>
      </c>
      <c r="H39" s="117" t="s">
        <v>221</v>
      </c>
      <c r="I39" s="117" t="s">
        <v>221</v>
      </c>
      <c r="J39" s="117" t="s">
        <v>220</v>
      </c>
      <c r="K39" s="117" t="s">
        <v>219</v>
      </c>
      <c r="L39" s="117" t="s">
        <v>218</v>
      </c>
    </row>
    <row r="40" spans="1:12" x14ac:dyDescent="0.25">
      <c r="A40" s="113">
        <v>3</v>
      </c>
      <c r="B40" s="113" t="s">
        <v>224</v>
      </c>
      <c r="C40" s="113"/>
      <c r="D40" s="113"/>
      <c r="E40" s="113"/>
      <c r="F40" s="113"/>
      <c r="G40" s="117">
        <v>3</v>
      </c>
      <c r="H40" s="117" t="s">
        <v>221</v>
      </c>
      <c r="I40" s="117" t="s">
        <v>220</v>
      </c>
      <c r="J40" s="117" t="s">
        <v>219</v>
      </c>
      <c r="K40" s="117" t="s">
        <v>218</v>
      </c>
      <c r="L40" s="117" t="s">
        <v>218</v>
      </c>
    </row>
    <row r="41" spans="1:12" x14ac:dyDescent="0.25">
      <c r="A41" s="113">
        <v>4</v>
      </c>
      <c r="B41" s="113" t="s">
        <v>223</v>
      </c>
      <c r="C41" s="113"/>
      <c r="D41" s="113"/>
      <c r="E41" s="113"/>
      <c r="F41" s="113"/>
      <c r="G41" s="117">
        <v>4</v>
      </c>
      <c r="H41" s="117" t="s">
        <v>220</v>
      </c>
      <c r="I41" s="117" t="s">
        <v>219</v>
      </c>
      <c r="J41" s="117" t="s">
        <v>219</v>
      </c>
      <c r="K41" s="117" t="s">
        <v>218</v>
      </c>
      <c r="L41" s="117" t="s">
        <v>218</v>
      </c>
    </row>
    <row r="42" spans="1:12" x14ac:dyDescent="0.25">
      <c r="A42" s="113">
        <v>5</v>
      </c>
      <c r="B42" s="113" t="s">
        <v>222</v>
      </c>
      <c r="C42" s="113"/>
      <c r="D42" s="113"/>
      <c r="E42" s="113"/>
      <c r="F42" s="113"/>
      <c r="G42" s="117">
        <v>5</v>
      </c>
      <c r="H42" s="117" t="s">
        <v>219</v>
      </c>
      <c r="I42" s="117" t="s">
        <v>219</v>
      </c>
      <c r="J42" s="117" t="s">
        <v>218</v>
      </c>
      <c r="K42" s="117" t="s">
        <v>218</v>
      </c>
      <c r="L42" s="117" t="s">
        <v>218</v>
      </c>
    </row>
    <row r="47" spans="1:12" x14ac:dyDescent="0.25">
      <c r="B47" s="116" t="s">
        <v>292</v>
      </c>
    </row>
    <row r="48" spans="1:12" x14ac:dyDescent="0.25">
      <c r="B48" s="116" t="s">
        <v>293</v>
      </c>
    </row>
  </sheetData>
  <mergeCells count="1">
    <mergeCell ref="H4:I4"/>
  </mergeCells>
  <hyperlinks>
    <hyperlink ref="B7" r:id="rId1" display="https://www.igac.gov.co/sites/igac.gov.co/files/listadomaestro/ct-pry_gestion_de_proyectos.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H45"/>
  <sheetViews>
    <sheetView topLeftCell="A19" zoomScale="60" zoomScaleNormal="60" workbookViewId="0">
      <selection activeCell="A53" sqref="A47:XFD53"/>
    </sheetView>
  </sheetViews>
  <sheetFormatPr baseColWidth="10" defaultColWidth="11.42578125" defaultRowHeight="15" x14ac:dyDescent="0.25"/>
  <cols>
    <col min="1" max="1" width="2.85546875" style="72" customWidth="1"/>
    <col min="2" max="3" width="24.7109375" style="72" customWidth="1"/>
    <col min="4" max="4" width="16" style="72" customWidth="1"/>
    <col min="5" max="5" width="25.7109375" style="72" customWidth="1"/>
    <col min="6" max="6" width="31.42578125" style="72" customWidth="1"/>
    <col min="7" max="8" width="24.7109375" style="72" customWidth="1"/>
    <col min="9" max="16384" width="11.42578125" style="72"/>
  </cols>
  <sheetData>
    <row r="1" spans="1:8" s="135" customFormat="1" ht="28.5" customHeight="1" thickTop="1" x14ac:dyDescent="0.2">
      <c r="A1" s="389"/>
      <c r="B1" s="390"/>
      <c r="C1" s="395" t="s">
        <v>274</v>
      </c>
      <c r="D1" s="395"/>
      <c r="E1" s="395"/>
      <c r="F1" s="395"/>
      <c r="G1" s="395"/>
      <c r="H1" s="396"/>
    </row>
    <row r="2" spans="1:8" s="135" customFormat="1" ht="27.75" customHeight="1" x14ac:dyDescent="0.2">
      <c r="A2" s="391"/>
      <c r="B2" s="392"/>
      <c r="C2" s="397" t="s">
        <v>589</v>
      </c>
      <c r="D2" s="397"/>
      <c r="E2" s="397"/>
      <c r="F2" s="397"/>
      <c r="G2" s="397"/>
      <c r="H2" s="398"/>
    </row>
    <row r="3" spans="1:8" s="135" customFormat="1" ht="24" customHeight="1" thickBot="1" x14ac:dyDescent="0.25">
      <c r="A3" s="393"/>
      <c r="B3" s="394"/>
      <c r="C3" s="399"/>
      <c r="D3" s="399"/>
      <c r="E3" s="399"/>
      <c r="F3" s="399"/>
      <c r="G3" s="399"/>
      <c r="H3" s="400"/>
    </row>
    <row r="4" spans="1:8" ht="15.75" thickTop="1" x14ac:dyDescent="0.25">
      <c r="A4" s="194"/>
      <c r="B4" s="194"/>
      <c r="C4" s="194"/>
      <c r="D4" s="194"/>
      <c r="E4" s="194"/>
      <c r="F4" s="194"/>
      <c r="G4" s="194"/>
      <c r="H4" s="194"/>
    </row>
    <row r="5" spans="1:8" ht="16.5" x14ac:dyDescent="0.25">
      <c r="A5" s="194"/>
      <c r="B5" s="388" t="s">
        <v>132</v>
      </c>
      <c r="C5" s="388"/>
      <c r="D5" s="388"/>
      <c r="E5" s="388"/>
      <c r="F5" s="388"/>
      <c r="G5" s="388"/>
      <c r="H5" s="388"/>
    </row>
    <row r="6" spans="1:8" ht="16.5" x14ac:dyDescent="0.3">
      <c r="A6" s="194"/>
      <c r="B6" s="385"/>
      <c r="C6" s="386"/>
      <c r="D6" s="386"/>
      <c r="E6" s="386"/>
      <c r="F6" s="386"/>
      <c r="G6" s="386"/>
      <c r="H6" s="387"/>
    </row>
    <row r="7" spans="1:8" ht="63" customHeight="1" x14ac:dyDescent="0.25">
      <c r="A7" s="194"/>
      <c r="B7" s="401" t="s">
        <v>569</v>
      </c>
      <c r="C7" s="401"/>
      <c r="D7" s="401"/>
      <c r="E7" s="401"/>
      <c r="F7" s="401"/>
      <c r="G7" s="401"/>
      <c r="H7" s="401"/>
    </row>
    <row r="8" spans="1:8" ht="90.75" customHeight="1" x14ac:dyDescent="0.25">
      <c r="A8" s="194"/>
      <c r="B8" s="401"/>
      <c r="C8" s="401"/>
      <c r="D8" s="401"/>
      <c r="E8" s="401"/>
      <c r="F8" s="401"/>
      <c r="G8" s="401"/>
      <c r="H8" s="401"/>
    </row>
    <row r="9" spans="1:8" x14ac:dyDescent="0.25">
      <c r="A9" s="194"/>
      <c r="B9" s="402" t="s">
        <v>130</v>
      </c>
      <c r="C9" s="403"/>
      <c r="D9" s="403"/>
      <c r="E9" s="403"/>
      <c r="F9" s="403"/>
      <c r="G9" s="403"/>
      <c r="H9" s="403"/>
    </row>
    <row r="10" spans="1:8" ht="95.25" customHeight="1" x14ac:dyDescent="0.25">
      <c r="A10" s="194"/>
      <c r="B10" s="404" t="s">
        <v>570</v>
      </c>
      <c r="C10" s="404"/>
      <c r="D10" s="404"/>
      <c r="E10" s="404"/>
      <c r="F10" s="404"/>
      <c r="G10" s="404"/>
      <c r="H10" s="404"/>
    </row>
    <row r="11" spans="1:8" ht="16.5" x14ac:dyDescent="0.25">
      <c r="A11" s="194"/>
      <c r="B11" s="410"/>
      <c r="C11" s="411"/>
      <c r="D11" s="411"/>
      <c r="E11" s="411"/>
      <c r="F11" s="411"/>
      <c r="G11" s="411"/>
      <c r="H11" s="412"/>
    </row>
    <row r="12" spans="1:8" ht="16.5" customHeight="1" x14ac:dyDescent="0.25">
      <c r="A12" s="194"/>
      <c r="B12" s="401" t="s">
        <v>533</v>
      </c>
      <c r="C12" s="405"/>
      <c r="D12" s="405"/>
      <c r="E12" s="405"/>
      <c r="F12" s="405"/>
      <c r="G12" s="405"/>
      <c r="H12" s="405"/>
    </row>
    <row r="13" spans="1:8" ht="96" customHeight="1" x14ac:dyDescent="0.25">
      <c r="A13" s="194"/>
      <c r="B13" s="405"/>
      <c r="C13" s="405"/>
      <c r="D13" s="405"/>
      <c r="E13" s="405"/>
      <c r="F13" s="405"/>
      <c r="G13" s="405"/>
      <c r="H13" s="405"/>
    </row>
    <row r="14" spans="1:8" ht="17.25" thickBot="1" x14ac:dyDescent="0.35">
      <c r="A14" s="194"/>
      <c r="B14" s="195"/>
      <c r="C14" s="196"/>
      <c r="D14" s="197"/>
      <c r="E14" s="198"/>
      <c r="F14" s="198"/>
      <c r="G14" s="199"/>
      <c r="H14" s="200"/>
    </row>
    <row r="15" spans="1:8" ht="17.25" thickTop="1" x14ac:dyDescent="0.3">
      <c r="A15" s="194"/>
      <c r="B15" s="195"/>
      <c r="C15" s="406" t="s">
        <v>131</v>
      </c>
      <c r="D15" s="407"/>
      <c r="E15" s="408" t="s">
        <v>169</v>
      </c>
      <c r="F15" s="409"/>
      <c r="G15" s="196"/>
      <c r="H15" s="200"/>
    </row>
    <row r="16" spans="1:8" ht="109.5" customHeight="1" x14ac:dyDescent="0.3">
      <c r="A16" s="194"/>
      <c r="B16" s="195"/>
      <c r="C16" s="413" t="s">
        <v>133</v>
      </c>
      <c r="D16" s="414"/>
      <c r="E16" s="415" t="s">
        <v>294</v>
      </c>
      <c r="F16" s="416"/>
      <c r="G16" s="196"/>
      <c r="H16" s="200"/>
    </row>
    <row r="17" spans="1:8" ht="41.25" customHeight="1" x14ac:dyDescent="0.3">
      <c r="A17" s="194"/>
      <c r="B17" s="195"/>
      <c r="C17" s="417" t="s">
        <v>162</v>
      </c>
      <c r="D17" s="418"/>
      <c r="E17" s="415" t="s">
        <v>167</v>
      </c>
      <c r="F17" s="416"/>
      <c r="G17" s="196"/>
      <c r="H17" s="200"/>
    </row>
    <row r="18" spans="1:8" ht="45.75" customHeight="1" x14ac:dyDescent="0.3">
      <c r="A18" s="194"/>
      <c r="B18" s="195"/>
      <c r="C18" s="419" t="s">
        <v>1</v>
      </c>
      <c r="D18" s="420"/>
      <c r="E18" s="421" t="s">
        <v>176</v>
      </c>
      <c r="F18" s="422"/>
      <c r="G18" s="196"/>
      <c r="H18" s="200"/>
    </row>
    <row r="19" spans="1:8" ht="45.75" customHeight="1" x14ac:dyDescent="0.3">
      <c r="A19" s="194"/>
      <c r="B19" s="195"/>
      <c r="C19" s="419" t="s">
        <v>2</v>
      </c>
      <c r="D19" s="420"/>
      <c r="E19" s="421" t="s">
        <v>177</v>
      </c>
      <c r="F19" s="422"/>
      <c r="G19" s="196"/>
      <c r="H19" s="200"/>
    </row>
    <row r="20" spans="1:8" ht="50.25" customHeight="1" x14ac:dyDescent="0.3">
      <c r="A20" s="194"/>
      <c r="B20" s="195"/>
      <c r="C20" s="419" t="s">
        <v>32</v>
      </c>
      <c r="D20" s="420"/>
      <c r="E20" s="421" t="s">
        <v>178</v>
      </c>
      <c r="F20" s="422"/>
      <c r="G20" s="196"/>
      <c r="H20" s="200"/>
    </row>
    <row r="21" spans="1:8" ht="102.75" customHeight="1" x14ac:dyDescent="0.3">
      <c r="A21" s="194"/>
      <c r="B21" s="195"/>
      <c r="C21" s="419" t="s">
        <v>0</v>
      </c>
      <c r="D21" s="420"/>
      <c r="E21" s="421" t="s">
        <v>571</v>
      </c>
      <c r="F21" s="422"/>
      <c r="G21" s="196"/>
      <c r="H21" s="200"/>
    </row>
    <row r="22" spans="1:8" ht="97.5" customHeight="1" x14ac:dyDescent="0.3">
      <c r="A22" s="194"/>
      <c r="B22" s="195"/>
      <c r="C22" s="419" t="s">
        <v>36</v>
      </c>
      <c r="D22" s="420"/>
      <c r="E22" s="421" t="s">
        <v>534</v>
      </c>
      <c r="F22" s="422"/>
      <c r="G22" s="196"/>
      <c r="H22" s="200"/>
    </row>
    <row r="23" spans="1:8" ht="99.75" customHeight="1" x14ac:dyDescent="0.3">
      <c r="A23" s="194"/>
      <c r="B23" s="195"/>
      <c r="C23" s="419" t="s">
        <v>136</v>
      </c>
      <c r="D23" s="420"/>
      <c r="E23" s="421" t="s">
        <v>535</v>
      </c>
      <c r="F23" s="422"/>
      <c r="G23" s="196"/>
      <c r="H23" s="200"/>
    </row>
    <row r="24" spans="1:8" ht="81" customHeight="1" x14ac:dyDescent="0.3">
      <c r="A24" s="194"/>
      <c r="B24" s="195"/>
      <c r="C24" s="419" t="s">
        <v>139</v>
      </c>
      <c r="D24" s="420"/>
      <c r="E24" s="421" t="s">
        <v>536</v>
      </c>
      <c r="F24" s="422"/>
      <c r="G24" s="196"/>
      <c r="H24" s="200"/>
    </row>
    <row r="25" spans="1:8" ht="60.75" customHeight="1" x14ac:dyDescent="0.3">
      <c r="A25" s="194"/>
      <c r="B25" s="195"/>
      <c r="C25" s="419" t="s">
        <v>35</v>
      </c>
      <c r="D25" s="420"/>
      <c r="E25" s="421" t="s">
        <v>295</v>
      </c>
      <c r="F25" s="422"/>
      <c r="G25" s="196"/>
      <c r="H25" s="200"/>
    </row>
    <row r="26" spans="1:8" ht="73.5" customHeight="1" x14ac:dyDescent="0.3">
      <c r="A26" s="194"/>
      <c r="B26" s="195"/>
      <c r="C26" s="419" t="s">
        <v>129</v>
      </c>
      <c r="D26" s="420"/>
      <c r="E26" s="421" t="s">
        <v>572</v>
      </c>
      <c r="F26" s="422"/>
      <c r="G26" s="196"/>
      <c r="H26" s="200"/>
    </row>
    <row r="27" spans="1:8" ht="45.75" customHeight="1" x14ac:dyDescent="0.3">
      <c r="A27" s="194"/>
      <c r="B27" s="195"/>
      <c r="C27" s="419" t="s">
        <v>11</v>
      </c>
      <c r="D27" s="420"/>
      <c r="E27" s="421" t="s">
        <v>296</v>
      </c>
      <c r="F27" s="422"/>
      <c r="G27" s="196"/>
      <c r="H27" s="200"/>
    </row>
    <row r="28" spans="1:8" ht="48.75" customHeight="1" x14ac:dyDescent="0.3">
      <c r="A28" s="194"/>
      <c r="B28" s="195"/>
      <c r="C28" s="419" t="s">
        <v>573</v>
      </c>
      <c r="D28" s="420"/>
      <c r="E28" s="421" t="s">
        <v>537</v>
      </c>
      <c r="F28" s="422"/>
      <c r="G28" s="196"/>
      <c r="H28" s="200"/>
    </row>
    <row r="29" spans="1:8" ht="35.25" customHeight="1" x14ac:dyDescent="0.3">
      <c r="A29" s="194"/>
      <c r="B29" s="195"/>
      <c r="C29" s="419" t="s">
        <v>574</v>
      </c>
      <c r="D29" s="420"/>
      <c r="E29" s="421" t="s">
        <v>538</v>
      </c>
      <c r="F29" s="422"/>
      <c r="G29" s="196"/>
      <c r="H29" s="200"/>
    </row>
    <row r="30" spans="1:8" ht="40.5" customHeight="1" x14ac:dyDescent="0.3">
      <c r="A30" s="194"/>
      <c r="B30" s="195"/>
      <c r="C30" s="419" t="s">
        <v>574</v>
      </c>
      <c r="D30" s="420"/>
      <c r="E30" s="421" t="s">
        <v>538</v>
      </c>
      <c r="F30" s="422"/>
      <c r="G30" s="196"/>
      <c r="H30" s="200"/>
    </row>
    <row r="31" spans="1:8" ht="34.5" customHeight="1" x14ac:dyDescent="0.3">
      <c r="A31" s="194"/>
      <c r="B31" s="195"/>
      <c r="C31" s="419" t="s">
        <v>575</v>
      </c>
      <c r="D31" s="420"/>
      <c r="E31" s="421" t="s">
        <v>297</v>
      </c>
      <c r="F31" s="422"/>
      <c r="G31" s="196"/>
      <c r="H31" s="200"/>
    </row>
    <row r="32" spans="1:8" ht="47.25" customHeight="1" x14ac:dyDescent="0.3">
      <c r="A32" s="194"/>
      <c r="B32" s="195"/>
      <c r="C32" s="419" t="s">
        <v>576</v>
      </c>
      <c r="D32" s="420"/>
      <c r="E32" s="421" t="s">
        <v>539</v>
      </c>
      <c r="F32" s="422"/>
      <c r="G32" s="196"/>
      <c r="H32" s="200"/>
    </row>
    <row r="33" spans="1:8" ht="50.25" customHeight="1" x14ac:dyDescent="0.3">
      <c r="A33" s="194"/>
      <c r="B33" s="195"/>
      <c r="C33" s="419" t="s">
        <v>577</v>
      </c>
      <c r="D33" s="420"/>
      <c r="E33" s="421" t="s">
        <v>540</v>
      </c>
      <c r="F33" s="422"/>
      <c r="G33" s="196"/>
      <c r="H33" s="200"/>
    </row>
    <row r="34" spans="1:8" ht="48.75" customHeight="1" x14ac:dyDescent="0.3">
      <c r="A34" s="194"/>
      <c r="B34" s="195"/>
      <c r="C34" s="419" t="s">
        <v>578</v>
      </c>
      <c r="D34" s="420"/>
      <c r="E34" s="421" t="s">
        <v>541</v>
      </c>
      <c r="F34" s="422"/>
      <c r="G34" s="196"/>
      <c r="H34" s="200"/>
    </row>
    <row r="35" spans="1:8" ht="60.75" customHeight="1" x14ac:dyDescent="0.3">
      <c r="A35" s="194"/>
      <c r="B35" s="195"/>
      <c r="C35" s="419" t="s">
        <v>156</v>
      </c>
      <c r="D35" s="420"/>
      <c r="E35" s="421" t="s">
        <v>579</v>
      </c>
      <c r="F35" s="422"/>
      <c r="G35" s="196"/>
      <c r="H35" s="200"/>
    </row>
    <row r="36" spans="1:8" ht="51" customHeight="1" x14ac:dyDescent="0.3">
      <c r="A36" s="194"/>
      <c r="B36" s="195"/>
      <c r="C36" s="419" t="s">
        <v>25</v>
      </c>
      <c r="D36" s="420"/>
      <c r="E36" s="421" t="s">
        <v>542</v>
      </c>
      <c r="F36" s="422"/>
      <c r="G36" s="196"/>
      <c r="H36" s="200"/>
    </row>
    <row r="37" spans="1:8" ht="118.5" customHeight="1" x14ac:dyDescent="0.3">
      <c r="A37" s="194"/>
      <c r="B37" s="195"/>
      <c r="C37" s="419" t="s">
        <v>580</v>
      </c>
      <c r="D37" s="420"/>
      <c r="E37" s="421" t="s">
        <v>543</v>
      </c>
      <c r="F37" s="422"/>
      <c r="G37" s="196"/>
      <c r="H37" s="200"/>
    </row>
    <row r="38" spans="1:8" ht="61.5" customHeight="1" thickBot="1" x14ac:dyDescent="0.35">
      <c r="A38" s="194"/>
      <c r="B38" s="195"/>
      <c r="C38" s="426" t="s">
        <v>29</v>
      </c>
      <c r="D38" s="427"/>
      <c r="E38" s="428" t="s">
        <v>544</v>
      </c>
      <c r="F38" s="429"/>
      <c r="G38" s="196"/>
      <c r="H38" s="200"/>
    </row>
    <row r="39" spans="1:8" ht="17.25" thickTop="1" x14ac:dyDescent="0.3">
      <c r="A39" s="194"/>
      <c r="B39" s="195"/>
      <c r="C39" s="201"/>
      <c r="D39" s="201"/>
      <c r="E39" s="202"/>
      <c r="F39" s="202"/>
      <c r="G39" s="196"/>
      <c r="H39" s="200"/>
    </row>
    <row r="40" spans="1:8" ht="21" hidden="1" customHeight="1" x14ac:dyDescent="0.25">
      <c r="A40" s="194"/>
      <c r="B40" s="423" t="s">
        <v>581</v>
      </c>
      <c r="C40" s="424"/>
      <c r="D40" s="424"/>
      <c r="E40" s="424"/>
      <c r="F40" s="424"/>
      <c r="G40" s="424"/>
      <c r="H40" s="425"/>
    </row>
    <row r="41" spans="1:8" ht="20.25" hidden="1" customHeight="1" x14ac:dyDescent="0.25">
      <c r="A41" s="194"/>
      <c r="B41" s="423" t="s">
        <v>582</v>
      </c>
      <c r="C41" s="424"/>
      <c r="D41" s="424"/>
      <c r="E41" s="424"/>
      <c r="F41" s="424"/>
      <c r="G41" s="424"/>
      <c r="H41" s="425"/>
    </row>
    <row r="42" spans="1:8" ht="20.25" hidden="1" customHeight="1" x14ac:dyDescent="0.25">
      <c r="A42" s="194"/>
      <c r="B42" s="423" t="s">
        <v>583</v>
      </c>
      <c r="C42" s="424"/>
      <c r="D42" s="424"/>
      <c r="E42" s="424"/>
      <c r="F42" s="424"/>
      <c r="G42" s="424"/>
      <c r="H42" s="425"/>
    </row>
    <row r="43" spans="1:8" ht="20.25" hidden="1" customHeight="1" x14ac:dyDescent="0.25">
      <c r="A43" s="194"/>
      <c r="B43" s="423" t="s">
        <v>584</v>
      </c>
      <c r="C43" s="424"/>
      <c r="D43" s="424"/>
      <c r="E43" s="424"/>
      <c r="F43" s="424"/>
      <c r="G43" s="424"/>
      <c r="H43" s="425"/>
    </row>
    <row r="44" spans="1:8" ht="16.5" hidden="1" x14ac:dyDescent="0.25">
      <c r="A44" s="194"/>
      <c r="B44" s="423" t="s">
        <v>585</v>
      </c>
      <c r="C44" s="424"/>
      <c r="D44" s="424"/>
      <c r="E44" s="424"/>
      <c r="F44" s="424"/>
      <c r="G44" s="424"/>
      <c r="H44" s="425"/>
    </row>
    <row r="45" spans="1:8" ht="17.25" thickBot="1" x14ac:dyDescent="0.35">
      <c r="A45" s="194"/>
      <c r="B45" s="203"/>
      <c r="C45" s="204"/>
      <c r="D45" s="204"/>
      <c r="E45" s="204"/>
      <c r="F45" s="204"/>
      <c r="G45" s="204"/>
      <c r="H45" s="205"/>
    </row>
  </sheetData>
  <mergeCells count="65">
    <mergeCell ref="B41:H41"/>
    <mergeCell ref="B42:H42"/>
    <mergeCell ref="B43:H43"/>
    <mergeCell ref="B44:H44"/>
    <mergeCell ref="C37:D37"/>
    <mergeCell ref="E37:F37"/>
    <mergeCell ref="C38:D38"/>
    <mergeCell ref="E38:F38"/>
    <mergeCell ref="B40:H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B7:H8"/>
    <mergeCell ref="B9:H9"/>
    <mergeCell ref="B10:H10"/>
    <mergeCell ref="B12:H13"/>
    <mergeCell ref="C15:D15"/>
    <mergeCell ref="E15:F15"/>
    <mergeCell ref="B11:H11"/>
    <mergeCell ref="B6:H6"/>
    <mergeCell ref="B5:H5"/>
    <mergeCell ref="A1:B3"/>
    <mergeCell ref="C1:H1"/>
    <mergeCell ref="C2:H2"/>
    <mergeCell ref="C3:F3"/>
    <mergeCell ref="G3: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Y442"/>
  <sheetViews>
    <sheetView showGridLines="0" tabSelected="1" zoomScale="70" zoomScaleNormal="70" workbookViewId="0">
      <pane xSplit="2" ySplit="6" topLeftCell="C7" activePane="bottomRight" state="frozen"/>
      <selection pane="topRight" activeCell="C1" sqref="C1"/>
      <selection pane="bottomLeft" activeCell="A7" sqref="A7"/>
      <selection pane="bottomRight" activeCell="M331" sqref="M331:M336"/>
    </sheetView>
  </sheetViews>
  <sheetFormatPr baseColWidth="10" defaultColWidth="11.42578125" defaultRowHeight="16.5" x14ac:dyDescent="0.3"/>
  <cols>
    <col min="1" max="1" width="6.42578125" style="304" customWidth="1"/>
    <col min="2" max="3" width="41.42578125" style="112" customWidth="1"/>
    <col min="4" max="4" width="19.85546875" style="2" customWidth="1"/>
    <col min="5" max="5" width="51.85546875" style="2" customWidth="1"/>
    <col min="6" max="6" width="26.5703125" style="2" customWidth="1"/>
    <col min="7" max="7" width="66" style="1" customWidth="1"/>
    <col min="8" max="8" width="27.85546875" style="3" customWidth="1"/>
    <col min="9" max="9" width="27" style="3" customWidth="1"/>
    <col min="10" max="10" width="17.85546875" style="1" customWidth="1"/>
    <col min="11" max="11" width="16.5703125" style="1" customWidth="1"/>
    <col min="12" max="12" width="6.28515625" style="1" bestFit="1" customWidth="1"/>
    <col min="13" max="13" width="26.85546875" style="1" customWidth="1"/>
    <col min="14" max="14" width="37.28515625" style="1" hidden="1" customWidth="1"/>
    <col min="15" max="15" width="17.5703125" style="1" customWidth="1"/>
    <col min="16" max="16" width="6.28515625" style="1" bestFit="1" customWidth="1"/>
    <col min="17" max="17" width="16" style="1" customWidth="1"/>
    <col min="18" max="18" width="5.85546875" style="1" customWidth="1"/>
    <col min="19" max="19" width="107.7109375" style="332" customWidth="1"/>
    <col min="20" max="20" width="15.42578125" style="3" customWidth="1"/>
    <col min="21" max="21" width="15.140625" style="1" bestFit="1" customWidth="1"/>
    <col min="22" max="22" width="6.85546875" style="1" customWidth="1"/>
    <col min="23" max="23" width="5" style="1" customWidth="1"/>
    <col min="24" max="24" width="5.5703125" style="1" customWidth="1"/>
    <col min="25" max="25" width="7.140625" style="1" customWidth="1"/>
    <col min="26" max="26" width="6.7109375" style="1" customWidth="1"/>
    <col min="27" max="27" width="7.5703125" style="1" customWidth="1"/>
    <col min="28" max="28" width="7.140625" style="1" customWidth="1"/>
    <col min="29" max="29" width="8.7109375" style="1" customWidth="1"/>
    <col min="30" max="30" width="10.42578125" style="1" customWidth="1"/>
    <col min="31" max="31" width="9.28515625" style="1" customWidth="1"/>
    <col min="32" max="32" width="9.140625" style="1" customWidth="1"/>
    <col min="33" max="33" width="8.42578125" style="1" customWidth="1"/>
    <col min="34" max="34" width="7.28515625" style="1" customWidth="1"/>
    <col min="35" max="35" width="10" style="1" customWidth="1"/>
    <col min="36" max="39" width="7.28515625" style="1" customWidth="1"/>
    <col min="40" max="40" width="43.7109375" style="1" hidden="1" customWidth="1"/>
    <col min="41" max="41" width="28.85546875" style="1" hidden="1" customWidth="1"/>
    <col min="42" max="42" width="21" style="1" hidden="1" customWidth="1"/>
    <col min="43" max="43" width="22.140625" style="1" hidden="1" customWidth="1"/>
    <col min="44" max="44" width="25.85546875" style="1" hidden="1" customWidth="1"/>
    <col min="45" max="45" width="20.5703125" style="321" customWidth="1"/>
    <col min="46" max="46" width="23" style="321" customWidth="1"/>
    <col min="47" max="47" width="18.85546875" style="321" customWidth="1"/>
    <col min="48" max="48" width="18.5703125" style="321" customWidth="1"/>
    <col min="49" max="49" width="21" style="321" customWidth="1"/>
    <col min="50" max="77" width="11.42578125" style="321"/>
    <col min="78" max="16384" width="11.42578125" style="1"/>
  </cols>
  <sheetData>
    <row r="1" spans="1:77" ht="42" customHeight="1" thickBot="1" x14ac:dyDescent="0.35">
      <c r="A1" s="440" t="s">
        <v>1062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2"/>
    </row>
    <row r="2" spans="1:77" ht="36" customHeight="1" thickBot="1" x14ac:dyDescent="0.35">
      <c r="A2" s="457" t="s">
        <v>186</v>
      </c>
      <c r="B2" s="458"/>
      <c r="C2" s="458"/>
      <c r="D2" s="458"/>
      <c r="E2" s="458"/>
      <c r="F2" s="458"/>
      <c r="G2" s="458"/>
      <c r="H2" s="458"/>
      <c r="I2" s="458"/>
      <c r="J2" s="459"/>
      <c r="K2" s="454" t="s">
        <v>266</v>
      </c>
      <c r="L2" s="455"/>
      <c r="M2" s="455"/>
      <c r="N2" s="455"/>
      <c r="O2" s="455"/>
      <c r="P2" s="455"/>
      <c r="Q2" s="456"/>
      <c r="R2" s="454" t="s">
        <v>265</v>
      </c>
      <c r="S2" s="455"/>
      <c r="T2" s="455"/>
      <c r="U2" s="455"/>
      <c r="V2" s="455"/>
      <c r="W2" s="455"/>
      <c r="X2" s="455"/>
      <c r="Y2" s="455"/>
      <c r="Z2" s="455"/>
      <c r="AA2" s="456"/>
      <c r="AB2" s="454" t="s">
        <v>264</v>
      </c>
      <c r="AC2" s="455"/>
      <c r="AD2" s="455"/>
      <c r="AE2" s="455"/>
      <c r="AF2" s="455"/>
      <c r="AG2" s="455"/>
      <c r="AH2" s="456"/>
      <c r="AI2" s="454" t="s">
        <v>669</v>
      </c>
      <c r="AJ2" s="455"/>
      <c r="AK2" s="455"/>
      <c r="AL2" s="455"/>
      <c r="AM2" s="456"/>
      <c r="AN2" s="476" t="s">
        <v>185</v>
      </c>
      <c r="AO2" s="477"/>
      <c r="AP2" s="477"/>
      <c r="AQ2" s="477"/>
      <c r="AR2" s="478"/>
    </row>
    <row r="3" spans="1:77" ht="21" customHeight="1" thickBot="1" x14ac:dyDescent="0.35">
      <c r="A3" s="479" t="s">
        <v>615</v>
      </c>
      <c r="B3" s="479" t="s">
        <v>616</v>
      </c>
      <c r="C3" s="479" t="s">
        <v>617</v>
      </c>
      <c r="D3" s="479" t="s">
        <v>664</v>
      </c>
      <c r="E3" s="494" t="s">
        <v>626</v>
      </c>
      <c r="F3" s="495"/>
      <c r="G3" s="479" t="s">
        <v>184</v>
      </c>
      <c r="H3" s="479" t="s">
        <v>257</v>
      </c>
      <c r="I3" s="479" t="s">
        <v>667</v>
      </c>
      <c r="J3" s="479" t="s">
        <v>263</v>
      </c>
      <c r="K3" s="473" t="s">
        <v>262</v>
      </c>
      <c r="L3" s="473" t="s">
        <v>4</v>
      </c>
      <c r="M3" s="473" t="s">
        <v>261</v>
      </c>
      <c r="N3" s="500" t="s">
        <v>76</v>
      </c>
      <c r="O3" s="473" t="s">
        <v>260</v>
      </c>
      <c r="P3" s="473" t="s">
        <v>4</v>
      </c>
      <c r="Q3" s="473" t="s">
        <v>259</v>
      </c>
      <c r="R3" s="482" t="s">
        <v>10</v>
      </c>
      <c r="S3" s="460" t="s">
        <v>258</v>
      </c>
      <c r="T3" s="460" t="s">
        <v>668</v>
      </c>
      <c r="U3" s="460" t="s">
        <v>11</v>
      </c>
      <c r="V3" s="485" t="s">
        <v>7</v>
      </c>
      <c r="W3" s="486"/>
      <c r="X3" s="487"/>
      <c r="Y3" s="486"/>
      <c r="Z3" s="486"/>
      <c r="AA3" s="488"/>
      <c r="AB3" s="443" t="s">
        <v>110</v>
      </c>
      <c r="AC3" s="446" t="s">
        <v>33</v>
      </c>
      <c r="AD3" s="446" t="s">
        <v>4</v>
      </c>
      <c r="AE3" s="446" t="s">
        <v>34</v>
      </c>
      <c r="AF3" s="446" t="s">
        <v>4</v>
      </c>
      <c r="AG3" s="463" t="s">
        <v>686</v>
      </c>
      <c r="AH3" s="464" t="s">
        <v>25</v>
      </c>
      <c r="AI3" s="470" t="s">
        <v>670</v>
      </c>
      <c r="AJ3" s="470" t="s">
        <v>671</v>
      </c>
      <c r="AK3" s="470" t="s">
        <v>672</v>
      </c>
      <c r="AL3" s="470" t="s">
        <v>673</v>
      </c>
      <c r="AM3" s="470" t="s">
        <v>674</v>
      </c>
      <c r="AN3" s="467" t="s">
        <v>182</v>
      </c>
      <c r="AO3" s="503" t="s">
        <v>675</v>
      </c>
      <c r="AP3" s="467" t="s">
        <v>181</v>
      </c>
      <c r="AQ3" s="467" t="s">
        <v>676</v>
      </c>
      <c r="AR3" s="506" t="s">
        <v>677</v>
      </c>
    </row>
    <row r="4" spans="1:77" ht="33.75" customHeight="1" thickBot="1" x14ac:dyDescent="0.35">
      <c r="A4" s="480"/>
      <c r="B4" s="480"/>
      <c r="C4" s="480"/>
      <c r="D4" s="480"/>
      <c r="E4" s="496"/>
      <c r="F4" s="497"/>
      <c r="G4" s="480"/>
      <c r="H4" s="480"/>
      <c r="I4" s="480"/>
      <c r="J4" s="480"/>
      <c r="K4" s="474"/>
      <c r="L4" s="474"/>
      <c r="M4" s="474"/>
      <c r="N4" s="501"/>
      <c r="O4" s="474"/>
      <c r="P4" s="474"/>
      <c r="Q4" s="474"/>
      <c r="R4" s="483"/>
      <c r="S4" s="461"/>
      <c r="T4" s="461"/>
      <c r="U4" s="461"/>
      <c r="V4" s="449" t="s">
        <v>12</v>
      </c>
      <c r="W4" s="449" t="s">
        <v>16</v>
      </c>
      <c r="X4" s="449" t="s">
        <v>24</v>
      </c>
      <c r="Y4" s="449" t="s">
        <v>17</v>
      </c>
      <c r="Z4" s="449" t="s">
        <v>20</v>
      </c>
      <c r="AA4" s="452" t="s">
        <v>23</v>
      </c>
      <c r="AB4" s="444"/>
      <c r="AC4" s="447"/>
      <c r="AD4" s="447"/>
      <c r="AE4" s="447"/>
      <c r="AF4" s="447"/>
      <c r="AG4" s="447"/>
      <c r="AH4" s="465"/>
      <c r="AI4" s="471"/>
      <c r="AJ4" s="471"/>
      <c r="AK4" s="471"/>
      <c r="AL4" s="471"/>
      <c r="AM4" s="471"/>
      <c r="AN4" s="468"/>
      <c r="AO4" s="504"/>
      <c r="AP4" s="468"/>
      <c r="AQ4" s="468"/>
      <c r="AR4" s="507"/>
    </row>
    <row r="5" spans="1:77" ht="33.75" customHeight="1" x14ac:dyDescent="0.3">
      <c r="A5" s="480"/>
      <c r="B5" s="480"/>
      <c r="C5" s="480"/>
      <c r="D5" s="480"/>
      <c r="E5" s="479" t="s">
        <v>665</v>
      </c>
      <c r="F5" s="498" t="s">
        <v>666</v>
      </c>
      <c r="G5" s="480"/>
      <c r="H5" s="480"/>
      <c r="I5" s="480"/>
      <c r="J5" s="480"/>
      <c r="K5" s="474"/>
      <c r="L5" s="474"/>
      <c r="M5" s="474"/>
      <c r="N5" s="501"/>
      <c r="O5" s="474"/>
      <c r="P5" s="474"/>
      <c r="Q5" s="474"/>
      <c r="R5" s="483"/>
      <c r="S5" s="461"/>
      <c r="T5" s="461"/>
      <c r="U5" s="461"/>
      <c r="V5" s="450"/>
      <c r="W5" s="450"/>
      <c r="X5" s="450"/>
      <c r="Y5" s="450"/>
      <c r="Z5" s="450"/>
      <c r="AA5" s="452"/>
      <c r="AB5" s="444"/>
      <c r="AC5" s="447"/>
      <c r="AD5" s="447"/>
      <c r="AE5" s="447"/>
      <c r="AF5" s="447"/>
      <c r="AG5" s="447"/>
      <c r="AH5" s="465"/>
      <c r="AI5" s="471"/>
      <c r="AJ5" s="471"/>
      <c r="AK5" s="471"/>
      <c r="AL5" s="471"/>
      <c r="AM5" s="471"/>
      <c r="AN5" s="468"/>
      <c r="AO5" s="504"/>
      <c r="AP5" s="468"/>
      <c r="AQ5" s="468"/>
      <c r="AR5" s="507"/>
    </row>
    <row r="6" spans="1:77" s="18" customFormat="1" ht="22.15" customHeight="1" thickBot="1" x14ac:dyDescent="0.3">
      <c r="A6" s="481"/>
      <c r="B6" s="481"/>
      <c r="C6" s="481"/>
      <c r="D6" s="481"/>
      <c r="E6" s="481"/>
      <c r="F6" s="499"/>
      <c r="G6" s="481"/>
      <c r="H6" s="481"/>
      <c r="I6" s="481"/>
      <c r="J6" s="481"/>
      <c r="K6" s="475"/>
      <c r="L6" s="475"/>
      <c r="M6" s="475"/>
      <c r="N6" s="502"/>
      <c r="O6" s="475"/>
      <c r="P6" s="475"/>
      <c r="Q6" s="475"/>
      <c r="R6" s="484"/>
      <c r="S6" s="462"/>
      <c r="T6" s="462"/>
      <c r="U6" s="462"/>
      <c r="V6" s="451"/>
      <c r="W6" s="451"/>
      <c r="X6" s="451"/>
      <c r="Y6" s="451"/>
      <c r="Z6" s="451"/>
      <c r="AA6" s="453"/>
      <c r="AB6" s="445"/>
      <c r="AC6" s="448"/>
      <c r="AD6" s="448"/>
      <c r="AE6" s="448"/>
      <c r="AF6" s="448"/>
      <c r="AG6" s="448"/>
      <c r="AH6" s="466"/>
      <c r="AI6" s="472"/>
      <c r="AJ6" s="472"/>
      <c r="AK6" s="472"/>
      <c r="AL6" s="472"/>
      <c r="AM6" s="472"/>
      <c r="AN6" s="469"/>
      <c r="AO6" s="505"/>
      <c r="AP6" s="469"/>
      <c r="AQ6" s="469"/>
      <c r="AR6" s="508"/>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row>
    <row r="7" spans="1:77" s="271" customFormat="1" ht="127.9" customHeight="1" x14ac:dyDescent="0.2">
      <c r="A7" s="509" t="s">
        <v>704</v>
      </c>
      <c r="B7" s="510" t="s">
        <v>590</v>
      </c>
      <c r="C7" s="511" t="s">
        <v>621</v>
      </c>
      <c r="D7" s="511" t="s">
        <v>109</v>
      </c>
      <c r="E7" s="511" t="s">
        <v>698</v>
      </c>
      <c r="F7" s="512" t="s">
        <v>685</v>
      </c>
      <c r="G7" s="513" t="s">
        <v>697</v>
      </c>
      <c r="H7" s="512" t="s">
        <v>655</v>
      </c>
      <c r="I7" s="512" t="s">
        <v>1030</v>
      </c>
      <c r="J7" s="514">
        <v>365</v>
      </c>
      <c r="K7" s="515" t="str">
        <f t="shared" ref="K7" si="0">IF(J7&lt;=0,"",IF(J7&lt;=2,"Muy Baja",IF(J7&lt;=24,"Baja",IF(J7&lt;=500,"Media",IF(J7&lt;=5000,"Alta","Muy Alta")))))</f>
        <v>Media</v>
      </c>
      <c r="L7" s="516">
        <f>IF(K7="","",IF(K7="Muy Baja",0.2,IF(K7="Baja",0.4,IF(K7="Media",0.6,IF(K7="Alta",0.8,IF(K7="Muy Alta",1,))))))</f>
        <v>0.6</v>
      </c>
      <c r="M7" s="517" t="s">
        <v>118</v>
      </c>
      <c r="N7" s="516" t="str">
        <f ca="1">IF(NOT(ISERROR(MATCH(M7,'Tabla Impacto'!$B$221:$B$223,0))),'Tabla Impacto'!$F$223&amp;"Por favor no seleccionar los criterios de impacto(Afectación Económica o presupuestal y Pérdida Reputacional)",M7)</f>
        <v xml:space="preserve">     Mayor a 500 SMLMV </v>
      </c>
      <c r="O7" s="515" t="str">
        <f ca="1">IF(OR(N7='Tabla Impacto'!$C$11,N7='Tabla Impacto'!$D$11),"Leve",IF(OR(N7='Tabla Impacto'!$C$12,N7='Tabla Impacto'!$D$12),"Menor",IF(OR(N7='Tabla Impacto'!$C$13,N7='Tabla Impacto'!$D$13),"Moderado",IF(OR(N7='Tabla Impacto'!$C$14,N7='Tabla Impacto'!$D$14),"Mayor",IF(OR(N7='Tabla Impacto'!$C$15,N7='Tabla Impacto'!$D$15),"Catastrófico","")))))</f>
        <v>Catastrófico</v>
      </c>
      <c r="P7" s="516">
        <f ca="1">IF(O7="","",IF(O7="Leve",0.2,IF(O7="Menor",0.4,IF(O7="Moderado",0.6,IF(O7="Mayor",0.8,IF(O7="Catastrófico",1,))))))</f>
        <v>1</v>
      </c>
      <c r="Q7" s="518"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Extremo</v>
      </c>
      <c r="R7" s="278">
        <v>1</v>
      </c>
      <c r="S7" s="333" t="s">
        <v>700</v>
      </c>
      <c r="T7" s="289" t="s">
        <v>293</v>
      </c>
      <c r="U7" s="279" t="str">
        <f>IF(OR(V7="Preventivo",V7="Detectivo"),"Probabilidad",IF(V7="Correctivo","Impacto",""))</f>
        <v>Probabilidad</v>
      </c>
      <c r="V7" s="280" t="s">
        <v>14</v>
      </c>
      <c r="W7" s="280" t="s">
        <v>8</v>
      </c>
      <c r="X7" s="281" t="str">
        <f t="shared" ref="X7:X8" si="1">IF(AND(V7="Preventivo",W7="Automático"),"50%",IF(AND(V7="Preventivo",W7="Manual"),"40%",IF(AND(V7="Detectivo",W7="Automático"),"40%",IF(AND(V7="Detectivo",W7="Manual"),"30%",IF(AND(V7="Correctivo",W7="Automático"),"35%",IF(AND(V7="Correctivo",W7="Manual"),"25%",""))))))</f>
        <v>30%</v>
      </c>
      <c r="Y7" s="280" t="s">
        <v>18</v>
      </c>
      <c r="Z7" s="280" t="s">
        <v>21</v>
      </c>
      <c r="AA7" s="280" t="s">
        <v>103</v>
      </c>
      <c r="AB7" s="282">
        <f>IFERROR(IF(U7="Probabilidad",(L7-(+L7*X7)),IF(U7="Impacto",L7,"")),"")</f>
        <v>0.42</v>
      </c>
      <c r="AC7" s="283" t="str">
        <f>IFERROR(IF(AB7="","",IF(AB7&lt;=0.2,"Muy Baja",IF(AB7&lt;=0.4,"Baja",IF(AB7&lt;=0.6,"Media",IF(AB7&lt;=0.8,"Alta","Muy Alta"))))),"")</f>
        <v>Media</v>
      </c>
      <c r="AD7" s="281">
        <f>+AB7</f>
        <v>0.42</v>
      </c>
      <c r="AE7" s="283" t="str">
        <f ca="1">IFERROR(IF(AF7="","",IF(AF7&lt;=0.2,"Leve",IF(AF7&lt;=0.4,"Menor",IF(AF7&lt;=0.6,"Moderado",IF(AF7&lt;=0.8,"Mayor","Catastrófico"))))),"")</f>
        <v>Catastrófico</v>
      </c>
      <c r="AF7" s="281">
        <f ca="1">IFERROR(IF(U7="Impacto",(P7-(+P7*X7)),IF(U7="Probabilidad",P7,"")),"")</f>
        <v>1</v>
      </c>
      <c r="AG7" s="284" t="str">
        <f ca="1">IFERROR(IF(OR(AND(AC7="Muy Baja",AE7="Leve"),AND(AC7="Muy Baja",AE7="Menor"),AND(AC7="Baja",AE7="Leve")),"Bajo",IF(OR(AND(AC7="Muy baja",AE7="Moderado"),AND(AC7="Baja",AE7="Menor"),AND(AC7="Baja",AE7="Moderado"),AND(AC7="Media",AE7="Leve"),AND(AC7="Media",AE7="Menor"),AND(AC7="Media",AE7="Moderado"),AND(AC7="Alta",AE7="Leve"),AND(AC7="Alta",AE7="Menor")),"Moderado",IF(OR(AND(AC7="Muy Baja",AE7="Mayor"),AND(AC7="Baja",AE7="Mayor"),AND(AC7="Media",AE7="Mayor"),AND(AC7="Alta",AE7="Moderado"),AND(AC7="Alta",AE7="Mayor"),AND(AC7="Muy Alta",AE7="Leve"),AND(AC7="Muy Alta",AE7="Menor"),AND(AC7="Muy Alta",AE7="Moderado"),AND(AC7="Muy Alta",AE7="Mayor")),"Alto",IF(OR(AND(AC7="Muy Baja",AE7="Catastrófico"),AND(AC7="Baja",AE7="Catastrófico"),AND(AC7="Media",AE7="Catastrófico"),AND(AC7="Alta",AE7="Catastrófico"),AND(AC7="Muy Alta",AE7="Catastrófico")),"Extremo","")))),"")</f>
        <v>Extremo</v>
      </c>
      <c r="AH7" s="280" t="s">
        <v>26</v>
      </c>
      <c r="AI7" s="278">
        <v>4</v>
      </c>
      <c r="AJ7" s="278">
        <v>1</v>
      </c>
      <c r="AK7" s="278">
        <v>1</v>
      </c>
      <c r="AL7" s="278">
        <v>1</v>
      </c>
      <c r="AM7" s="278">
        <v>1</v>
      </c>
      <c r="AN7" s="268" t="s">
        <v>685</v>
      </c>
      <c r="AO7" s="268" t="s">
        <v>685</v>
      </c>
      <c r="AP7" s="268" t="s">
        <v>685</v>
      </c>
      <c r="AQ7" s="268" t="s">
        <v>685</v>
      </c>
      <c r="AR7" s="268" t="s">
        <v>685</v>
      </c>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row>
    <row r="8" spans="1:77" s="113" customFormat="1" ht="126" customHeight="1" x14ac:dyDescent="0.2">
      <c r="A8" s="437"/>
      <c r="B8" s="438"/>
      <c r="C8" s="434"/>
      <c r="D8" s="434"/>
      <c r="E8" s="434"/>
      <c r="F8" s="435"/>
      <c r="G8" s="436"/>
      <c r="H8" s="435"/>
      <c r="I8" s="435"/>
      <c r="J8" s="439"/>
      <c r="K8" s="430"/>
      <c r="L8" s="431"/>
      <c r="M8" s="432"/>
      <c r="N8" s="431">
        <f t="shared" ref="N8:N10" ca="1" si="2">IF(NOT(ISERROR(MATCH(M8,_xlfn.ANCHORARRAY(G19),0))),L21&amp;"Por favor no seleccionar los criterios de impacto",M8)</f>
        <v>0</v>
      </c>
      <c r="O8" s="430"/>
      <c r="P8" s="431"/>
      <c r="Q8" s="433"/>
      <c r="R8" s="316">
        <v>2</v>
      </c>
      <c r="S8" s="330" t="s">
        <v>701</v>
      </c>
      <c r="T8" s="312" t="s">
        <v>293</v>
      </c>
      <c r="U8" s="208" t="str">
        <f>IF(OR(V8="Preventivo",V8="Detectivo"),"Probabilidad",IF(V8="Correctivo","Impacto",""))</f>
        <v>Probabilidad</v>
      </c>
      <c r="V8" s="237" t="s">
        <v>13</v>
      </c>
      <c r="W8" s="237" t="s">
        <v>8</v>
      </c>
      <c r="X8" s="209" t="str">
        <f t="shared" si="1"/>
        <v>40%</v>
      </c>
      <c r="Y8" s="237" t="s">
        <v>18</v>
      </c>
      <c r="Z8" s="237" t="s">
        <v>21</v>
      </c>
      <c r="AA8" s="237" t="s">
        <v>103</v>
      </c>
      <c r="AB8" s="210">
        <f>IFERROR(IF(AND(U7="Probabilidad",U8="Probabilidad"),(AD7-(+AD7*X8)),IF(U8="Probabilidad",(L7-(+L7*X8)),IF(U8="Impacto",AD7,""))),"")</f>
        <v>0.252</v>
      </c>
      <c r="AC8" s="211" t="str">
        <f>IFERROR(IF(AB8="","",IF(AB8&lt;=0.2,"Muy Baja",IF(AB8&lt;=0.4,"Baja",IF(AB8&lt;=0.6,"Media",IF(AB8&lt;=0.8,"Alta","Muy Alta"))))),"")</f>
        <v>Baja</v>
      </c>
      <c r="AD8" s="209">
        <f t="shared" ref="AD8:AD12" si="3">+AB8</f>
        <v>0.252</v>
      </c>
      <c r="AE8" s="211" t="str">
        <f t="shared" ref="AE8:AE12" ca="1" si="4">IFERROR(IF(AF8="","",IF(AF8&lt;=0.2,"Leve",IF(AF8&lt;=0.4,"Menor",IF(AF8&lt;=0.6,"Moderado",IF(AF8&lt;=0.8,"Mayor","Catastrófico"))))),"")</f>
        <v>Catastrófico</v>
      </c>
      <c r="AF8" s="209">
        <f ca="1">IFERROR(IF(AND(U7="Impacto",U8="Impacto"),(AF7-(+AF7*X8)),IF(U8="Impacto",($P$31-(+$P$31*X8)),IF(U8="Probabilidad",AF7,""))),"")</f>
        <v>1</v>
      </c>
      <c r="AG8" s="212" t="str">
        <f t="shared" ref="AG8:AG9" ca="1" si="5">IFERROR(IF(OR(AND(AC8="Muy Baja",AE8="Leve"),AND(AC8="Muy Baja",AE8="Menor"),AND(AC8="Baja",AE8="Leve")),"Bajo",IF(OR(AND(AC8="Muy baja",AE8="Moderado"),AND(AC8="Baja",AE8="Menor"),AND(AC8="Baja",AE8="Moderado"),AND(AC8="Media",AE8="Leve"),AND(AC8="Media",AE8="Menor"),AND(AC8="Media",AE8="Moderado"),AND(AC8="Alta",AE8="Leve"),AND(AC8="Alta",AE8="Menor")),"Moderado",IF(OR(AND(AC8="Muy Baja",AE8="Mayor"),AND(AC8="Baja",AE8="Mayor"),AND(AC8="Media",AE8="Mayor"),AND(AC8="Alta",AE8="Moderado"),AND(AC8="Alta",AE8="Mayor"),AND(AC8="Muy Alta",AE8="Leve"),AND(AC8="Muy Alta",AE8="Menor"),AND(AC8="Muy Alta",AE8="Moderado"),AND(AC8="Muy Alta",AE8="Mayor")),"Alto",IF(OR(AND(AC8="Muy Baja",AE8="Catastrófico"),AND(AC8="Baja",AE8="Catastrófico"),AND(AC8="Media",AE8="Catastrófico"),AND(AC8="Alta",AE8="Catastrófico"),AND(AC8="Muy Alta",AE8="Catastrófico")),"Extremo","")))),"")</f>
        <v>Extremo</v>
      </c>
      <c r="AH8" s="237" t="s">
        <v>26</v>
      </c>
      <c r="AI8" s="326">
        <v>12</v>
      </c>
      <c r="AJ8" s="326">
        <v>3</v>
      </c>
      <c r="AK8" s="326">
        <v>3</v>
      </c>
      <c r="AL8" s="326">
        <v>3</v>
      </c>
      <c r="AM8" s="326">
        <v>3</v>
      </c>
      <c r="AN8" s="292" t="s">
        <v>685</v>
      </c>
      <c r="AO8" s="292" t="s">
        <v>685</v>
      </c>
      <c r="AP8" s="292" t="s">
        <v>685</v>
      </c>
      <c r="AQ8" s="292" t="s">
        <v>685</v>
      </c>
      <c r="AR8" s="292" t="s">
        <v>685</v>
      </c>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row>
    <row r="9" spans="1:77" s="113" customFormat="1" ht="11.25" hidden="1" customHeight="1" x14ac:dyDescent="0.2">
      <c r="A9" s="437"/>
      <c r="B9" s="438"/>
      <c r="C9" s="434"/>
      <c r="D9" s="434"/>
      <c r="E9" s="434"/>
      <c r="F9" s="435"/>
      <c r="G9" s="436"/>
      <c r="H9" s="435"/>
      <c r="I9" s="435"/>
      <c r="J9" s="439"/>
      <c r="K9" s="430"/>
      <c r="L9" s="431"/>
      <c r="M9" s="432"/>
      <c r="N9" s="431">
        <f t="shared" ca="1" si="2"/>
        <v>0</v>
      </c>
      <c r="O9" s="430"/>
      <c r="P9" s="431"/>
      <c r="Q9" s="433"/>
      <c r="R9" s="316">
        <v>3</v>
      </c>
      <c r="S9" s="330"/>
      <c r="T9" s="312"/>
      <c r="U9" s="208" t="str">
        <f>IF(OR(V9="Preventivo",V9="Detectivo"),"Probabilidad",IF(V9="Correctivo","Impacto",""))</f>
        <v/>
      </c>
      <c r="V9" s="237"/>
      <c r="W9" s="237"/>
      <c r="X9" s="209" t="str">
        <f>IF(AND(V9="Preventivo",W9="Automático"),"50%",IF(AND(V9="Preventivo",W9="Manual"),"40%",IF(AND(V9="Detectivo",W9="Automático"),"40%",IF(AND(V9="Detectivo",W9="Manual"),"30%",IF(AND(V9="Correctivo",W9="Automático"),"35%",IF(AND(V9="Correctivo",W9="Manual"),"25%",""))))))</f>
        <v/>
      </c>
      <c r="Y9" s="237"/>
      <c r="Z9" s="237"/>
      <c r="AA9" s="237"/>
      <c r="AB9" s="210" t="str">
        <f t="shared" ref="AB9:AB12" si="6">IFERROR(IF(AND(U8="Probabilidad",U9="Probabilidad"),(AD8-(+AD8*X9)),IF(AND(U8="Impacto",U9="Probabilidad"),(AD7-(+AD7*X9)),IF(U9="Impacto",AD8,""))),"")</f>
        <v/>
      </c>
      <c r="AC9" s="211" t="str">
        <f t="shared" ref="AC9:AC12" si="7">IFERROR(IF(AB9="","",IF(AB9&lt;=0.2,"Muy Baja",IF(AB9&lt;=0.4,"Baja",IF(AB9&lt;=0.6,"Media",IF(AB9&lt;=0.8,"Alta","Muy Alta"))))),"")</f>
        <v/>
      </c>
      <c r="AD9" s="209" t="str">
        <f t="shared" si="3"/>
        <v/>
      </c>
      <c r="AE9" s="211" t="str">
        <f t="shared" si="4"/>
        <v/>
      </c>
      <c r="AF9" s="209" t="str">
        <f>IFERROR(IF(AND(U8="Impacto",U9="Impacto"),(AF8-(+AF8*X9)),IF(U9="Impacto",($P$31-(+$P$31*X9)),IF(U9="Probabilidad",AF8,""))),"")</f>
        <v/>
      </c>
      <c r="AG9" s="212" t="str">
        <f t="shared" si="5"/>
        <v/>
      </c>
      <c r="AH9" s="237"/>
      <c r="AI9" s="318"/>
      <c r="AJ9" s="318"/>
      <c r="AK9" s="318"/>
      <c r="AL9" s="318"/>
      <c r="AM9" s="318"/>
      <c r="AN9" s="254"/>
      <c r="AO9" s="254"/>
      <c r="AP9" s="259"/>
      <c r="AQ9" s="220"/>
      <c r="AR9" s="254"/>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row>
    <row r="10" spans="1:77" s="113" customFormat="1" ht="11.25" hidden="1" customHeight="1" x14ac:dyDescent="0.2">
      <c r="A10" s="437"/>
      <c r="B10" s="438"/>
      <c r="C10" s="434"/>
      <c r="D10" s="434"/>
      <c r="E10" s="434"/>
      <c r="F10" s="435"/>
      <c r="G10" s="436"/>
      <c r="H10" s="435"/>
      <c r="I10" s="435"/>
      <c r="J10" s="439"/>
      <c r="K10" s="430"/>
      <c r="L10" s="431"/>
      <c r="M10" s="432"/>
      <c r="N10" s="431">
        <f t="shared" ca="1" si="2"/>
        <v>0</v>
      </c>
      <c r="O10" s="430"/>
      <c r="P10" s="431"/>
      <c r="Q10" s="433"/>
      <c r="R10" s="316">
        <v>4</v>
      </c>
      <c r="S10" s="330"/>
      <c r="T10" s="312"/>
      <c r="U10" s="208" t="str">
        <f t="shared" ref="U10:U12" si="8">IF(OR(V10="Preventivo",V10="Detectivo"),"Probabilidad",IF(V10="Correctivo","Impacto",""))</f>
        <v/>
      </c>
      <c r="V10" s="237"/>
      <c r="W10" s="237"/>
      <c r="X10" s="209" t="str">
        <f t="shared" ref="X10:X12" si="9">IF(AND(V10="Preventivo",W10="Automático"),"50%",IF(AND(V10="Preventivo",W10="Manual"),"40%",IF(AND(V10="Detectivo",W10="Automático"),"40%",IF(AND(V10="Detectivo",W10="Manual"),"30%",IF(AND(V10="Correctivo",W10="Automático"),"35%",IF(AND(V10="Correctivo",W10="Manual"),"25%",""))))))</f>
        <v/>
      </c>
      <c r="Y10" s="237"/>
      <c r="Z10" s="237"/>
      <c r="AA10" s="237"/>
      <c r="AB10" s="210" t="str">
        <f t="shared" si="6"/>
        <v/>
      </c>
      <c r="AC10" s="211" t="str">
        <f t="shared" si="7"/>
        <v/>
      </c>
      <c r="AD10" s="209" t="str">
        <f t="shared" si="3"/>
        <v/>
      </c>
      <c r="AE10" s="211" t="str">
        <f t="shared" si="4"/>
        <v/>
      </c>
      <c r="AF10" s="209" t="str">
        <f>IFERROR(IF(AND(U9="Impacto",U10="Impacto"),(AF9-(+AF9*X10)),IF(U10="Impacto",($P$31-(+$P$31*X10)),IF(U10="Probabilidad",AF9,""))),"")</f>
        <v/>
      </c>
      <c r="AG10" s="212" t="str">
        <f>IFERROR(IF(OR(AND(AC10="Muy Baja",AE10="Leve"),AND(AC10="Muy Baja",AE10="Menor"),AND(AC10="Baja",AE10="Leve")),"Bajo",IF(OR(AND(AC10="Muy baja",AE10="Moderado"),AND(AC10="Baja",AE10="Menor"),AND(AC10="Baja",AE10="Moderado"),AND(AC10="Media",AE10="Leve"),AND(AC10="Media",AE10="Menor"),AND(AC10="Media",AE10="Moderado"),AND(AC10="Alta",AE10="Leve"),AND(AC10="Alta",AE10="Menor")),"Moderado",IF(OR(AND(AC10="Muy Baja",AE10="Mayor"),AND(AC10="Baja",AE10="Mayor"),AND(AC10="Media",AE10="Mayor"),AND(AC10="Alta",AE10="Moderado"),AND(AC10="Alta",AE10="Mayor"),AND(AC10="Muy Alta",AE10="Leve"),AND(AC10="Muy Alta",AE10="Menor"),AND(AC10="Muy Alta",AE10="Moderado"),AND(AC10="Muy Alta",AE10="Mayor")),"Alto",IF(OR(AND(AC10="Muy Baja",AE10="Catastrófico"),AND(AC10="Baja",AE10="Catastrófico"),AND(AC10="Media",AE10="Catastrófico"),AND(AC10="Alta",AE10="Catastrófico"),AND(AC10="Muy Alta",AE10="Catastrófico")),"Extremo","")))),"")</f>
        <v/>
      </c>
      <c r="AH10" s="237"/>
      <c r="AI10" s="318"/>
      <c r="AJ10" s="318"/>
      <c r="AK10" s="318"/>
      <c r="AL10" s="318"/>
      <c r="AM10" s="318"/>
      <c r="AN10" s="213"/>
      <c r="AO10" s="213"/>
      <c r="AP10" s="256"/>
      <c r="AQ10" s="220"/>
      <c r="AR10" s="21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row>
    <row r="11" spans="1:77" s="113" customFormat="1" ht="11.25" hidden="1" customHeight="1" x14ac:dyDescent="0.2">
      <c r="A11" s="437"/>
      <c r="B11" s="438"/>
      <c r="C11" s="434"/>
      <c r="D11" s="434"/>
      <c r="E11" s="434"/>
      <c r="F11" s="435"/>
      <c r="G11" s="436"/>
      <c r="H11" s="435"/>
      <c r="I11" s="435"/>
      <c r="J11" s="439"/>
      <c r="K11" s="430"/>
      <c r="L11" s="431"/>
      <c r="M11" s="432"/>
      <c r="N11" s="431">
        <f ca="1">IF(NOT(ISERROR(MATCH(M11,_xlfn.ANCHORARRAY(G22),0))),L24&amp;"Por favor no seleccionar los criterios de impacto",M11)</f>
        <v>0</v>
      </c>
      <c r="O11" s="430"/>
      <c r="P11" s="431"/>
      <c r="Q11" s="433"/>
      <c r="R11" s="316">
        <v>5</v>
      </c>
      <c r="S11" s="330"/>
      <c r="T11" s="312"/>
      <c r="U11" s="208" t="str">
        <f t="shared" si="8"/>
        <v/>
      </c>
      <c r="V11" s="237"/>
      <c r="W11" s="237"/>
      <c r="X11" s="209" t="str">
        <f t="shared" si="9"/>
        <v/>
      </c>
      <c r="Y11" s="237"/>
      <c r="Z11" s="237"/>
      <c r="AA11" s="237"/>
      <c r="AB11" s="210" t="str">
        <f t="shared" si="6"/>
        <v/>
      </c>
      <c r="AC11" s="211" t="str">
        <f t="shared" si="7"/>
        <v/>
      </c>
      <c r="AD11" s="209" t="str">
        <f t="shared" si="3"/>
        <v/>
      </c>
      <c r="AE11" s="211" t="str">
        <f t="shared" si="4"/>
        <v/>
      </c>
      <c r="AF11" s="209" t="str">
        <f>IFERROR(IF(AND(U10="Impacto",U11="Impacto"),(AF10-(+AF10*X11)),IF(U11="Impacto",($P$31-(+$P$31*X11)),IF(U11="Probabilidad",AF10,""))),"")</f>
        <v/>
      </c>
      <c r="AG11" s="212" t="str">
        <f t="shared" ref="AG11:AG12" si="10">IFERROR(IF(OR(AND(AC11="Muy Baja",AE11="Leve"),AND(AC11="Muy Baja",AE11="Menor"),AND(AC11="Baja",AE11="Leve")),"Bajo",IF(OR(AND(AC11="Muy baja",AE11="Moderado"),AND(AC11="Baja",AE11="Menor"),AND(AC11="Baja",AE11="Moderado"),AND(AC11="Media",AE11="Leve"),AND(AC11="Media",AE11="Menor"),AND(AC11="Media",AE11="Moderado"),AND(AC11="Alta",AE11="Leve"),AND(AC11="Alta",AE11="Menor")),"Moderado",IF(OR(AND(AC11="Muy Baja",AE11="Mayor"),AND(AC11="Baja",AE11="Mayor"),AND(AC11="Media",AE11="Mayor"),AND(AC11="Alta",AE11="Moderado"),AND(AC11="Alta",AE11="Mayor"),AND(AC11="Muy Alta",AE11="Leve"),AND(AC11="Muy Alta",AE11="Menor"),AND(AC11="Muy Alta",AE11="Moderado"),AND(AC11="Muy Alta",AE11="Mayor")),"Alto",IF(OR(AND(AC11="Muy Baja",AE11="Catastrófico"),AND(AC11="Baja",AE11="Catastrófico"),AND(AC11="Media",AE11="Catastrófico"),AND(AC11="Alta",AE11="Catastrófico"),AND(AC11="Muy Alta",AE11="Catastrófico")),"Extremo","")))),"")</f>
        <v/>
      </c>
      <c r="AH11" s="237"/>
      <c r="AI11" s="318"/>
      <c r="AJ11" s="318"/>
      <c r="AK11" s="318"/>
      <c r="AL11" s="318"/>
      <c r="AM11" s="318"/>
      <c r="AN11" s="253"/>
      <c r="AO11" s="253"/>
      <c r="AP11" s="255"/>
      <c r="AQ11" s="216"/>
      <c r="AR11" s="216"/>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row>
    <row r="12" spans="1:77" s="113" customFormat="1" ht="11.25" hidden="1" customHeight="1" x14ac:dyDescent="0.2">
      <c r="A12" s="437"/>
      <c r="B12" s="438"/>
      <c r="C12" s="434"/>
      <c r="D12" s="434"/>
      <c r="E12" s="434"/>
      <c r="F12" s="435"/>
      <c r="G12" s="436"/>
      <c r="H12" s="435"/>
      <c r="I12" s="435"/>
      <c r="J12" s="439"/>
      <c r="K12" s="430"/>
      <c r="L12" s="431"/>
      <c r="M12" s="432"/>
      <c r="N12" s="431">
        <f ca="1">IF(NOT(ISERROR(MATCH(M12,_xlfn.ANCHORARRAY(G23),0))),L25&amp;"Por favor no seleccionar los criterios de impacto",M12)</f>
        <v>0</v>
      </c>
      <c r="O12" s="430"/>
      <c r="P12" s="431"/>
      <c r="Q12" s="433"/>
      <c r="R12" s="316">
        <v>6</v>
      </c>
      <c r="S12" s="330"/>
      <c r="T12" s="312"/>
      <c r="U12" s="208" t="str">
        <f t="shared" si="8"/>
        <v/>
      </c>
      <c r="V12" s="237"/>
      <c r="W12" s="237"/>
      <c r="X12" s="209" t="str">
        <f t="shared" si="9"/>
        <v/>
      </c>
      <c r="Y12" s="237"/>
      <c r="Z12" s="237"/>
      <c r="AA12" s="237"/>
      <c r="AB12" s="210" t="str">
        <f t="shared" si="6"/>
        <v/>
      </c>
      <c r="AC12" s="211" t="str">
        <f t="shared" si="7"/>
        <v/>
      </c>
      <c r="AD12" s="209" t="str">
        <f t="shared" si="3"/>
        <v/>
      </c>
      <c r="AE12" s="211" t="str">
        <f t="shared" si="4"/>
        <v/>
      </c>
      <c r="AF12" s="209" t="str">
        <f>IFERROR(IF(AND(U11="Impacto",U12="Impacto"),(AF11-(+AF11*X12)),IF(U12="Impacto",($P$31-(+$P$31*X12)),IF(U12="Probabilidad",AF11,""))),"")</f>
        <v/>
      </c>
      <c r="AG12" s="212" t="str">
        <f t="shared" si="10"/>
        <v/>
      </c>
      <c r="AH12" s="237"/>
      <c r="AI12" s="318"/>
      <c r="AJ12" s="318"/>
      <c r="AK12" s="318"/>
      <c r="AL12" s="318"/>
      <c r="AM12" s="318"/>
      <c r="AN12" s="253"/>
      <c r="AO12" s="253"/>
      <c r="AP12" s="255"/>
      <c r="AQ12" s="216"/>
      <c r="AR12" s="216"/>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row>
    <row r="13" spans="1:77" s="271" customFormat="1" ht="120.6" customHeight="1" x14ac:dyDescent="0.2">
      <c r="A13" s="437" t="s">
        <v>705</v>
      </c>
      <c r="B13" s="438" t="s">
        <v>590</v>
      </c>
      <c r="C13" s="434" t="s">
        <v>620</v>
      </c>
      <c r="D13" s="434" t="s">
        <v>107</v>
      </c>
      <c r="E13" s="434" t="s">
        <v>703</v>
      </c>
      <c r="F13" s="435" t="s">
        <v>685</v>
      </c>
      <c r="G13" s="436" t="s">
        <v>702</v>
      </c>
      <c r="H13" s="435" t="s">
        <v>655</v>
      </c>
      <c r="I13" s="435" t="s">
        <v>1064</v>
      </c>
      <c r="J13" s="439">
        <v>3</v>
      </c>
      <c r="K13" s="430" t="str">
        <f t="shared" ref="K13" si="11">IF(J13&lt;=0,"",IF(J13&lt;=2,"Muy Baja",IF(J13&lt;=24,"Baja",IF(J13&lt;=500,"Media",IF(J13&lt;=5000,"Alta","Muy Alta")))))</f>
        <v>Baja</v>
      </c>
      <c r="L13" s="431">
        <f>IF(K13="","",IF(K13="Muy Baja",0.2,IF(K13="Baja",0.4,IF(K13="Media",0.6,IF(K13="Alta",0.8,IF(K13="Muy Alta",1,))))))</f>
        <v>0.4</v>
      </c>
      <c r="M13" s="432" t="s">
        <v>121</v>
      </c>
      <c r="N13" s="431"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430" t="str">
        <f ca="1">IF(OR(N13='Tabla Impacto'!$C$11,N13='Tabla Impacto'!$D$11),"Leve",IF(OR(N13='Tabla Impacto'!$C$12,N13='Tabla Impacto'!$D$12),"Menor",IF(OR(N13='Tabla Impacto'!$C$13,N13='Tabla Impacto'!$D$13),"Moderado",IF(OR(N13='Tabla Impacto'!$C$14,N13='Tabla Impacto'!$D$14),"Mayor",IF(OR(N13='Tabla Impacto'!$C$15,N13='Tabla Impacto'!$D$15),"Catastrófico","")))))</f>
        <v>Moderado</v>
      </c>
      <c r="P13" s="431">
        <f ca="1">IF(O13="","",IF(O13="Leve",0.2,IF(O13="Menor",0.4,IF(O13="Moderado",0.6,IF(O13="Mayor",0.8,IF(O13="Catastrófico",1,))))))</f>
        <v>0.6</v>
      </c>
      <c r="Q13" s="433"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Moderado</v>
      </c>
      <c r="R13" s="261">
        <v>1</v>
      </c>
      <c r="S13" s="334" t="s">
        <v>706</v>
      </c>
      <c r="T13" s="272" t="s">
        <v>293</v>
      </c>
      <c r="U13" s="262" t="str">
        <f>IF(OR(V13="Preventivo",V13="Detectivo"),"Probabilidad",IF(V13="Correctivo","Impacto",""))</f>
        <v>Probabilidad</v>
      </c>
      <c r="V13" s="263" t="s">
        <v>13</v>
      </c>
      <c r="W13" s="263" t="s">
        <v>8</v>
      </c>
      <c r="X13" s="264" t="str">
        <f t="shared" ref="X13:X14" si="12">IF(AND(V13="Preventivo",W13="Automático"),"50%",IF(AND(V13="Preventivo",W13="Manual"),"40%",IF(AND(V13="Detectivo",W13="Automático"),"40%",IF(AND(V13="Detectivo",W13="Manual"),"30%",IF(AND(V13="Correctivo",W13="Automático"),"35%",IF(AND(V13="Correctivo",W13="Manual"),"25%",""))))))</f>
        <v>40%</v>
      </c>
      <c r="Y13" s="263" t="s">
        <v>18</v>
      </c>
      <c r="Z13" s="263" t="s">
        <v>21</v>
      </c>
      <c r="AA13" s="263" t="s">
        <v>103</v>
      </c>
      <c r="AB13" s="265">
        <f t="shared" ref="AB13" si="13">IFERROR(IF(U13="Probabilidad",(L13-(+L13*X13)),IF(U13="Impacto",L13,"")),"")</f>
        <v>0.24</v>
      </c>
      <c r="AC13" s="266" t="str">
        <f>IFERROR(IF(AB13="","",IF(AB13&lt;=0.2,"Muy Baja",IF(AB13&lt;=0.4,"Baja",IF(AB13&lt;=0.6,"Media",IF(AB13&lt;=0.8,"Alta","Muy Alta"))))),"")</f>
        <v>Baja</v>
      </c>
      <c r="AD13" s="264">
        <f>+AB13</f>
        <v>0.24</v>
      </c>
      <c r="AE13" s="266" t="str">
        <f ca="1">IFERROR(IF(AF13="","",IF(AF13&lt;=0.2,"Leve",IF(AF13&lt;=0.4,"Menor",IF(AF13&lt;=0.6,"Moderado",IF(AF13&lt;=0.8,"Mayor","Catastrófico"))))),"")</f>
        <v>Moderado</v>
      </c>
      <c r="AF13" s="264">
        <f ca="1">IFERROR(IF(U13="Impacto",(P13-(+P13*X13)),IF(U13="Probabilidad",P13,"")),"")</f>
        <v>0.6</v>
      </c>
      <c r="AG13" s="267" t="str">
        <f ca="1">IFERROR(IF(OR(AND(AC13="Muy Baja",AE13="Leve"),AND(AC13="Muy Baja",AE13="Menor"),AND(AC13="Baja",AE13="Leve")),"Bajo",IF(OR(AND(AC13="Muy baja",AE13="Moderado"),AND(AC13="Baja",AE13="Menor"),AND(AC13="Baja",AE13="Moderado"),AND(AC13="Media",AE13="Leve"),AND(AC13="Media",AE13="Menor"),AND(AC13="Media",AE13="Moderado"),AND(AC13="Alta",AE13="Leve"),AND(AC13="Alta",AE13="Menor")),"Moderado",IF(OR(AND(AC13="Muy Baja",AE13="Mayor"),AND(AC13="Baja",AE13="Mayor"),AND(AC13="Media",AE13="Mayor"),AND(AC13="Alta",AE13="Moderado"),AND(AC13="Alta",AE13="Mayor"),AND(AC13="Muy Alta",AE13="Leve"),AND(AC13="Muy Alta",AE13="Menor"),AND(AC13="Muy Alta",AE13="Moderado"),AND(AC13="Muy Alta",AE13="Mayor")),"Alto",IF(OR(AND(AC13="Muy Baja",AE13="Catastrófico"),AND(AC13="Baja",AE13="Catastrófico"),AND(AC13="Media",AE13="Catastrófico"),AND(AC13="Alta",AE13="Catastrófico"),AND(AC13="Muy Alta",AE13="Catastrófico")),"Extremo","")))),"")</f>
        <v>Moderado</v>
      </c>
      <c r="AH13" s="263" t="s">
        <v>26</v>
      </c>
      <c r="AI13" s="261">
        <v>2</v>
      </c>
      <c r="AJ13" s="261">
        <v>1</v>
      </c>
      <c r="AK13" s="261">
        <v>0</v>
      </c>
      <c r="AL13" s="261">
        <v>1</v>
      </c>
      <c r="AM13" s="261">
        <v>0</v>
      </c>
      <c r="AN13" s="268"/>
      <c r="AO13" s="268"/>
      <c r="AP13" s="258"/>
      <c r="AQ13" s="269"/>
      <c r="AR13" s="270"/>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row>
    <row r="14" spans="1:77" s="113" customFormat="1" ht="112.9" customHeight="1" x14ac:dyDescent="0.2">
      <c r="A14" s="437"/>
      <c r="B14" s="438"/>
      <c r="C14" s="434"/>
      <c r="D14" s="434"/>
      <c r="E14" s="434"/>
      <c r="F14" s="435"/>
      <c r="G14" s="436"/>
      <c r="H14" s="435"/>
      <c r="I14" s="435"/>
      <c r="J14" s="439"/>
      <c r="K14" s="430"/>
      <c r="L14" s="431"/>
      <c r="M14" s="432"/>
      <c r="N14" s="431">
        <f ca="1">IF(NOT(ISERROR(MATCH(M14,_xlfn.ANCHORARRAY(G25),0))),L27&amp;"Por favor no seleccionar los criterios de impacto",M14)</f>
        <v>0</v>
      </c>
      <c r="O14" s="430"/>
      <c r="P14" s="431"/>
      <c r="Q14" s="433"/>
      <c r="R14" s="316">
        <v>2</v>
      </c>
      <c r="S14" s="330" t="s">
        <v>707</v>
      </c>
      <c r="T14" s="312" t="s">
        <v>293</v>
      </c>
      <c r="U14" s="208" t="str">
        <f>IF(OR(V14="Preventivo",V14="Detectivo"),"Probabilidad",IF(V14="Correctivo","Impacto",""))</f>
        <v>Probabilidad</v>
      </c>
      <c r="V14" s="237" t="s">
        <v>13</v>
      </c>
      <c r="W14" s="237" t="s">
        <v>8</v>
      </c>
      <c r="X14" s="209" t="str">
        <f t="shared" si="12"/>
        <v>40%</v>
      </c>
      <c r="Y14" s="237" t="s">
        <v>18</v>
      </c>
      <c r="Z14" s="237" t="s">
        <v>21</v>
      </c>
      <c r="AA14" s="237" t="s">
        <v>103</v>
      </c>
      <c r="AB14" s="210">
        <f t="shared" ref="AB14" si="14">IFERROR(IF(AND(U13="Probabilidad",U14="Probabilidad"),(AD13-(+AD13*X14)),IF(U14="Probabilidad",(L13-(+L13*X14)),IF(U14="Impacto",AD13,""))),"")</f>
        <v>0.14399999999999999</v>
      </c>
      <c r="AC14" s="211" t="str">
        <f t="shared" ref="AC14:AC18" si="15">IFERROR(IF(AB14="","",IF(AB14&lt;=0.2,"Muy Baja",IF(AB14&lt;=0.4,"Baja",IF(AB14&lt;=0.6,"Media",IF(AB14&lt;=0.8,"Alta","Muy Alta"))))),"")</f>
        <v>Muy Baja</v>
      </c>
      <c r="AD14" s="209">
        <f t="shared" ref="AD14:AD18" si="16">+AB14</f>
        <v>0.14399999999999999</v>
      </c>
      <c r="AE14" s="211" t="str">
        <f t="shared" ref="AE14:AE18" ca="1" si="17">IFERROR(IF(AF14="","",IF(AF14&lt;=0.2,"Leve",IF(AF14&lt;=0.4,"Menor",IF(AF14&lt;=0.6,"Moderado",IF(AF14&lt;=0.8,"Mayor","Catastrófico"))))),"")</f>
        <v>Moderado</v>
      </c>
      <c r="AF14" s="209">
        <f ca="1">IFERROR(IF(AND(U13="Impacto",U14="Impacto"),(AF13-(+AF13*X14)),IF(U14="Impacto",($P$31-(+$P$31*X14)),IF(U14="Probabilidad",AF13,""))),"")</f>
        <v>0.6</v>
      </c>
      <c r="AG14" s="212" t="str">
        <f t="shared" ref="AG14:AG15" ca="1" si="18">IFERROR(IF(OR(AND(AC14="Muy Baja",AE14="Leve"),AND(AC14="Muy Baja",AE14="Menor"),AND(AC14="Baja",AE14="Leve")),"Bajo",IF(OR(AND(AC14="Muy baja",AE14="Moderado"),AND(AC14="Baja",AE14="Menor"),AND(AC14="Baja",AE14="Moderado"),AND(AC14="Media",AE14="Leve"),AND(AC14="Media",AE14="Menor"),AND(AC14="Media",AE14="Moderado"),AND(AC14="Alta",AE14="Leve"),AND(AC14="Alta",AE14="Menor")),"Moderado",IF(OR(AND(AC14="Muy Baja",AE14="Mayor"),AND(AC14="Baja",AE14="Mayor"),AND(AC14="Media",AE14="Mayor"),AND(AC14="Alta",AE14="Moderado"),AND(AC14="Alta",AE14="Mayor"),AND(AC14="Muy Alta",AE14="Leve"),AND(AC14="Muy Alta",AE14="Menor"),AND(AC14="Muy Alta",AE14="Moderado"),AND(AC14="Muy Alta",AE14="Mayor")),"Alto",IF(OR(AND(AC14="Muy Baja",AE14="Catastrófico"),AND(AC14="Baja",AE14="Catastrófico"),AND(AC14="Media",AE14="Catastrófico"),AND(AC14="Alta",AE14="Catastrófico"),AND(AC14="Muy Alta",AE14="Catastrófico")),"Extremo","")))),"")</f>
        <v>Moderado</v>
      </c>
      <c r="AH14" s="237" t="s">
        <v>26</v>
      </c>
      <c r="AI14" s="326">
        <v>0</v>
      </c>
      <c r="AJ14" s="326">
        <v>0</v>
      </c>
      <c r="AK14" s="326">
        <v>0</v>
      </c>
      <c r="AL14" s="326">
        <v>0</v>
      </c>
      <c r="AM14" s="326">
        <v>0</v>
      </c>
      <c r="AN14" s="254"/>
      <c r="AO14" s="254"/>
      <c r="AP14" s="259"/>
      <c r="AQ14" s="220"/>
      <c r="AR14" s="254"/>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row>
    <row r="15" spans="1:77" s="113" customFormat="1" ht="114" x14ac:dyDescent="0.2">
      <c r="A15" s="437"/>
      <c r="B15" s="438"/>
      <c r="C15" s="434"/>
      <c r="D15" s="434"/>
      <c r="E15" s="434"/>
      <c r="F15" s="435"/>
      <c r="G15" s="436"/>
      <c r="H15" s="435"/>
      <c r="I15" s="435"/>
      <c r="J15" s="439"/>
      <c r="K15" s="430"/>
      <c r="L15" s="431"/>
      <c r="M15" s="432"/>
      <c r="N15" s="431">
        <f ca="1">IF(NOT(ISERROR(MATCH(M15,_xlfn.ANCHORARRAY(G26),0))),L28&amp;"Por favor no seleccionar los criterios de impacto",M15)</f>
        <v>0</v>
      </c>
      <c r="O15" s="430"/>
      <c r="P15" s="431"/>
      <c r="Q15" s="433"/>
      <c r="R15" s="316">
        <v>3</v>
      </c>
      <c r="S15" s="330" t="s">
        <v>708</v>
      </c>
      <c r="T15" s="312" t="s">
        <v>293</v>
      </c>
      <c r="U15" s="208" t="str">
        <f>IF(OR(V15="Preventivo",V15="Detectivo"),"Probabilidad",IF(V15="Correctivo","Impacto",""))</f>
        <v>Probabilidad</v>
      </c>
      <c r="V15" s="237" t="s">
        <v>13</v>
      </c>
      <c r="W15" s="237" t="s">
        <v>8</v>
      </c>
      <c r="X15" s="209" t="str">
        <f>IF(AND(V15="Preventivo",W15="Automático"),"50%",IF(AND(V15="Preventivo",W15="Manual"),"40%",IF(AND(V15="Detectivo",W15="Automático"),"40%",IF(AND(V15="Detectivo",W15="Manual"),"30%",IF(AND(V15="Correctivo",W15="Automático"),"35%",IF(AND(V15="Correctivo",W15="Manual"),"25%",""))))))</f>
        <v>40%</v>
      </c>
      <c r="Y15" s="237" t="s">
        <v>18</v>
      </c>
      <c r="Z15" s="237" t="s">
        <v>21</v>
      </c>
      <c r="AA15" s="237" t="s">
        <v>103</v>
      </c>
      <c r="AB15" s="210">
        <f t="shared" ref="AB15:AB18" si="19">IFERROR(IF(AND(U14="Probabilidad",U15="Probabilidad"),(AD14-(+AD14*X15)),IF(AND(U14="Impacto",U15="Probabilidad"),(AD13-(+AD13*X15)),IF(U15="Impacto",AD14,""))),"")</f>
        <v>8.6399999999999991E-2</v>
      </c>
      <c r="AC15" s="211" t="str">
        <f t="shared" si="15"/>
        <v>Muy Baja</v>
      </c>
      <c r="AD15" s="209">
        <f t="shared" si="16"/>
        <v>8.6399999999999991E-2</v>
      </c>
      <c r="AE15" s="211" t="str">
        <f t="shared" ca="1" si="17"/>
        <v>Moderado</v>
      </c>
      <c r="AF15" s="209">
        <f ca="1">IFERROR(IF(AND(U14="Impacto",U15="Impacto"),(AF14-(+AF14*X15)),IF(U15="Impacto",($P$31-(+$P$31*X15)),IF(U15="Probabilidad",AF14,""))),"")</f>
        <v>0.6</v>
      </c>
      <c r="AG15" s="212" t="str">
        <f t="shared" ca="1" si="18"/>
        <v>Moderado</v>
      </c>
      <c r="AH15" s="237" t="s">
        <v>26</v>
      </c>
      <c r="AI15" s="326">
        <v>1</v>
      </c>
      <c r="AJ15" s="326">
        <v>0</v>
      </c>
      <c r="AK15" s="326">
        <v>0</v>
      </c>
      <c r="AL15" s="326">
        <v>1</v>
      </c>
      <c r="AM15" s="326">
        <v>0</v>
      </c>
      <c r="AN15" s="254"/>
      <c r="AO15" s="254"/>
      <c r="AP15" s="259"/>
      <c r="AQ15" s="220"/>
      <c r="AR15" s="254"/>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row>
    <row r="16" spans="1:77" s="113" customFormat="1" ht="15.75" hidden="1" customHeight="1" x14ac:dyDescent="0.2">
      <c r="A16" s="437"/>
      <c r="B16" s="438"/>
      <c r="C16" s="434"/>
      <c r="D16" s="434"/>
      <c r="E16" s="434"/>
      <c r="F16" s="435"/>
      <c r="G16" s="436"/>
      <c r="H16" s="435"/>
      <c r="I16" s="435"/>
      <c r="J16" s="439"/>
      <c r="K16" s="430"/>
      <c r="L16" s="431"/>
      <c r="M16" s="432"/>
      <c r="N16" s="431">
        <f ca="1">IF(NOT(ISERROR(MATCH(M16,_xlfn.ANCHORARRAY(G27),0))),L29&amp;"Por favor no seleccionar los criterios de impacto",M16)</f>
        <v>0</v>
      </c>
      <c r="O16" s="430"/>
      <c r="P16" s="431"/>
      <c r="Q16" s="433"/>
      <c r="R16" s="316">
        <v>4</v>
      </c>
      <c r="S16" s="330"/>
      <c r="T16" s="312"/>
      <c r="U16" s="208" t="str">
        <f t="shared" ref="U16:U18" si="20">IF(OR(V16="Preventivo",V16="Detectivo"),"Probabilidad",IF(V16="Correctivo","Impacto",""))</f>
        <v/>
      </c>
      <c r="V16" s="237"/>
      <c r="W16" s="237"/>
      <c r="X16" s="209" t="str">
        <f t="shared" ref="X16:X18" si="21">IF(AND(V16="Preventivo",W16="Automático"),"50%",IF(AND(V16="Preventivo",W16="Manual"),"40%",IF(AND(V16="Detectivo",W16="Automático"),"40%",IF(AND(V16="Detectivo",W16="Manual"),"30%",IF(AND(V16="Correctivo",W16="Automático"),"35%",IF(AND(V16="Correctivo",W16="Manual"),"25%",""))))))</f>
        <v/>
      </c>
      <c r="Y16" s="237"/>
      <c r="Z16" s="237"/>
      <c r="AA16" s="237"/>
      <c r="AB16" s="210" t="str">
        <f t="shared" si="19"/>
        <v/>
      </c>
      <c r="AC16" s="211" t="str">
        <f t="shared" si="15"/>
        <v/>
      </c>
      <c r="AD16" s="209" t="str">
        <f t="shared" si="16"/>
        <v/>
      </c>
      <c r="AE16" s="211" t="str">
        <f t="shared" si="17"/>
        <v/>
      </c>
      <c r="AF16" s="209" t="str">
        <f>IFERROR(IF(AND(U15="Impacto",U16="Impacto"),(AF15-(+AF15*X16)),IF(U16="Impacto",($P$31-(+$P$31*X16)),IF(U16="Probabilidad",AF15,""))),"")</f>
        <v/>
      </c>
      <c r="AG16" s="212" t="str">
        <f>IFERROR(IF(OR(AND(AC16="Muy Baja",AE16="Leve"),AND(AC16="Muy Baja",AE16="Menor"),AND(AC16="Baja",AE16="Leve")),"Bajo",IF(OR(AND(AC16="Muy baja",AE16="Moderado"),AND(AC16="Baja",AE16="Menor"),AND(AC16="Baja",AE16="Moderado"),AND(AC16="Media",AE16="Leve"),AND(AC16="Media",AE16="Menor"),AND(AC16="Media",AE16="Moderado"),AND(AC16="Alta",AE16="Leve"),AND(AC16="Alta",AE16="Menor")),"Moderado",IF(OR(AND(AC16="Muy Baja",AE16="Mayor"),AND(AC16="Baja",AE16="Mayor"),AND(AC16="Media",AE16="Mayor"),AND(AC16="Alta",AE16="Moderado"),AND(AC16="Alta",AE16="Mayor"),AND(AC16="Muy Alta",AE16="Leve"),AND(AC16="Muy Alta",AE16="Menor"),AND(AC16="Muy Alta",AE16="Moderado"),AND(AC16="Muy Alta",AE16="Mayor")),"Alto",IF(OR(AND(AC16="Muy Baja",AE16="Catastrófico"),AND(AC16="Baja",AE16="Catastrófico"),AND(AC16="Media",AE16="Catastrófico"),AND(AC16="Alta",AE16="Catastrófico"),AND(AC16="Muy Alta",AE16="Catastrófico")),"Extremo","")))),"")</f>
        <v/>
      </c>
      <c r="AH16" s="237"/>
      <c r="AI16" s="318"/>
      <c r="AJ16" s="318"/>
      <c r="AK16" s="318"/>
      <c r="AL16" s="318"/>
      <c r="AM16" s="318"/>
      <c r="AN16" s="213"/>
      <c r="AO16" s="213"/>
      <c r="AP16" s="256"/>
      <c r="AQ16" s="220"/>
      <c r="AR16" s="21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row>
    <row r="17" spans="1:77" s="113" customFormat="1" ht="15.75" hidden="1" customHeight="1" x14ac:dyDescent="0.2">
      <c r="A17" s="437"/>
      <c r="B17" s="438"/>
      <c r="C17" s="434"/>
      <c r="D17" s="434"/>
      <c r="E17" s="434"/>
      <c r="F17" s="435"/>
      <c r="G17" s="436"/>
      <c r="H17" s="435"/>
      <c r="I17" s="435"/>
      <c r="J17" s="439"/>
      <c r="K17" s="430"/>
      <c r="L17" s="431"/>
      <c r="M17" s="432"/>
      <c r="N17" s="431">
        <f ca="1">IF(NOT(ISERROR(MATCH(M17,_xlfn.ANCHORARRAY(G28),0))),L30&amp;"Por favor no seleccionar los criterios de impacto",M17)</f>
        <v>0</v>
      </c>
      <c r="O17" s="430"/>
      <c r="P17" s="431"/>
      <c r="Q17" s="433"/>
      <c r="R17" s="316">
        <v>5</v>
      </c>
      <c r="S17" s="330"/>
      <c r="T17" s="312"/>
      <c r="U17" s="208" t="str">
        <f t="shared" si="20"/>
        <v/>
      </c>
      <c r="V17" s="237"/>
      <c r="W17" s="237"/>
      <c r="X17" s="209" t="str">
        <f t="shared" si="21"/>
        <v/>
      </c>
      <c r="Y17" s="237"/>
      <c r="Z17" s="237"/>
      <c r="AA17" s="237"/>
      <c r="AB17" s="210" t="str">
        <f t="shared" si="19"/>
        <v/>
      </c>
      <c r="AC17" s="211" t="str">
        <f t="shared" si="15"/>
        <v/>
      </c>
      <c r="AD17" s="209" t="str">
        <f t="shared" si="16"/>
        <v/>
      </c>
      <c r="AE17" s="211" t="str">
        <f t="shared" si="17"/>
        <v/>
      </c>
      <c r="AF17" s="209" t="str">
        <f>IFERROR(IF(AND(U16="Impacto",U17="Impacto"),(AF16-(+AF16*X17)),IF(U17="Impacto",($P$31-(+$P$31*X17)),IF(U17="Probabilidad",AF16,""))),"")</f>
        <v/>
      </c>
      <c r="AG17" s="212" t="str">
        <f t="shared" ref="AG17:AG18" si="22">IFERROR(IF(OR(AND(AC17="Muy Baja",AE17="Leve"),AND(AC17="Muy Baja",AE17="Menor"),AND(AC17="Baja",AE17="Leve")),"Bajo",IF(OR(AND(AC17="Muy baja",AE17="Moderado"),AND(AC17="Baja",AE17="Menor"),AND(AC17="Baja",AE17="Moderado"),AND(AC17="Media",AE17="Leve"),AND(AC17="Media",AE17="Menor"),AND(AC17="Media",AE17="Moderado"),AND(AC17="Alta",AE17="Leve"),AND(AC17="Alta",AE17="Menor")),"Moderado",IF(OR(AND(AC17="Muy Baja",AE17="Mayor"),AND(AC17="Baja",AE17="Mayor"),AND(AC17="Media",AE17="Mayor"),AND(AC17="Alta",AE17="Moderado"),AND(AC17="Alta",AE17="Mayor"),AND(AC17="Muy Alta",AE17="Leve"),AND(AC17="Muy Alta",AE17="Menor"),AND(AC17="Muy Alta",AE17="Moderado"),AND(AC17="Muy Alta",AE17="Mayor")),"Alto",IF(OR(AND(AC17="Muy Baja",AE17="Catastrófico"),AND(AC17="Baja",AE17="Catastrófico"),AND(AC17="Media",AE17="Catastrófico"),AND(AC17="Alta",AE17="Catastrófico"),AND(AC17="Muy Alta",AE17="Catastrófico")),"Extremo","")))),"")</f>
        <v/>
      </c>
      <c r="AH17" s="237"/>
      <c r="AI17" s="318"/>
      <c r="AJ17" s="318"/>
      <c r="AK17" s="318"/>
      <c r="AL17" s="318"/>
      <c r="AM17" s="318"/>
      <c r="AN17" s="253"/>
      <c r="AO17" s="253"/>
      <c r="AP17" s="255"/>
      <c r="AQ17" s="216"/>
      <c r="AR17" s="216"/>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row>
    <row r="18" spans="1:77" s="113" customFormat="1" ht="15.75" hidden="1" customHeight="1" x14ac:dyDescent="0.2">
      <c r="A18" s="437"/>
      <c r="B18" s="438"/>
      <c r="C18" s="434"/>
      <c r="D18" s="434"/>
      <c r="E18" s="434"/>
      <c r="F18" s="435"/>
      <c r="G18" s="436"/>
      <c r="H18" s="435"/>
      <c r="I18" s="435"/>
      <c r="J18" s="439"/>
      <c r="K18" s="430"/>
      <c r="L18" s="431"/>
      <c r="M18" s="432"/>
      <c r="N18" s="431">
        <f ca="1">IF(NOT(ISERROR(MATCH(M18,_xlfn.ANCHORARRAY(G29),0))),L31&amp;"Por favor no seleccionar los criterios de impacto",M18)</f>
        <v>0</v>
      </c>
      <c r="O18" s="430"/>
      <c r="P18" s="431"/>
      <c r="Q18" s="433"/>
      <c r="R18" s="316">
        <v>6</v>
      </c>
      <c r="S18" s="330"/>
      <c r="T18" s="312"/>
      <c r="U18" s="208" t="str">
        <f t="shared" si="20"/>
        <v/>
      </c>
      <c r="V18" s="237"/>
      <c r="W18" s="237"/>
      <c r="X18" s="209" t="str">
        <f t="shared" si="21"/>
        <v/>
      </c>
      <c r="Y18" s="237"/>
      <c r="Z18" s="237"/>
      <c r="AA18" s="237"/>
      <c r="AB18" s="210" t="str">
        <f t="shared" si="19"/>
        <v/>
      </c>
      <c r="AC18" s="211" t="str">
        <f t="shared" si="15"/>
        <v/>
      </c>
      <c r="AD18" s="209" t="str">
        <f t="shared" si="16"/>
        <v/>
      </c>
      <c r="AE18" s="211" t="str">
        <f t="shared" si="17"/>
        <v/>
      </c>
      <c r="AF18" s="209" t="str">
        <f>IFERROR(IF(AND(U17="Impacto",U18="Impacto"),(AF17-(+AF17*X18)),IF(U18="Impacto",($P$31-(+$P$31*X18)),IF(U18="Probabilidad",AF17,""))),"")</f>
        <v/>
      </c>
      <c r="AG18" s="212" t="str">
        <f t="shared" si="22"/>
        <v/>
      </c>
      <c r="AH18" s="237"/>
      <c r="AI18" s="318"/>
      <c r="AJ18" s="318"/>
      <c r="AK18" s="318"/>
      <c r="AL18" s="318"/>
      <c r="AM18" s="318"/>
      <c r="AN18" s="253"/>
      <c r="AO18" s="253"/>
      <c r="AP18" s="255"/>
      <c r="AQ18" s="216"/>
      <c r="AR18" s="216"/>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row>
    <row r="19" spans="1:77" s="271" customFormat="1" ht="142.5" x14ac:dyDescent="0.2">
      <c r="A19" s="437" t="s">
        <v>709</v>
      </c>
      <c r="B19" s="438" t="s">
        <v>590</v>
      </c>
      <c r="C19" s="434" t="s">
        <v>625</v>
      </c>
      <c r="D19" s="434" t="s">
        <v>107</v>
      </c>
      <c r="E19" s="434" t="s">
        <v>747</v>
      </c>
      <c r="F19" s="435" t="s">
        <v>685</v>
      </c>
      <c r="G19" s="436" t="s">
        <v>1065</v>
      </c>
      <c r="H19" s="435" t="s">
        <v>655</v>
      </c>
      <c r="I19" s="435" t="s">
        <v>1066</v>
      </c>
      <c r="J19" s="439">
        <v>12</v>
      </c>
      <c r="K19" s="430" t="str">
        <f t="shared" ref="K19" si="23">IF(J19&lt;=0,"",IF(J19&lt;=2,"Muy Baja",IF(J19&lt;=24,"Baja",IF(J19&lt;=500,"Media",IF(J19&lt;=5000,"Alta","Muy Alta")))))</f>
        <v>Baja</v>
      </c>
      <c r="L19" s="431">
        <f>IF(K19="","",IF(K19="Muy Baja",0.2,IF(K19="Baja",0.4,IF(K19="Media",0.6,IF(K19="Alta",0.8,IF(K19="Muy Alta",1,))))))</f>
        <v>0.4</v>
      </c>
      <c r="M19" s="432" t="s">
        <v>122</v>
      </c>
      <c r="N19" s="431" t="str">
        <f ca="1">IF(NOT(ISERROR(MATCH(M19,'Tabla Impacto'!$B$221:$B$223,0))),'Tabla Impacto'!$F$223&amp;"Por favor no seleccionar los criterios de impacto(Afectación Económica o presupuestal y Pérdida Reputacional)",M19)</f>
        <v xml:space="preserve">     El riesgo afecta la imagen de de la entidad con efecto publicitario sostenido a nivel de sector administrativo, nivel departamental o municipal</v>
      </c>
      <c r="O19" s="430" t="str">
        <f ca="1">IF(OR(N19='Tabla Impacto'!$C$11,N19='Tabla Impacto'!$D$11),"Leve",IF(OR(N19='Tabla Impacto'!$C$12,N19='Tabla Impacto'!$D$12),"Menor",IF(OR(N19='Tabla Impacto'!$C$13,N19='Tabla Impacto'!$D$13),"Moderado",IF(OR(N19='Tabla Impacto'!$C$14,N19='Tabla Impacto'!$D$14),"Mayor",IF(OR(N19='Tabla Impacto'!$C$15,N19='Tabla Impacto'!$D$15),"Catastrófico","")))))</f>
        <v>Mayor</v>
      </c>
      <c r="P19" s="431">
        <f ca="1">IF(O19="","",IF(O19="Leve",0.2,IF(O19="Menor",0.4,IF(O19="Moderado",0.6,IF(O19="Mayor",0.8,IF(O19="Catastrófico",1,))))))</f>
        <v>0.8</v>
      </c>
      <c r="Q19" s="433"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Alto</v>
      </c>
      <c r="R19" s="261">
        <v>1</v>
      </c>
      <c r="S19" s="334" t="s">
        <v>748</v>
      </c>
      <c r="T19" s="272" t="s">
        <v>293</v>
      </c>
      <c r="U19" s="262" t="str">
        <f>IF(OR(V19="Preventivo",V19="Detectivo"),"Probabilidad",IF(V19="Correctivo","Impacto",""))</f>
        <v>Probabilidad</v>
      </c>
      <c r="V19" s="263" t="s">
        <v>13</v>
      </c>
      <c r="W19" s="263" t="s">
        <v>8</v>
      </c>
      <c r="X19" s="264" t="str">
        <f t="shared" ref="X19:X20" si="24">IF(AND(V19="Preventivo",W19="Automático"),"50%",IF(AND(V19="Preventivo",W19="Manual"),"40%",IF(AND(V19="Detectivo",W19="Automático"),"40%",IF(AND(V19="Detectivo",W19="Manual"),"30%",IF(AND(V19="Correctivo",W19="Automático"),"35%",IF(AND(V19="Correctivo",W19="Manual"),"25%",""))))))</f>
        <v>40%</v>
      </c>
      <c r="Y19" s="263" t="s">
        <v>18</v>
      </c>
      <c r="Z19" s="263" t="s">
        <v>21</v>
      </c>
      <c r="AA19" s="263" t="s">
        <v>103</v>
      </c>
      <c r="AB19" s="265">
        <f t="shared" ref="AB19" si="25">IFERROR(IF(U19="Probabilidad",(L19-(+L19*X19)),IF(U19="Impacto",L19,"")),"")</f>
        <v>0.24</v>
      </c>
      <c r="AC19" s="266" t="str">
        <f>IFERROR(IF(AB19="","",IF(AB19&lt;=0.2,"Muy Baja",IF(AB19&lt;=0.4,"Baja",IF(AB19&lt;=0.6,"Media",IF(AB19&lt;=0.8,"Alta","Muy Alta"))))),"")</f>
        <v>Baja</v>
      </c>
      <c r="AD19" s="264">
        <f>+AB19</f>
        <v>0.24</v>
      </c>
      <c r="AE19" s="266" t="str">
        <f ca="1">IFERROR(IF(AF19="","",IF(AF19&lt;=0.2,"Leve",IF(AF19&lt;=0.4,"Menor",IF(AF19&lt;=0.6,"Moderado",IF(AF19&lt;=0.8,"Mayor","Catastrófico"))))),"")</f>
        <v>Mayor</v>
      </c>
      <c r="AF19" s="264">
        <f ca="1">IFERROR(IF(U19="Impacto",(P19-(+P19*X19)),IF(U19="Probabilidad",P19,"")),"")</f>
        <v>0.8</v>
      </c>
      <c r="AG19" s="267" t="str">
        <f ca="1">IFERROR(IF(OR(AND(AC19="Muy Baja",AE19="Leve"),AND(AC19="Muy Baja",AE19="Menor"),AND(AC19="Baja",AE19="Leve")),"Bajo",IF(OR(AND(AC19="Muy baja",AE19="Moderado"),AND(AC19="Baja",AE19="Menor"),AND(AC19="Baja",AE19="Moderado"),AND(AC19="Media",AE19="Leve"),AND(AC19="Media",AE19="Menor"),AND(AC19="Media",AE19="Moderado"),AND(AC19="Alta",AE19="Leve"),AND(AC19="Alta",AE19="Menor")),"Moderado",IF(OR(AND(AC19="Muy Baja",AE19="Mayor"),AND(AC19="Baja",AE19="Mayor"),AND(AC19="Media",AE19="Mayor"),AND(AC19="Alta",AE19="Moderado"),AND(AC19="Alta",AE19="Mayor"),AND(AC19="Muy Alta",AE19="Leve"),AND(AC19="Muy Alta",AE19="Menor"),AND(AC19="Muy Alta",AE19="Moderado"),AND(AC19="Muy Alta",AE19="Mayor")),"Alto",IF(OR(AND(AC19="Muy Baja",AE19="Catastrófico"),AND(AC19="Baja",AE19="Catastrófico"),AND(AC19="Media",AE19="Catastrófico"),AND(AC19="Alta",AE19="Catastrófico"),AND(AC19="Muy Alta",AE19="Catastrófico")),"Extremo","")))),"")</f>
        <v>Alto</v>
      </c>
      <c r="AH19" s="263" t="s">
        <v>26</v>
      </c>
      <c r="AI19" s="326">
        <v>0</v>
      </c>
      <c r="AJ19" s="326">
        <v>0</v>
      </c>
      <c r="AK19" s="326">
        <v>0</v>
      </c>
      <c r="AL19" s="326">
        <v>0</v>
      </c>
      <c r="AM19" s="326">
        <v>0</v>
      </c>
      <c r="AN19" s="268"/>
      <c r="AO19" s="268"/>
      <c r="AP19" s="258"/>
      <c r="AQ19" s="269"/>
      <c r="AR19" s="270"/>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3"/>
    </row>
    <row r="20" spans="1:77" s="113" customFormat="1" ht="128.25" x14ac:dyDescent="0.2">
      <c r="A20" s="437"/>
      <c r="B20" s="438"/>
      <c r="C20" s="434"/>
      <c r="D20" s="434"/>
      <c r="E20" s="434"/>
      <c r="F20" s="435"/>
      <c r="G20" s="436"/>
      <c r="H20" s="435"/>
      <c r="I20" s="435"/>
      <c r="J20" s="439"/>
      <c r="K20" s="430"/>
      <c r="L20" s="431"/>
      <c r="M20" s="432"/>
      <c r="N20" s="431">
        <f ca="1">IF(NOT(ISERROR(MATCH(M20,_xlfn.ANCHORARRAY(G31),0))),L33&amp;"Por favor no seleccionar los criterios de impacto",M20)</f>
        <v>0</v>
      </c>
      <c r="O20" s="430"/>
      <c r="P20" s="431"/>
      <c r="Q20" s="433"/>
      <c r="R20" s="316">
        <v>2</v>
      </c>
      <c r="S20" s="330" t="s">
        <v>749</v>
      </c>
      <c r="T20" s="312" t="s">
        <v>293</v>
      </c>
      <c r="U20" s="208" t="str">
        <f>IF(OR(V20="Preventivo",V20="Detectivo"),"Probabilidad",IF(V20="Correctivo","Impacto",""))</f>
        <v>Probabilidad</v>
      </c>
      <c r="V20" s="237" t="s">
        <v>13</v>
      </c>
      <c r="W20" s="237" t="s">
        <v>8</v>
      </c>
      <c r="X20" s="209" t="str">
        <f t="shared" si="24"/>
        <v>40%</v>
      </c>
      <c r="Y20" s="237" t="s">
        <v>18</v>
      </c>
      <c r="Z20" s="237" t="s">
        <v>21</v>
      </c>
      <c r="AA20" s="237" t="s">
        <v>103</v>
      </c>
      <c r="AB20" s="210">
        <f t="shared" ref="AB20" si="26">IFERROR(IF(AND(U19="Probabilidad",U20="Probabilidad"),(AD19-(+AD19*X20)),IF(U20="Probabilidad",(L19-(+L19*X20)),IF(U20="Impacto",AD19,""))),"")</f>
        <v>0.14399999999999999</v>
      </c>
      <c r="AC20" s="211" t="str">
        <f t="shared" ref="AC20:AC24" si="27">IFERROR(IF(AB20="","",IF(AB20&lt;=0.2,"Muy Baja",IF(AB20&lt;=0.4,"Baja",IF(AB20&lt;=0.6,"Media",IF(AB20&lt;=0.8,"Alta","Muy Alta"))))),"")</f>
        <v>Muy Baja</v>
      </c>
      <c r="AD20" s="209">
        <f t="shared" ref="AD20:AD24" si="28">+AB20</f>
        <v>0.14399999999999999</v>
      </c>
      <c r="AE20" s="211" t="str">
        <f t="shared" ref="AE20:AE24" ca="1" si="29">IFERROR(IF(AF20="","",IF(AF20&lt;=0.2,"Leve",IF(AF20&lt;=0.4,"Menor",IF(AF20&lt;=0.6,"Moderado",IF(AF20&lt;=0.8,"Mayor","Catastrófico"))))),"")</f>
        <v>Mayor</v>
      </c>
      <c r="AF20" s="209">
        <f ca="1">IFERROR(IF(AND(U19="Impacto",U20="Impacto"),(AF19-(+AF19*X20)),IF(U20="Impacto",($P$31-(+$P$31*X20)),IF(U20="Probabilidad",AF19,""))),"")</f>
        <v>0.8</v>
      </c>
      <c r="AG20" s="212" t="str">
        <f t="shared" ref="AG20:AG21" ca="1" si="30">IFERROR(IF(OR(AND(AC20="Muy Baja",AE20="Leve"),AND(AC20="Muy Baja",AE20="Menor"),AND(AC20="Baja",AE20="Leve")),"Bajo",IF(OR(AND(AC20="Muy baja",AE20="Moderado"),AND(AC20="Baja",AE20="Menor"),AND(AC20="Baja",AE20="Moderado"),AND(AC20="Media",AE20="Leve"),AND(AC20="Media",AE20="Menor"),AND(AC20="Media",AE20="Moderado"),AND(AC20="Alta",AE20="Leve"),AND(AC20="Alta",AE20="Menor")),"Moderado",IF(OR(AND(AC20="Muy Baja",AE20="Mayor"),AND(AC20="Baja",AE20="Mayor"),AND(AC20="Media",AE20="Mayor"),AND(AC20="Alta",AE20="Moderado"),AND(AC20="Alta",AE20="Mayor"),AND(AC20="Muy Alta",AE20="Leve"),AND(AC20="Muy Alta",AE20="Menor"),AND(AC20="Muy Alta",AE20="Moderado"),AND(AC20="Muy Alta",AE20="Mayor")),"Alto",IF(OR(AND(AC20="Muy Baja",AE20="Catastrófico"),AND(AC20="Baja",AE20="Catastrófico"),AND(AC20="Media",AE20="Catastrófico"),AND(AC20="Alta",AE20="Catastrófico"),AND(AC20="Muy Alta",AE20="Catastrófico")),"Extremo","")))),"")</f>
        <v>Alto</v>
      </c>
      <c r="AH20" s="237" t="s">
        <v>26</v>
      </c>
      <c r="AI20" s="326">
        <v>1</v>
      </c>
      <c r="AJ20" s="326">
        <v>0</v>
      </c>
      <c r="AK20" s="326">
        <v>0</v>
      </c>
      <c r="AL20" s="326">
        <v>0</v>
      </c>
      <c r="AM20" s="326">
        <v>1</v>
      </c>
      <c r="AN20" s="254"/>
      <c r="AO20" s="254"/>
      <c r="AP20" s="259"/>
      <c r="AQ20" s="220"/>
      <c r="AR20" s="254"/>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row>
    <row r="21" spans="1:77" s="113" customFormat="1" ht="9" hidden="1" customHeight="1" x14ac:dyDescent="0.2">
      <c r="A21" s="437"/>
      <c r="B21" s="438"/>
      <c r="C21" s="434"/>
      <c r="D21" s="434"/>
      <c r="E21" s="434"/>
      <c r="F21" s="435"/>
      <c r="G21" s="436"/>
      <c r="H21" s="435"/>
      <c r="I21" s="435"/>
      <c r="J21" s="439"/>
      <c r="K21" s="430"/>
      <c r="L21" s="431"/>
      <c r="M21" s="432"/>
      <c r="N21" s="431">
        <f ca="1">IF(NOT(ISERROR(MATCH(M21,_xlfn.ANCHORARRAY(G32),0))),L34&amp;"Por favor no seleccionar los criterios de impacto",M21)</f>
        <v>0</v>
      </c>
      <c r="O21" s="430"/>
      <c r="P21" s="431"/>
      <c r="Q21" s="433"/>
      <c r="R21" s="316">
        <v>3</v>
      </c>
      <c r="S21" s="330"/>
      <c r="T21" s="312"/>
      <c r="U21" s="208" t="str">
        <f>IF(OR(V21="Preventivo",V21="Detectivo"),"Probabilidad",IF(V21="Correctivo","Impacto",""))</f>
        <v/>
      </c>
      <c r="V21" s="237"/>
      <c r="W21" s="237"/>
      <c r="X21" s="209" t="str">
        <f>IF(AND(V21="Preventivo",W21="Automático"),"50%",IF(AND(V21="Preventivo",W21="Manual"),"40%",IF(AND(V21="Detectivo",W21="Automático"),"40%",IF(AND(V21="Detectivo",W21="Manual"),"30%",IF(AND(V21="Correctivo",W21="Automático"),"35%",IF(AND(V21="Correctivo",W21="Manual"),"25%",""))))))</f>
        <v/>
      </c>
      <c r="Y21" s="237"/>
      <c r="Z21" s="237"/>
      <c r="AA21" s="237"/>
      <c r="AB21" s="210" t="str">
        <f t="shared" ref="AB21:AB23" si="31">IFERROR(IF(AND(U20="Probabilidad",U21="Probabilidad"),(AD20-(+AD20*X21)),IF(AND(U20="Impacto",U21="Probabilidad"),(AD19-(+AD19*X21)),IF(U21="Impacto",AD20,""))),"")</f>
        <v/>
      </c>
      <c r="AC21" s="211" t="str">
        <f t="shared" si="27"/>
        <v/>
      </c>
      <c r="AD21" s="209" t="str">
        <f t="shared" si="28"/>
        <v/>
      </c>
      <c r="AE21" s="211" t="str">
        <f t="shared" si="29"/>
        <v/>
      </c>
      <c r="AF21" s="209" t="str">
        <f>IFERROR(IF(AND(U20="Impacto",U21="Impacto"),(AF20-(+AF20*X21)),IF(U21="Impacto",($P$31-(+$P$31*X21)),IF(U21="Probabilidad",AF20,""))),"")</f>
        <v/>
      </c>
      <c r="AG21" s="212" t="str">
        <f t="shared" si="30"/>
        <v/>
      </c>
      <c r="AH21" s="237"/>
      <c r="AI21" s="318"/>
      <c r="AJ21" s="318"/>
      <c r="AK21" s="318"/>
      <c r="AL21" s="318"/>
      <c r="AM21" s="318"/>
      <c r="AN21" s="254"/>
      <c r="AO21" s="254"/>
      <c r="AP21" s="259"/>
      <c r="AQ21" s="220"/>
      <c r="AR21" s="254"/>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row>
    <row r="22" spans="1:77" s="113" customFormat="1" ht="9" hidden="1" customHeight="1" x14ac:dyDescent="0.2">
      <c r="A22" s="437"/>
      <c r="B22" s="438"/>
      <c r="C22" s="434"/>
      <c r="D22" s="434"/>
      <c r="E22" s="434"/>
      <c r="F22" s="435"/>
      <c r="G22" s="436"/>
      <c r="H22" s="435"/>
      <c r="I22" s="435"/>
      <c r="J22" s="439"/>
      <c r="K22" s="430"/>
      <c r="L22" s="431"/>
      <c r="M22" s="432"/>
      <c r="N22" s="431">
        <f ca="1">IF(NOT(ISERROR(MATCH(M22,_xlfn.ANCHORARRAY(G33),0))),L35&amp;"Por favor no seleccionar los criterios de impacto",M22)</f>
        <v>0</v>
      </c>
      <c r="O22" s="430"/>
      <c r="P22" s="431"/>
      <c r="Q22" s="433"/>
      <c r="R22" s="316">
        <v>4</v>
      </c>
      <c r="S22" s="330"/>
      <c r="T22" s="312"/>
      <c r="U22" s="208" t="str">
        <f t="shared" ref="U22:U24" si="32">IF(OR(V22="Preventivo",V22="Detectivo"),"Probabilidad",IF(V22="Correctivo","Impacto",""))</f>
        <v/>
      </c>
      <c r="V22" s="237"/>
      <c r="W22" s="237"/>
      <c r="X22" s="209" t="str">
        <f t="shared" ref="X22:X24" si="33">IF(AND(V22="Preventivo",W22="Automático"),"50%",IF(AND(V22="Preventivo",W22="Manual"),"40%",IF(AND(V22="Detectivo",W22="Automático"),"40%",IF(AND(V22="Detectivo",W22="Manual"),"30%",IF(AND(V22="Correctivo",W22="Automático"),"35%",IF(AND(V22="Correctivo",W22="Manual"),"25%",""))))))</f>
        <v/>
      </c>
      <c r="Y22" s="237"/>
      <c r="Z22" s="237"/>
      <c r="AA22" s="237"/>
      <c r="AB22" s="210" t="str">
        <f t="shared" si="31"/>
        <v/>
      </c>
      <c r="AC22" s="211" t="str">
        <f t="shared" si="27"/>
        <v/>
      </c>
      <c r="AD22" s="209" t="str">
        <f t="shared" si="28"/>
        <v/>
      </c>
      <c r="AE22" s="211" t="str">
        <f t="shared" si="29"/>
        <v/>
      </c>
      <c r="AF22" s="209" t="str">
        <f>IFERROR(IF(AND(U21="Impacto",U22="Impacto"),(AF21-(+AF21*X22)),IF(U22="Impacto",($P$31-(+$P$31*X22)),IF(U22="Probabilidad",AF21,""))),"")</f>
        <v/>
      </c>
      <c r="AG22" s="212" t="str">
        <f>IFERROR(IF(OR(AND(AC22="Muy Baja",AE22="Leve"),AND(AC22="Muy Baja",AE22="Menor"),AND(AC22="Baja",AE22="Leve")),"Bajo",IF(OR(AND(AC22="Muy baja",AE22="Moderado"),AND(AC22="Baja",AE22="Menor"),AND(AC22="Baja",AE22="Moderado"),AND(AC22="Media",AE22="Leve"),AND(AC22="Media",AE22="Menor"),AND(AC22="Media",AE22="Moderado"),AND(AC22="Alta",AE22="Leve"),AND(AC22="Alta",AE22="Menor")),"Moderado",IF(OR(AND(AC22="Muy Baja",AE22="Mayor"),AND(AC22="Baja",AE22="Mayor"),AND(AC22="Media",AE22="Mayor"),AND(AC22="Alta",AE22="Moderado"),AND(AC22="Alta",AE22="Mayor"),AND(AC22="Muy Alta",AE22="Leve"),AND(AC22="Muy Alta",AE22="Menor"),AND(AC22="Muy Alta",AE22="Moderado"),AND(AC22="Muy Alta",AE22="Mayor")),"Alto",IF(OR(AND(AC22="Muy Baja",AE22="Catastrófico"),AND(AC22="Baja",AE22="Catastrófico"),AND(AC22="Media",AE22="Catastrófico"),AND(AC22="Alta",AE22="Catastrófico"),AND(AC22="Muy Alta",AE22="Catastrófico")),"Extremo","")))),"")</f>
        <v/>
      </c>
      <c r="AH22" s="237"/>
      <c r="AI22" s="318"/>
      <c r="AJ22" s="318"/>
      <c r="AK22" s="318"/>
      <c r="AL22" s="318"/>
      <c r="AM22" s="318"/>
      <c r="AN22" s="213"/>
      <c r="AO22" s="213"/>
      <c r="AP22" s="256"/>
      <c r="AQ22" s="220"/>
      <c r="AR22" s="21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row>
    <row r="23" spans="1:77" s="113" customFormat="1" ht="9" hidden="1" customHeight="1" x14ac:dyDescent="0.2">
      <c r="A23" s="437"/>
      <c r="B23" s="438"/>
      <c r="C23" s="434"/>
      <c r="D23" s="434"/>
      <c r="E23" s="434"/>
      <c r="F23" s="435"/>
      <c r="G23" s="436"/>
      <c r="H23" s="435"/>
      <c r="I23" s="435"/>
      <c r="J23" s="439"/>
      <c r="K23" s="430"/>
      <c r="L23" s="431"/>
      <c r="M23" s="432"/>
      <c r="N23" s="431">
        <f ca="1">IF(NOT(ISERROR(MATCH(M23,_xlfn.ANCHORARRAY(G34),0))),L36&amp;"Por favor no seleccionar los criterios de impacto",M23)</f>
        <v>0</v>
      </c>
      <c r="O23" s="430"/>
      <c r="P23" s="431"/>
      <c r="Q23" s="433"/>
      <c r="R23" s="316">
        <v>5</v>
      </c>
      <c r="S23" s="330"/>
      <c r="T23" s="312"/>
      <c r="U23" s="208" t="str">
        <f t="shared" si="32"/>
        <v/>
      </c>
      <c r="V23" s="237"/>
      <c r="W23" s="237"/>
      <c r="X23" s="209" t="str">
        <f t="shared" si="33"/>
        <v/>
      </c>
      <c r="Y23" s="237"/>
      <c r="Z23" s="237"/>
      <c r="AA23" s="237"/>
      <c r="AB23" s="210" t="str">
        <f t="shared" si="31"/>
        <v/>
      </c>
      <c r="AC23" s="211" t="str">
        <f t="shared" si="27"/>
        <v/>
      </c>
      <c r="AD23" s="209" t="str">
        <f t="shared" si="28"/>
        <v/>
      </c>
      <c r="AE23" s="211" t="str">
        <f t="shared" si="29"/>
        <v/>
      </c>
      <c r="AF23" s="209" t="str">
        <f>IFERROR(IF(AND(U22="Impacto",U23="Impacto"),(AF22-(+AF22*X23)),IF(U23="Impacto",($P$31-(+$P$31*X23)),IF(U23="Probabilidad",AF22,""))),"")</f>
        <v/>
      </c>
      <c r="AG23" s="212" t="str">
        <f t="shared" ref="AG23:AG24" si="34">IFERROR(IF(OR(AND(AC23="Muy Baja",AE23="Leve"),AND(AC23="Muy Baja",AE23="Menor"),AND(AC23="Baja",AE23="Leve")),"Bajo",IF(OR(AND(AC23="Muy baja",AE23="Moderado"),AND(AC23="Baja",AE23="Menor"),AND(AC23="Baja",AE23="Moderado"),AND(AC23="Media",AE23="Leve"),AND(AC23="Media",AE23="Menor"),AND(AC23="Media",AE23="Moderado"),AND(AC23="Alta",AE23="Leve"),AND(AC23="Alta",AE23="Menor")),"Moderado",IF(OR(AND(AC23="Muy Baja",AE23="Mayor"),AND(AC23="Baja",AE23="Mayor"),AND(AC23="Media",AE23="Mayor"),AND(AC23="Alta",AE23="Moderado"),AND(AC23="Alta",AE23="Mayor"),AND(AC23="Muy Alta",AE23="Leve"),AND(AC23="Muy Alta",AE23="Menor"),AND(AC23="Muy Alta",AE23="Moderado"),AND(AC23="Muy Alta",AE23="Mayor")),"Alto",IF(OR(AND(AC23="Muy Baja",AE23="Catastrófico"),AND(AC23="Baja",AE23="Catastrófico"),AND(AC23="Media",AE23="Catastrófico"),AND(AC23="Alta",AE23="Catastrófico"),AND(AC23="Muy Alta",AE23="Catastrófico")),"Extremo","")))),"")</f>
        <v/>
      </c>
      <c r="AH23" s="237"/>
      <c r="AI23" s="318"/>
      <c r="AJ23" s="318"/>
      <c r="AK23" s="318"/>
      <c r="AL23" s="318"/>
      <c r="AM23" s="318"/>
      <c r="AN23" s="253"/>
      <c r="AO23" s="253"/>
      <c r="AP23" s="255"/>
      <c r="AQ23" s="216"/>
      <c r="AR23" s="216"/>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row>
    <row r="24" spans="1:77" s="113" customFormat="1" ht="9" hidden="1" customHeight="1" x14ac:dyDescent="0.2">
      <c r="A24" s="437"/>
      <c r="B24" s="438"/>
      <c r="C24" s="434"/>
      <c r="D24" s="434"/>
      <c r="E24" s="434"/>
      <c r="F24" s="435"/>
      <c r="G24" s="436"/>
      <c r="H24" s="435"/>
      <c r="I24" s="435"/>
      <c r="J24" s="439"/>
      <c r="K24" s="430"/>
      <c r="L24" s="431"/>
      <c r="M24" s="432"/>
      <c r="N24" s="431">
        <f ca="1">IF(NOT(ISERROR(MATCH(M24,_xlfn.ANCHORARRAY(G35),0))),#REF!&amp;"Por favor no seleccionar los criterios de impacto",M24)</f>
        <v>0</v>
      </c>
      <c r="O24" s="430"/>
      <c r="P24" s="431"/>
      <c r="Q24" s="433"/>
      <c r="R24" s="316">
        <v>6</v>
      </c>
      <c r="S24" s="330"/>
      <c r="T24" s="312"/>
      <c r="U24" s="208" t="str">
        <f t="shared" si="32"/>
        <v/>
      </c>
      <c r="V24" s="237"/>
      <c r="W24" s="237"/>
      <c r="X24" s="209" t="str">
        <f t="shared" si="33"/>
        <v/>
      </c>
      <c r="Y24" s="237"/>
      <c r="Z24" s="237"/>
      <c r="AA24" s="237"/>
      <c r="AB24" s="210" t="str">
        <f>IFERROR(IF(AND(U23="Probabilidad",U24="Probabilidad"),(AD23-(+AD23*X24)),IF(AND(U23="Impacto",U24="Probabilidad"),(AD22-(+AD22*X24)),IF(U24="Impacto",AD23,""))),"")</f>
        <v/>
      </c>
      <c r="AC24" s="211" t="str">
        <f t="shared" si="27"/>
        <v/>
      </c>
      <c r="AD24" s="209" t="str">
        <f t="shared" si="28"/>
        <v/>
      </c>
      <c r="AE24" s="211" t="str">
        <f t="shared" si="29"/>
        <v/>
      </c>
      <c r="AF24" s="209" t="str">
        <f>IFERROR(IF(AND(U23="Impacto",U24="Impacto"),(AF23-(+AF23*X24)),IF(U24="Impacto",($P$31-(+$P$31*X24)),IF(U24="Probabilidad",AF23,""))),"")</f>
        <v/>
      </c>
      <c r="AG24" s="212" t="str">
        <f t="shared" si="34"/>
        <v/>
      </c>
      <c r="AH24" s="237"/>
      <c r="AI24" s="318"/>
      <c r="AJ24" s="318"/>
      <c r="AK24" s="318"/>
      <c r="AL24" s="318"/>
      <c r="AM24" s="318"/>
      <c r="AN24" s="253"/>
      <c r="AO24" s="253"/>
      <c r="AP24" s="255"/>
      <c r="AQ24" s="216"/>
      <c r="AR24" s="216"/>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row>
    <row r="25" spans="1:77" s="271" customFormat="1" ht="114" x14ac:dyDescent="0.2">
      <c r="A25" s="437" t="s">
        <v>750</v>
      </c>
      <c r="B25" s="438" t="s">
        <v>591</v>
      </c>
      <c r="C25" s="434" t="s">
        <v>620</v>
      </c>
      <c r="D25" s="434" t="s">
        <v>107</v>
      </c>
      <c r="E25" s="434" t="s">
        <v>752</v>
      </c>
      <c r="F25" s="435" t="s">
        <v>685</v>
      </c>
      <c r="G25" s="436" t="s">
        <v>751</v>
      </c>
      <c r="H25" s="435" t="s">
        <v>655</v>
      </c>
      <c r="I25" s="435" t="s">
        <v>849</v>
      </c>
      <c r="J25" s="439">
        <v>240</v>
      </c>
      <c r="K25" s="430" t="str">
        <f>IF(J25&lt;=0,"",IF(J25&lt;=2,"Muy Baja",IF(J25&lt;=24,"Baja",IF(J25&lt;=500,"Media",IF(J25&lt;=5000,"Alta","Muy Alta")))))</f>
        <v>Media</v>
      </c>
      <c r="L25" s="431">
        <f>IF(K25="","",IF(K25="Muy Baja",0.2,IF(K25="Baja",0.4,IF(K25="Media",0.6,IF(K25="Alta",0.8,IF(K25="Muy Alta",1,))))))</f>
        <v>0.6</v>
      </c>
      <c r="M25" s="432" t="s">
        <v>121</v>
      </c>
      <c r="N25" s="431" t="str">
        <f ca="1">IF(NOT(ISERROR(MATCH(M25,'Tabla Impacto'!$B$221:$B$223,0))),'Tabla Impacto'!$F$223&amp;"Por favor no seleccionar los criterios de impacto(Afectación Económica o presupuestal y Pérdida Reputacional)",M25)</f>
        <v xml:space="preserve">     El riesgo afecta la imagen de la entidad con algunos usuarios de relevancia frente al logro de los objetivos</v>
      </c>
      <c r="O25" s="430" t="str">
        <f ca="1">IF(OR(N25='Tabla Impacto'!$C$11,N25='Tabla Impacto'!$D$11),"Leve",IF(OR(N25='Tabla Impacto'!$C$12,N25='Tabla Impacto'!$D$12),"Menor",IF(OR(N25='Tabla Impacto'!$C$13,N25='Tabla Impacto'!$D$13),"Moderado",IF(OR(N25='Tabla Impacto'!$C$14,N25='Tabla Impacto'!$D$14),"Mayor",IF(OR(N25='Tabla Impacto'!$C$15,N25='Tabla Impacto'!$D$15),"Catastrófico","")))))</f>
        <v>Moderado</v>
      </c>
      <c r="P25" s="431">
        <f ca="1">IF(O25="","",IF(O25="Leve",0.2,IF(O25="Menor",0.4,IF(O25="Moderado",0.6,IF(O25="Mayor",0.8,IF(O25="Catastrófico",1,))))))</f>
        <v>0.6</v>
      </c>
      <c r="Q25" s="433"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Moderado</v>
      </c>
      <c r="R25" s="261">
        <v>1</v>
      </c>
      <c r="S25" s="334" t="s">
        <v>754</v>
      </c>
      <c r="T25" s="272" t="s">
        <v>293</v>
      </c>
      <c r="U25" s="262" t="str">
        <f>IF(OR(V25="Preventivo",V25="Detectivo"),"Probabilidad",IF(V25="Correctivo","Impacto",""))</f>
        <v>Probabilidad</v>
      </c>
      <c r="V25" s="263" t="s">
        <v>13</v>
      </c>
      <c r="W25" s="263" t="s">
        <v>8</v>
      </c>
      <c r="X25" s="264" t="str">
        <f t="shared" ref="X25:X26" si="35">IF(AND(V25="Preventivo",W25="Automático"),"50%",IF(AND(V25="Preventivo",W25="Manual"),"40%",IF(AND(V25="Detectivo",W25="Automático"),"40%",IF(AND(V25="Detectivo",W25="Manual"),"30%",IF(AND(V25="Correctivo",W25="Automático"),"35%",IF(AND(V25="Correctivo",W25="Manual"),"25%",""))))))</f>
        <v>40%</v>
      </c>
      <c r="Y25" s="263" t="s">
        <v>18</v>
      </c>
      <c r="Z25" s="263" t="s">
        <v>21</v>
      </c>
      <c r="AA25" s="263" t="s">
        <v>103</v>
      </c>
      <c r="AB25" s="265">
        <f t="shared" ref="AB25" si="36">IFERROR(IF(U25="Probabilidad",(L25-(+L25*X25)),IF(U25="Impacto",L25,"")),"")</f>
        <v>0.36</v>
      </c>
      <c r="AC25" s="266" t="str">
        <f>IFERROR(IF(AB25="","",IF(AB25&lt;=0.2,"Muy Baja",IF(AB25&lt;=0.4,"Baja",IF(AB25&lt;=0.6,"Media",IF(AB25&lt;=0.8,"Alta","Muy Alta"))))),"")</f>
        <v>Baja</v>
      </c>
      <c r="AD25" s="264">
        <f>+AB25</f>
        <v>0.36</v>
      </c>
      <c r="AE25" s="266" t="str">
        <f ca="1">IFERROR(IF(AF25="","",IF(AF25&lt;=0.2,"Leve",IF(AF25&lt;=0.4,"Menor",IF(AF25&lt;=0.6,"Moderado",IF(AF25&lt;=0.8,"Mayor","Catastrófico"))))),"")</f>
        <v>Moderado</v>
      </c>
      <c r="AF25" s="264">
        <f ca="1">IFERROR(IF(U25="Impacto",(P25-(+P25*X25)),IF(U25="Probabilidad",P25,"")),"")</f>
        <v>0.6</v>
      </c>
      <c r="AG25" s="267" t="str">
        <f ca="1">IFERROR(IF(OR(AND(AC25="Muy Baja",AE25="Leve"),AND(AC25="Muy Baja",AE25="Menor"),AND(AC25="Baja",AE25="Leve")),"Bajo",IF(OR(AND(AC25="Muy baja",AE25="Moderado"),AND(AC25="Baja",AE25="Menor"),AND(AC25="Baja",AE25="Moderado"),AND(AC25="Media",AE25="Leve"),AND(AC25="Media",AE25="Menor"),AND(AC25="Media",AE25="Moderado"),AND(AC25="Alta",AE25="Leve"),AND(AC25="Alta",AE25="Menor")),"Moderado",IF(OR(AND(AC25="Muy Baja",AE25="Mayor"),AND(AC25="Baja",AE25="Mayor"),AND(AC25="Media",AE25="Mayor"),AND(AC25="Alta",AE25="Moderado"),AND(AC25="Alta",AE25="Mayor"),AND(AC25="Muy Alta",AE25="Leve"),AND(AC25="Muy Alta",AE25="Menor"),AND(AC25="Muy Alta",AE25="Moderado"),AND(AC25="Muy Alta",AE25="Mayor")),"Alto",IF(OR(AND(AC25="Muy Baja",AE25="Catastrófico"),AND(AC25="Baja",AE25="Catastrófico"),AND(AC25="Media",AE25="Catastrófico"),AND(AC25="Alta",AE25="Catastrófico"),AND(AC25="Muy Alta",AE25="Catastrófico")),"Extremo","")))),"")</f>
        <v>Moderado</v>
      </c>
      <c r="AH25" s="263" t="s">
        <v>26</v>
      </c>
      <c r="AI25" s="326">
        <v>1</v>
      </c>
      <c r="AJ25" s="326">
        <v>0</v>
      </c>
      <c r="AK25" s="326">
        <v>0</v>
      </c>
      <c r="AL25" s="326">
        <v>1</v>
      </c>
      <c r="AM25" s="326">
        <v>0</v>
      </c>
      <c r="AN25" s="268"/>
      <c r="AO25" s="268"/>
      <c r="AP25" s="258"/>
      <c r="AQ25" s="269"/>
      <c r="AR25" s="270"/>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3"/>
      <c r="BW25" s="323"/>
      <c r="BX25" s="323"/>
      <c r="BY25" s="323"/>
    </row>
    <row r="26" spans="1:77" s="113" customFormat="1" ht="99.75" x14ac:dyDescent="0.2">
      <c r="A26" s="437"/>
      <c r="B26" s="438"/>
      <c r="C26" s="434"/>
      <c r="D26" s="434"/>
      <c r="E26" s="434"/>
      <c r="F26" s="435"/>
      <c r="G26" s="436"/>
      <c r="H26" s="435"/>
      <c r="I26" s="435"/>
      <c r="J26" s="439"/>
      <c r="K26" s="430"/>
      <c r="L26" s="431"/>
      <c r="M26" s="432"/>
      <c r="N26" s="431">
        <f ca="1">IF(NOT(ISERROR(MATCH(M26,_xlfn.ANCHORARRAY(#REF!),0))),#REF!&amp;"Por favor no seleccionar los criterios de impacto",M26)</f>
        <v>0</v>
      </c>
      <c r="O26" s="430"/>
      <c r="P26" s="431"/>
      <c r="Q26" s="433"/>
      <c r="R26" s="316">
        <v>2</v>
      </c>
      <c r="S26" s="330" t="s">
        <v>755</v>
      </c>
      <c r="T26" s="312" t="s">
        <v>293</v>
      </c>
      <c r="U26" s="208" t="str">
        <f>IF(OR(V26="Preventivo",V26="Detectivo"),"Probabilidad",IF(V26="Correctivo","Impacto",""))</f>
        <v>Probabilidad</v>
      </c>
      <c r="V26" s="237" t="s">
        <v>13</v>
      </c>
      <c r="W26" s="237" t="s">
        <v>8</v>
      </c>
      <c r="X26" s="209" t="str">
        <f t="shared" si="35"/>
        <v>40%</v>
      </c>
      <c r="Y26" s="237" t="s">
        <v>18</v>
      </c>
      <c r="Z26" s="237" t="s">
        <v>21</v>
      </c>
      <c r="AA26" s="237" t="s">
        <v>103</v>
      </c>
      <c r="AB26" s="210">
        <f t="shared" ref="AB26" si="37">IFERROR(IF(AND(U25="Probabilidad",U26="Probabilidad"),(AD25-(+AD25*X26)),IF(U26="Probabilidad",(L25-(+L25*X26)),IF(U26="Impacto",AD25,""))),"")</f>
        <v>0.216</v>
      </c>
      <c r="AC26" s="211" t="str">
        <f t="shared" ref="AC26:AC30" si="38">IFERROR(IF(AB26="","",IF(AB26&lt;=0.2,"Muy Baja",IF(AB26&lt;=0.4,"Baja",IF(AB26&lt;=0.6,"Media",IF(AB26&lt;=0.8,"Alta","Muy Alta"))))),"")</f>
        <v>Baja</v>
      </c>
      <c r="AD26" s="209">
        <f t="shared" ref="AD26:AD30" si="39">+AB26</f>
        <v>0.216</v>
      </c>
      <c r="AE26" s="211" t="str">
        <f t="shared" ref="AE26:AE30" ca="1" si="40">IFERROR(IF(AF26="","",IF(AF26&lt;=0.2,"Leve",IF(AF26&lt;=0.4,"Menor",IF(AF26&lt;=0.6,"Moderado",IF(AF26&lt;=0.8,"Mayor","Catastrófico"))))),"")</f>
        <v>Moderado</v>
      </c>
      <c r="AF26" s="209">
        <f ca="1">IFERROR(IF(AND(U25="Impacto",U26="Impacto"),(AF25-(+AF25*X26)),IF(U26="Impacto",($P$31-(+$P$31*X26)),IF(U26="Probabilidad",AF25,""))),"")</f>
        <v>0.6</v>
      </c>
      <c r="AG26" s="212" t="str">
        <f t="shared" ref="AG26:AG27" ca="1" si="41">IFERROR(IF(OR(AND(AC26="Muy Baja",AE26="Leve"),AND(AC26="Muy Baja",AE26="Menor"),AND(AC26="Baja",AE26="Leve")),"Bajo",IF(OR(AND(AC26="Muy baja",AE26="Moderado"),AND(AC26="Baja",AE26="Menor"),AND(AC26="Baja",AE26="Moderado"),AND(AC26="Media",AE26="Leve"),AND(AC26="Media",AE26="Menor"),AND(AC26="Media",AE26="Moderado"),AND(AC26="Alta",AE26="Leve"),AND(AC26="Alta",AE26="Menor")),"Moderado",IF(OR(AND(AC26="Muy Baja",AE26="Mayor"),AND(AC26="Baja",AE26="Mayor"),AND(AC26="Media",AE26="Mayor"),AND(AC26="Alta",AE26="Moderado"),AND(AC26="Alta",AE26="Mayor"),AND(AC26="Muy Alta",AE26="Leve"),AND(AC26="Muy Alta",AE26="Menor"),AND(AC26="Muy Alta",AE26="Moderado"),AND(AC26="Muy Alta",AE26="Mayor")),"Alto",IF(OR(AND(AC26="Muy Baja",AE26="Catastrófico"),AND(AC26="Baja",AE26="Catastrófico"),AND(AC26="Media",AE26="Catastrófico"),AND(AC26="Alta",AE26="Catastrófico"),AND(AC26="Muy Alta",AE26="Catastrófico")),"Extremo","")))),"")</f>
        <v>Moderado</v>
      </c>
      <c r="AH26" s="237" t="s">
        <v>26</v>
      </c>
      <c r="AI26" s="326">
        <v>2</v>
      </c>
      <c r="AJ26" s="326">
        <v>0</v>
      </c>
      <c r="AK26" s="326">
        <v>1</v>
      </c>
      <c r="AL26" s="326">
        <v>0</v>
      </c>
      <c r="AM26" s="326">
        <v>1</v>
      </c>
      <c r="AN26" s="254"/>
      <c r="AO26" s="254"/>
      <c r="AP26" s="259"/>
      <c r="AQ26" s="220"/>
      <c r="AR26" s="254"/>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row>
    <row r="27" spans="1:77" s="113" customFormat="1" ht="114" x14ac:dyDescent="0.2">
      <c r="A27" s="437"/>
      <c r="B27" s="438"/>
      <c r="C27" s="434"/>
      <c r="D27" s="434"/>
      <c r="E27" s="434"/>
      <c r="F27" s="435"/>
      <c r="G27" s="436"/>
      <c r="H27" s="435"/>
      <c r="I27" s="435"/>
      <c r="J27" s="439"/>
      <c r="K27" s="430"/>
      <c r="L27" s="431"/>
      <c r="M27" s="432"/>
      <c r="N27" s="431">
        <f ca="1">IF(NOT(ISERROR(MATCH(M27,_xlfn.ANCHORARRAY(#REF!),0))),#REF!&amp;"Por favor no seleccionar los criterios de impacto",M27)</f>
        <v>0</v>
      </c>
      <c r="O27" s="430"/>
      <c r="P27" s="431"/>
      <c r="Q27" s="433"/>
      <c r="R27" s="316">
        <v>3</v>
      </c>
      <c r="S27" s="330" t="s">
        <v>756</v>
      </c>
      <c r="T27" s="312" t="s">
        <v>293</v>
      </c>
      <c r="U27" s="208" t="str">
        <f>IF(OR(V27="Preventivo",V27="Detectivo"),"Probabilidad",IF(V27="Correctivo","Impacto",""))</f>
        <v>Probabilidad</v>
      </c>
      <c r="V27" s="237" t="s">
        <v>13</v>
      </c>
      <c r="W27" s="237" t="s">
        <v>8</v>
      </c>
      <c r="X27" s="209" t="str">
        <f>IF(AND(V27="Preventivo",W27="Automático"),"50%",IF(AND(V27="Preventivo",W27="Manual"),"40%",IF(AND(V27="Detectivo",W27="Automático"),"40%",IF(AND(V27="Detectivo",W27="Manual"),"30%",IF(AND(V27="Correctivo",W27="Automático"),"35%",IF(AND(V27="Correctivo",W27="Manual"),"25%",""))))))</f>
        <v>40%</v>
      </c>
      <c r="Y27" s="237" t="s">
        <v>18</v>
      </c>
      <c r="Z27" s="237" t="s">
        <v>21</v>
      </c>
      <c r="AA27" s="237" t="s">
        <v>103</v>
      </c>
      <c r="AB27" s="210">
        <f t="shared" ref="AB27:AB30" si="42">IFERROR(IF(AND(U26="Probabilidad",U27="Probabilidad"),(AD26-(+AD26*X27)),IF(AND(U26="Impacto",U27="Probabilidad"),(AD25-(+AD25*X27)),IF(U27="Impacto",AD26,""))),"")</f>
        <v>0.12959999999999999</v>
      </c>
      <c r="AC27" s="211" t="str">
        <f t="shared" si="38"/>
        <v>Muy Baja</v>
      </c>
      <c r="AD27" s="209">
        <f t="shared" si="39"/>
        <v>0.12959999999999999</v>
      </c>
      <c r="AE27" s="211" t="str">
        <f t="shared" ca="1" si="40"/>
        <v>Moderado</v>
      </c>
      <c r="AF27" s="209">
        <f ca="1">IFERROR(IF(AND(U26="Impacto",U27="Impacto"),(AF26-(+AF26*X27)),IF(U27="Impacto",($P$31-(+$P$31*X27)),IF(U27="Probabilidad",AF26,""))),"")</f>
        <v>0.6</v>
      </c>
      <c r="AG27" s="212" t="str">
        <f t="shared" ca="1" si="41"/>
        <v>Moderado</v>
      </c>
      <c r="AH27" s="237" t="s">
        <v>26</v>
      </c>
      <c r="AI27" s="326">
        <v>1</v>
      </c>
      <c r="AJ27" s="326">
        <v>1</v>
      </c>
      <c r="AK27" s="326">
        <v>0</v>
      </c>
      <c r="AL27" s="326">
        <v>0</v>
      </c>
      <c r="AM27" s="326">
        <v>0</v>
      </c>
      <c r="AN27" s="254"/>
      <c r="AO27" s="254"/>
      <c r="AP27" s="259"/>
      <c r="AQ27" s="220"/>
      <c r="AR27" s="254"/>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3"/>
      <c r="BX27" s="323"/>
      <c r="BY27" s="323"/>
    </row>
    <row r="28" spans="1:77" s="113" customFormat="1" ht="15" hidden="1" customHeight="1" x14ac:dyDescent="0.2">
      <c r="A28" s="437"/>
      <c r="B28" s="438"/>
      <c r="C28" s="434"/>
      <c r="D28" s="434"/>
      <c r="E28" s="434"/>
      <c r="F28" s="435"/>
      <c r="G28" s="436"/>
      <c r="H28" s="435"/>
      <c r="I28" s="435"/>
      <c r="J28" s="439"/>
      <c r="K28" s="430"/>
      <c r="L28" s="431"/>
      <c r="M28" s="432"/>
      <c r="N28" s="431">
        <f ca="1">IF(NOT(ISERROR(MATCH(M28,_xlfn.ANCHORARRAY(#REF!),0))),#REF!&amp;"Por favor no seleccionar los criterios de impacto",M28)</f>
        <v>0</v>
      </c>
      <c r="O28" s="430"/>
      <c r="P28" s="431"/>
      <c r="Q28" s="433"/>
      <c r="R28" s="316">
        <v>4</v>
      </c>
      <c r="S28" s="330"/>
      <c r="T28" s="312"/>
      <c r="U28" s="208" t="str">
        <f t="shared" ref="U28:U30" si="43">IF(OR(V28="Preventivo",V28="Detectivo"),"Probabilidad",IF(V28="Correctivo","Impacto",""))</f>
        <v/>
      </c>
      <c r="V28" s="237"/>
      <c r="W28" s="237"/>
      <c r="X28" s="209" t="str">
        <f t="shared" ref="X28:X30" si="44">IF(AND(V28="Preventivo",W28="Automático"),"50%",IF(AND(V28="Preventivo",W28="Manual"),"40%",IF(AND(V28="Detectivo",W28="Automático"),"40%",IF(AND(V28="Detectivo",W28="Manual"),"30%",IF(AND(V28="Correctivo",W28="Automático"),"35%",IF(AND(V28="Correctivo",W28="Manual"),"25%",""))))))</f>
        <v/>
      </c>
      <c r="Y28" s="237"/>
      <c r="Z28" s="237"/>
      <c r="AA28" s="237"/>
      <c r="AB28" s="210" t="str">
        <f t="shared" si="42"/>
        <v/>
      </c>
      <c r="AC28" s="211" t="str">
        <f t="shared" si="38"/>
        <v/>
      </c>
      <c r="AD28" s="209" t="str">
        <f t="shared" si="39"/>
        <v/>
      </c>
      <c r="AE28" s="211" t="str">
        <f t="shared" si="40"/>
        <v/>
      </c>
      <c r="AF28" s="209" t="str">
        <f t="shared" ref="AF28:AF29" si="45">IFERROR(IF(AND(U27="Impacto",U28="Impacto"),(AF27-(+AF27*X28)),IF(U28="Impacto",($P$31-(+$P$31*X28)),IF(U28="Probabilidad",AF27,""))),"")</f>
        <v/>
      </c>
      <c r="AG28" s="212" t="str">
        <f>IFERROR(IF(OR(AND(AC28="Muy Baja",AE28="Leve"),AND(AC28="Muy Baja",AE28="Menor"),AND(AC28="Baja",AE28="Leve")),"Bajo",IF(OR(AND(AC28="Muy baja",AE28="Moderado"),AND(AC28="Baja",AE28="Menor"),AND(AC28="Baja",AE28="Moderado"),AND(AC28="Media",AE28="Leve"),AND(AC28="Media",AE28="Menor"),AND(AC28="Media",AE28="Moderado"),AND(AC28="Alta",AE28="Leve"),AND(AC28="Alta",AE28="Menor")),"Moderado",IF(OR(AND(AC28="Muy Baja",AE28="Mayor"),AND(AC28="Baja",AE28="Mayor"),AND(AC28="Media",AE28="Mayor"),AND(AC28="Alta",AE28="Moderado"),AND(AC28="Alta",AE28="Mayor"),AND(AC28="Muy Alta",AE28="Leve"),AND(AC28="Muy Alta",AE28="Menor"),AND(AC28="Muy Alta",AE28="Moderado"),AND(AC28="Muy Alta",AE28="Mayor")),"Alto",IF(OR(AND(AC28="Muy Baja",AE28="Catastrófico"),AND(AC28="Baja",AE28="Catastrófico"),AND(AC28="Media",AE28="Catastrófico"),AND(AC28="Alta",AE28="Catastrófico"),AND(AC28="Muy Alta",AE28="Catastrófico")),"Extremo","")))),"")</f>
        <v/>
      </c>
      <c r="AH28" s="237"/>
      <c r="AI28" s="318"/>
      <c r="AJ28" s="318"/>
      <c r="AK28" s="318"/>
      <c r="AL28" s="318"/>
      <c r="AM28" s="318"/>
      <c r="AN28" s="213"/>
      <c r="AO28" s="213"/>
      <c r="AP28" s="256"/>
      <c r="AQ28" s="220"/>
      <c r="AR28" s="21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323"/>
      <c r="BT28" s="323"/>
      <c r="BU28" s="323"/>
      <c r="BV28" s="323"/>
      <c r="BW28" s="323"/>
      <c r="BX28" s="323"/>
      <c r="BY28" s="323"/>
    </row>
    <row r="29" spans="1:77" s="113" customFormat="1" ht="15" hidden="1" customHeight="1" x14ac:dyDescent="0.2">
      <c r="A29" s="437"/>
      <c r="B29" s="438"/>
      <c r="C29" s="434"/>
      <c r="D29" s="434"/>
      <c r="E29" s="434"/>
      <c r="F29" s="435"/>
      <c r="G29" s="436"/>
      <c r="H29" s="435"/>
      <c r="I29" s="435"/>
      <c r="J29" s="439"/>
      <c r="K29" s="430"/>
      <c r="L29" s="431"/>
      <c r="M29" s="432"/>
      <c r="N29" s="431">
        <f ca="1">IF(NOT(ISERROR(MATCH(M29,_xlfn.ANCHORARRAY(#REF!),0))),#REF!&amp;"Por favor no seleccionar los criterios de impacto",M29)</f>
        <v>0</v>
      </c>
      <c r="O29" s="430"/>
      <c r="P29" s="431"/>
      <c r="Q29" s="433"/>
      <c r="R29" s="316">
        <v>5</v>
      </c>
      <c r="S29" s="330"/>
      <c r="T29" s="312"/>
      <c r="U29" s="208" t="str">
        <f t="shared" si="43"/>
        <v/>
      </c>
      <c r="V29" s="237"/>
      <c r="W29" s="237"/>
      <c r="X29" s="209" t="str">
        <f t="shared" si="44"/>
        <v/>
      </c>
      <c r="Y29" s="237"/>
      <c r="Z29" s="237"/>
      <c r="AA29" s="237"/>
      <c r="AB29" s="210" t="str">
        <f t="shared" si="42"/>
        <v/>
      </c>
      <c r="AC29" s="211" t="str">
        <f t="shared" si="38"/>
        <v/>
      </c>
      <c r="AD29" s="209" t="str">
        <f t="shared" si="39"/>
        <v/>
      </c>
      <c r="AE29" s="211" t="str">
        <f t="shared" si="40"/>
        <v/>
      </c>
      <c r="AF29" s="209" t="str">
        <f t="shared" si="45"/>
        <v/>
      </c>
      <c r="AG29" s="212" t="str">
        <f t="shared" ref="AG29:AG30" si="46">IFERROR(IF(OR(AND(AC29="Muy Baja",AE29="Leve"),AND(AC29="Muy Baja",AE29="Menor"),AND(AC29="Baja",AE29="Leve")),"Bajo",IF(OR(AND(AC29="Muy baja",AE29="Moderado"),AND(AC29="Baja",AE29="Menor"),AND(AC29="Baja",AE29="Moderado"),AND(AC29="Media",AE29="Leve"),AND(AC29="Media",AE29="Menor"),AND(AC29="Media",AE29="Moderado"),AND(AC29="Alta",AE29="Leve"),AND(AC29="Alta",AE29="Menor")),"Moderado",IF(OR(AND(AC29="Muy Baja",AE29="Mayor"),AND(AC29="Baja",AE29="Mayor"),AND(AC29="Media",AE29="Mayor"),AND(AC29="Alta",AE29="Moderado"),AND(AC29="Alta",AE29="Mayor"),AND(AC29="Muy Alta",AE29="Leve"),AND(AC29="Muy Alta",AE29="Menor"),AND(AC29="Muy Alta",AE29="Moderado"),AND(AC29="Muy Alta",AE29="Mayor")),"Alto",IF(OR(AND(AC29="Muy Baja",AE29="Catastrófico"),AND(AC29="Baja",AE29="Catastrófico"),AND(AC29="Media",AE29="Catastrófico"),AND(AC29="Alta",AE29="Catastrófico"),AND(AC29="Muy Alta",AE29="Catastrófico")),"Extremo","")))),"")</f>
        <v/>
      </c>
      <c r="AH29" s="237"/>
      <c r="AI29" s="318"/>
      <c r="AJ29" s="318"/>
      <c r="AK29" s="318"/>
      <c r="AL29" s="318"/>
      <c r="AM29" s="318"/>
      <c r="AN29" s="253"/>
      <c r="AO29" s="253"/>
      <c r="AP29" s="255"/>
      <c r="AQ29" s="216"/>
      <c r="AR29" s="216"/>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row>
    <row r="30" spans="1:77" s="113" customFormat="1" ht="15" hidden="1" customHeight="1" x14ac:dyDescent="0.2">
      <c r="A30" s="437"/>
      <c r="B30" s="438"/>
      <c r="C30" s="434"/>
      <c r="D30" s="434"/>
      <c r="E30" s="434"/>
      <c r="F30" s="435"/>
      <c r="G30" s="436"/>
      <c r="H30" s="435"/>
      <c r="I30" s="435"/>
      <c r="J30" s="439"/>
      <c r="K30" s="430"/>
      <c r="L30" s="431"/>
      <c r="M30" s="432"/>
      <c r="N30" s="431">
        <f ca="1">IF(NOT(ISERROR(MATCH(M30,_xlfn.ANCHORARRAY(#REF!),0))),L271&amp;"Por favor no seleccionar los criterios de impacto",M30)</f>
        <v>0</v>
      </c>
      <c r="O30" s="430"/>
      <c r="P30" s="431"/>
      <c r="Q30" s="433"/>
      <c r="R30" s="316">
        <v>6</v>
      </c>
      <c r="S30" s="330"/>
      <c r="T30" s="312"/>
      <c r="U30" s="208" t="str">
        <f t="shared" si="43"/>
        <v/>
      </c>
      <c r="V30" s="237"/>
      <c r="W30" s="237"/>
      <c r="X30" s="209" t="str">
        <f t="shared" si="44"/>
        <v/>
      </c>
      <c r="Y30" s="237"/>
      <c r="Z30" s="237"/>
      <c r="AA30" s="237"/>
      <c r="AB30" s="210" t="str">
        <f t="shared" si="42"/>
        <v/>
      </c>
      <c r="AC30" s="211" t="str">
        <f t="shared" si="38"/>
        <v/>
      </c>
      <c r="AD30" s="209" t="str">
        <f t="shared" si="39"/>
        <v/>
      </c>
      <c r="AE30" s="211" t="str">
        <f t="shared" si="40"/>
        <v/>
      </c>
      <c r="AF30" s="209" t="str">
        <f>IFERROR(IF(AND(U29="Impacto",U30="Impacto"),(AF29-(+AF29*X30)),IF(U30="Impacto",($P$31-(+$P$31*X30)),IF(U30="Probabilidad",AF29,""))),"")</f>
        <v/>
      </c>
      <c r="AG30" s="212" t="str">
        <f t="shared" si="46"/>
        <v/>
      </c>
      <c r="AH30" s="237"/>
      <c r="AI30" s="318"/>
      <c r="AJ30" s="318"/>
      <c r="AK30" s="318"/>
      <c r="AL30" s="318"/>
      <c r="AM30" s="318"/>
      <c r="AN30" s="253"/>
      <c r="AO30" s="253"/>
      <c r="AP30" s="255"/>
      <c r="AQ30" s="216"/>
      <c r="AR30" s="216"/>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c r="BY30" s="323"/>
    </row>
    <row r="31" spans="1:77" s="113" customFormat="1" ht="146.25" customHeight="1" x14ac:dyDescent="0.2">
      <c r="A31" s="437" t="s">
        <v>687</v>
      </c>
      <c r="B31" s="438" t="s">
        <v>591</v>
      </c>
      <c r="C31" s="434" t="s">
        <v>620</v>
      </c>
      <c r="D31" s="434" t="s">
        <v>109</v>
      </c>
      <c r="E31" s="434" t="s">
        <v>682</v>
      </c>
      <c r="F31" s="434" t="s">
        <v>685</v>
      </c>
      <c r="G31" s="435" t="s">
        <v>680</v>
      </c>
      <c r="H31" s="435" t="s">
        <v>634</v>
      </c>
      <c r="I31" s="435" t="s">
        <v>1067</v>
      </c>
      <c r="J31" s="439">
        <v>36</v>
      </c>
      <c r="K31" s="430" t="str">
        <f>IF(J31&lt;=0,"",IF(J31&lt;=2,"Muy Baja",IF(J31&lt;=24,"Baja",IF(J31&lt;=500,"Media",IF(J31&lt;=5000,"Alta","Muy Alta")))))</f>
        <v>Media</v>
      </c>
      <c r="L31" s="431">
        <f>IF(K31="","",IF(K31="Muy Baja",0.2,IF(K31="Baja",0.4,IF(K31="Media",0.6,IF(K31="Alta",0.8,IF(K31="Muy Alta",1,))))))</f>
        <v>0.6</v>
      </c>
      <c r="M31" s="432" t="s">
        <v>115</v>
      </c>
      <c r="N31" s="431" t="str">
        <f ca="1">IF(NOT(ISERROR(MATCH(M31,'Tabla Impacto'!$B$221:$B$223,0))),'Tabla Impacto'!$F$223&amp;"Por favor no seleccionar los criterios de impacto(Afectación Económica o presupuestal y Pérdida Reputacional)",M31)</f>
        <v xml:space="preserve">     Entre 50 y 100 SMLMV </v>
      </c>
      <c r="O31" s="430" t="str">
        <f ca="1">IF(OR(N31='Tabla Impacto'!$C$11,N31='Tabla Impacto'!$D$11),"Leve",IF(OR(N31='Tabla Impacto'!$C$12,N31='Tabla Impacto'!$D$12),"Menor",IF(OR(N31='Tabla Impacto'!$C$13,N31='Tabla Impacto'!$D$13),"Moderado",IF(OR(N31='Tabla Impacto'!$C$14,N31='Tabla Impacto'!$D$14),"Mayor",IF(OR(N31='Tabla Impacto'!$C$15,N31='Tabla Impacto'!$D$15),"Catastrófico","")))))</f>
        <v>Moderado</v>
      </c>
      <c r="P31" s="431">
        <f ca="1">IF(O31="","",IF(O31="Leve",0.2,IF(O31="Menor",0.4,IF(O31="Moderado",0.6,IF(O31="Mayor",0.8,IF(O31="Catastrófico",1,))))))</f>
        <v>0.6</v>
      </c>
      <c r="Q31" s="433"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Moderado</v>
      </c>
      <c r="R31" s="316">
        <v>1</v>
      </c>
      <c r="S31" s="330" t="s">
        <v>678</v>
      </c>
      <c r="T31" s="312" t="s">
        <v>293</v>
      </c>
      <c r="U31" s="208" t="str">
        <f>IF(OR(V31="Preventivo",V31="Detectivo"),"Probabilidad",IF(V31="Correctivo","Impacto",""))</f>
        <v>Probabilidad</v>
      </c>
      <c r="V31" s="237" t="s">
        <v>13</v>
      </c>
      <c r="W31" s="237" t="s">
        <v>8</v>
      </c>
      <c r="X31" s="209" t="str">
        <f t="shared" ref="X31:X336" si="47">IF(AND(V31="Preventivo",W31="Automático"),"50%",IF(AND(V31="Preventivo",W31="Manual"),"40%",IF(AND(V31="Detectivo",W31="Automático"),"40%",IF(AND(V31="Detectivo",W31="Manual"),"30%",IF(AND(V31="Correctivo",W31="Automático"),"35%",IF(AND(V31="Correctivo",W31="Manual"),"25%",""))))))</f>
        <v>40%</v>
      </c>
      <c r="Y31" s="237" t="s">
        <v>18</v>
      </c>
      <c r="Z31" s="237" t="s">
        <v>21</v>
      </c>
      <c r="AA31" s="237" t="s">
        <v>103</v>
      </c>
      <c r="AB31" s="210">
        <f>IFERROR(IF(U31="Probabilidad",(L31-(+L31*X31)),IF(U31="Impacto",L31,"")),"")</f>
        <v>0.36</v>
      </c>
      <c r="AC31" s="211" t="str">
        <f>IFERROR(IF(AB31="","",IF(AB31&lt;=0.2,"Muy Baja",IF(AB31&lt;=0.4,"Baja",IF(AB31&lt;=0.6,"Media",IF(AB31&lt;=0.8,"Alta","Muy Alta"))))),"")</f>
        <v>Baja</v>
      </c>
      <c r="AD31" s="209">
        <f>+AB31</f>
        <v>0.36</v>
      </c>
      <c r="AE31" s="211" t="str">
        <f ca="1">IFERROR(IF(AF31="","",IF(AF31&lt;=0.2,"Leve",IF(AF31&lt;=0.4,"Menor",IF(AF31&lt;=0.6,"Moderado",IF(AF31&lt;=0.8,"Mayor","Catastrófico"))))),"")</f>
        <v>Moderado</v>
      </c>
      <c r="AF31" s="209">
        <f ca="1">IFERROR(IF(U31="Impacto",(P31-(+P31*X31)),IF(U31="Probabilidad",P31,"")),"")</f>
        <v>0.6</v>
      </c>
      <c r="AG31" s="212" t="str">
        <f ca="1">IFERROR(IF(OR(AND(AC31="Muy Baja",AE31="Leve"),AND(AC31="Muy Baja",AE31="Menor"),AND(AC31="Baja",AE31="Leve")),"Bajo",IF(OR(AND(AC31="Muy baja",AE31="Moderado"),AND(AC31="Baja",AE31="Menor"),AND(AC31="Baja",AE31="Moderado"),AND(AC31="Media",AE31="Leve"),AND(AC31="Media",AE31="Menor"),AND(AC31="Media",AE31="Moderado"),AND(AC31="Alta",AE31="Leve"),AND(AC31="Alta",AE31="Menor")),"Moderado",IF(OR(AND(AC31="Muy Baja",AE31="Mayor"),AND(AC31="Baja",AE31="Mayor"),AND(AC31="Media",AE31="Mayor"),AND(AC31="Alta",AE31="Moderado"),AND(AC31="Alta",AE31="Mayor"),AND(AC31="Muy Alta",AE31="Leve"),AND(AC31="Muy Alta",AE31="Menor"),AND(AC31="Muy Alta",AE31="Moderado"),AND(AC31="Muy Alta",AE31="Mayor")),"Alto",IF(OR(AND(AC31="Muy Baja",AE31="Catastrófico"),AND(AC31="Baja",AE31="Catastrófico"),AND(AC31="Media",AE31="Catastrófico"),AND(AC31="Alta",AE31="Catastrófico"),AND(AC31="Muy Alta",AE31="Catastrófico")),"Extremo","")))),"")</f>
        <v>Moderado</v>
      </c>
      <c r="AH31" s="237" t="s">
        <v>26</v>
      </c>
      <c r="AI31" s="318">
        <v>1</v>
      </c>
      <c r="AJ31" s="318">
        <v>1</v>
      </c>
      <c r="AK31" s="318">
        <v>0</v>
      </c>
      <c r="AL31" s="318">
        <v>0</v>
      </c>
      <c r="AM31" s="318">
        <v>0</v>
      </c>
      <c r="AN31" s="260" t="s">
        <v>683</v>
      </c>
      <c r="AO31" s="260" t="s">
        <v>1068</v>
      </c>
      <c r="AP31" s="260" t="s">
        <v>684</v>
      </c>
      <c r="AQ31" s="252">
        <v>45323</v>
      </c>
      <c r="AR31" s="252">
        <v>45641</v>
      </c>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row>
    <row r="32" spans="1:77" s="113" customFormat="1" ht="138.75" customHeight="1" x14ac:dyDescent="0.2">
      <c r="A32" s="437"/>
      <c r="B32" s="438"/>
      <c r="C32" s="434"/>
      <c r="D32" s="434"/>
      <c r="E32" s="434"/>
      <c r="F32" s="434"/>
      <c r="G32" s="435"/>
      <c r="H32" s="435"/>
      <c r="I32" s="435"/>
      <c r="J32" s="439"/>
      <c r="K32" s="430"/>
      <c r="L32" s="431"/>
      <c r="M32" s="432"/>
      <c r="N32" s="431">
        <f ca="1">IF(NOT(ISERROR(MATCH(M32,_xlfn.ANCHORARRAY(G271),0))),L273&amp;"Por favor no seleccionar los criterios de impacto",M32)</f>
        <v>0</v>
      </c>
      <c r="O32" s="430"/>
      <c r="P32" s="431"/>
      <c r="Q32" s="433"/>
      <c r="R32" s="316">
        <v>2</v>
      </c>
      <c r="S32" s="330" t="s">
        <v>681</v>
      </c>
      <c r="T32" s="312" t="s">
        <v>293</v>
      </c>
      <c r="U32" s="208" t="str">
        <f>IF(OR(V32="Preventivo",V32="Detectivo"),"Probabilidad",IF(V32="Correctivo","Impacto",""))</f>
        <v>Probabilidad</v>
      </c>
      <c r="V32" s="237" t="s">
        <v>13</v>
      </c>
      <c r="W32" s="237" t="s">
        <v>8</v>
      </c>
      <c r="X32" s="209" t="str">
        <f t="shared" si="47"/>
        <v>40%</v>
      </c>
      <c r="Y32" s="237" t="s">
        <v>18</v>
      </c>
      <c r="Z32" s="237" t="s">
        <v>21</v>
      </c>
      <c r="AA32" s="237" t="s">
        <v>103</v>
      </c>
      <c r="AB32" s="210">
        <f>IFERROR(IF(AND(U31="Probabilidad",U32="Probabilidad"),(AD31-(+AD31*X32)),IF(U32="Probabilidad",(L31-(+L31*X32)),IF(U32="Impacto",AD31,""))),"")</f>
        <v>0.216</v>
      </c>
      <c r="AC32" s="211" t="str">
        <f t="shared" ref="AC32:AC336" si="48">IFERROR(IF(AB32="","",IF(AB32&lt;=0.2,"Muy Baja",IF(AB32&lt;=0.4,"Baja",IF(AB32&lt;=0.6,"Media",IF(AB32&lt;=0.8,"Alta","Muy Alta"))))),"")</f>
        <v>Baja</v>
      </c>
      <c r="AD32" s="209">
        <f t="shared" ref="AD32:AD36" si="49">+AB32</f>
        <v>0.216</v>
      </c>
      <c r="AE32" s="211" t="str">
        <f ca="1">IFERROR(IF(AF32="","",IF(AF32&lt;=0.2,"Leve",IF(AF32&lt;=0.4,"Menor",IF(AF32&lt;=0.6,"Moderado",IF(AF32&lt;=0.8,"Mayor","Catastrófico"))))),"")</f>
        <v>Moderado</v>
      </c>
      <c r="AF32" s="209">
        <f ca="1">IFERROR(IF(AND(U31="Impacto",U32="Impacto"),(AF31-(+AF31*X32)),IF(U32="Impacto",($P$31-(+$P$31*X32)),IF(U32="Probabilidad",AF31,""))),"")</f>
        <v>0.6</v>
      </c>
      <c r="AG32" s="212" t="str">
        <f ca="1">IFERROR(IF(OR(AND(AC32="Muy Baja",AE32="Leve"),AND(AC32="Muy Baja",AE32="Menor"),AND(AC32="Baja",AE32="Leve")),"Bajo",IF(OR(AND(AC32="Muy baja",AE32="Moderado"),AND(AC32="Baja",AE32="Menor"),AND(AC32="Baja",AE32="Moderado"),AND(AC32="Media",AE32="Leve"),AND(AC32="Media",AE32="Menor"),AND(AC32="Media",AE32="Moderado"),AND(AC32="Alta",AE32="Leve"),AND(AC32="Alta",AE32="Menor")),"Moderado",IF(OR(AND(AC32="Muy Baja",AE32="Mayor"),AND(AC32="Baja",AE32="Mayor"),AND(AC32="Media",AE32="Mayor"),AND(AC32="Alta",AE32="Moderado"),AND(AC32="Alta",AE32="Mayor"),AND(AC32="Muy Alta",AE32="Leve"),AND(AC32="Muy Alta",AE32="Menor"),AND(AC32="Muy Alta",AE32="Moderado"),AND(AC32="Muy Alta",AE32="Mayor")),"Alto",IF(OR(AND(AC32="Muy Baja",AE32="Catastrófico"),AND(AC32="Baja",AE32="Catastrófico"),AND(AC32="Media",AE32="Catastrófico"),AND(AC32="Alta",AE32="Catastrófico"),AND(AC32="Muy Alta",AE32="Catastrófico")),"Extremo","")))),"")</f>
        <v>Moderado</v>
      </c>
      <c r="AH32" s="237" t="s">
        <v>26</v>
      </c>
      <c r="AI32" s="318">
        <v>4</v>
      </c>
      <c r="AJ32" s="318">
        <v>1</v>
      </c>
      <c r="AK32" s="318">
        <v>1</v>
      </c>
      <c r="AL32" s="318">
        <v>1</v>
      </c>
      <c r="AM32" s="318">
        <v>1</v>
      </c>
      <c r="AN32" s="213"/>
      <c r="AO32" s="213"/>
      <c r="AP32" s="190"/>
      <c r="AQ32" s="214"/>
      <c r="AR32" s="215"/>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3"/>
    </row>
    <row r="33" spans="1:77" s="113" customFormat="1" ht="124.5" customHeight="1" x14ac:dyDescent="0.2">
      <c r="A33" s="437"/>
      <c r="B33" s="438"/>
      <c r="C33" s="434"/>
      <c r="D33" s="434"/>
      <c r="E33" s="434"/>
      <c r="F33" s="434"/>
      <c r="G33" s="435"/>
      <c r="H33" s="435"/>
      <c r="I33" s="435"/>
      <c r="J33" s="439"/>
      <c r="K33" s="430"/>
      <c r="L33" s="431"/>
      <c r="M33" s="432"/>
      <c r="N33" s="431">
        <f ca="1">IF(NOT(ISERROR(MATCH(M33,_xlfn.ANCHORARRAY(G272),0))),L274&amp;"Por favor no seleccionar los criterios de impacto",M33)</f>
        <v>0</v>
      </c>
      <c r="O33" s="430"/>
      <c r="P33" s="431"/>
      <c r="Q33" s="433"/>
      <c r="R33" s="316">
        <v>3</v>
      </c>
      <c r="S33" s="330" t="s">
        <v>679</v>
      </c>
      <c r="T33" s="312" t="s">
        <v>293</v>
      </c>
      <c r="U33" s="208" t="str">
        <f>IF(OR(V33="Preventivo",V33="Detectivo"),"Probabilidad",IF(V33="Correctivo","Impacto",""))</f>
        <v>Probabilidad</v>
      </c>
      <c r="V33" s="237" t="s">
        <v>13</v>
      </c>
      <c r="W33" s="237" t="s">
        <v>8</v>
      </c>
      <c r="X33" s="209" t="str">
        <f t="shared" si="47"/>
        <v>40%</v>
      </c>
      <c r="Y33" s="237" t="s">
        <v>18</v>
      </c>
      <c r="Z33" s="237" t="s">
        <v>21</v>
      </c>
      <c r="AA33" s="237" t="s">
        <v>103</v>
      </c>
      <c r="AB33" s="210">
        <f>IFERROR(IF(AND(U32="Probabilidad",U33="Probabilidad"),(AD32-(+AD32*X33)),IF(AND(U32="Impacto",U33="Probabilidad"),(AD31-(+AD31*X33)),IF(U33="Impacto",AD32,""))),"")</f>
        <v>0.12959999999999999</v>
      </c>
      <c r="AC33" s="211" t="str">
        <f t="shared" si="48"/>
        <v>Muy Baja</v>
      </c>
      <c r="AD33" s="209">
        <f t="shared" si="49"/>
        <v>0.12959999999999999</v>
      </c>
      <c r="AE33" s="211" t="str">
        <f t="shared" ref="AE33:AE336" ca="1" si="50">IFERROR(IF(AF33="","",IF(AF33&lt;=0.2,"Leve",IF(AF33&lt;=0.4,"Menor",IF(AF33&lt;=0.6,"Moderado",IF(AF33&lt;=0.8,"Mayor","Catastrófico"))))),"")</f>
        <v>Moderado</v>
      </c>
      <c r="AF33" s="209">
        <f t="shared" ref="AF33:AF34" ca="1" si="51">IFERROR(IF(AND(U32="Impacto",U33="Impacto"),(AF32-(+AF32*X33)),IF(U33="Impacto",($P$31-(+$P$31*X33)),IF(U33="Probabilidad",AF32,""))),"")</f>
        <v>0.6</v>
      </c>
      <c r="AG33" s="212" t="str">
        <f t="shared" ref="AG33" ca="1" si="52">IFERROR(IF(OR(AND(AC33="Muy Baja",AE33="Leve"),AND(AC33="Muy Baja",AE33="Menor"),AND(AC33="Baja",AE33="Leve")),"Bajo",IF(OR(AND(AC33="Muy baja",AE33="Moderado"),AND(AC33="Baja",AE33="Menor"),AND(AC33="Baja",AE33="Moderado"),AND(AC33="Media",AE33="Leve"),AND(AC33="Media",AE33="Menor"),AND(AC33="Media",AE33="Moderado"),AND(AC33="Alta",AE33="Leve"),AND(AC33="Alta",AE33="Menor")),"Moderado",IF(OR(AND(AC33="Muy Baja",AE33="Mayor"),AND(AC33="Baja",AE33="Mayor"),AND(AC33="Media",AE33="Mayor"),AND(AC33="Alta",AE33="Moderado"),AND(AC33="Alta",AE33="Mayor"),AND(AC33="Muy Alta",AE33="Leve"),AND(AC33="Muy Alta",AE33="Menor"),AND(AC33="Muy Alta",AE33="Moderado"),AND(AC33="Muy Alta",AE33="Mayor")),"Alto",IF(OR(AND(AC33="Muy Baja",AE33="Catastrófico"),AND(AC33="Baja",AE33="Catastrófico"),AND(AC33="Media",AE33="Catastrófico"),AND(AC33="Alta",AE33="Catastrófico"),AND(AC33="Muy Alta",AE33="Catastrófico")),"Extremo","")))),"")</f>
        <v>Moderado</v>
      </c>
      <c r="AH33" s="237" t="s">
        <v>26</v>
      </c>
      <c r="AI33" s="318">
        <v>2</v>
      </c>
      <c r="AJ33" s="318">
        <v>0</v>
      </c>
      <c r="AK33" s="318">
        <v>1</v>
      </c>
      <c r="AL33" s="318">
        <v>0</v>
      </c>
      <c r="AM33" s="318">
        <v>1</v>
      </c>
      <c r="AN33" s="218"/>
      <c r="AO33" s="239"/>
      <c r="AP33" s="219"/>
      <c r="AQ33" s="220"/>
      <c r="AR33" s="218"/>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P33" s="323"/>
      <c r="BQ33" s="323"/>
      <c r="BR33" s="323"/>
      <c r="BS33" s="323"/>
      <c r="BT33" s="323"/>
      <c r="BU33" s="323"/>
      <c r="BV33" s="323"/>
      <c r="BW33" s="323"/>
      <c r="BX33" s="323"/>
      <c r="BY33" s="323"/>
    </row>
    <row r="34" spans="1:77" s="113" customFormat="1" ht="20.25" hidden="1" customHeight="1" x14ac:dyDescent="0.2">
      <c r="A34" s="437"/>
      <c r="B34" s="438"/>
      <c r="C34" s="434"/>
      <c r="D34" s="434"/>
      <c r="E34" s="434"/>
      <c r="F34" s="434"/>
      <c r="G34" s="435"/>
      <c r="H34" s="435"/>
      <c r="I34" s="435"/>
      <c r="J34" s="439"/>
      <c r="K34" s="430"/>
      <c r="L34" s="431"/>
      <c r="M34" s="432"/>
      <c r="N34" s="431">
        <f ca="1">IF(NOT(ISERROR(MATCH(M34,_xlfn.ANCHORARRAY(G273),0))),L275&amp;"Por favor no seleccionar los criterios de impacto",M34)</f>
        <v>0</v>
      </c>
      <c r="O34" s="430"/>
      <c r="P34" s="431"/>
      <c r="Q34" s="433"/>
      <c r="R34" s="316">
        <v>4</v>
      </c>
      <c r="S34" s="330"/>
      <c r="T34" s="312"/>
      <c r="U34" s="208" t="str">
        <f t="shared" ref="U34:U36" si="53">IF(OR(V34="Preventivo",V34="Detectivo"),"Probabilidad",IF(V34="Correctivo","Impacto",""))</f>
        <v/>
      </c>
      <c r="V34" s="237"/>
      <c r="W34" s="237"/>
      <c r="X34" s="209" t="str">
        <f t="shared" si="47"/>
        <v/>
      </c>
      <c r="Y34" s="237"/>
      <c r="Z34" s="237"/>
      <c r="AA34" s="237"/>
      <c r="AB34" s="210" t="str">
        <f t="shared" ref="AB34:AB36" si="54">IFERROR(IF(AND(U33="Probabilidad",U34="Probabilidad"),(AD33-(+AD33*X34)),IF(AND(U33="Impacto",U34="Probabilidad"),(AD32-(+AD32*X34)),IF(U34="Impacto",AD33,""))),"")</f>
        <v/>
      </c>
      <c r="AC34" s="211" t="str">
        <f t="shared" si="48"/>
        <v/>
      </c>
      <c r="AD34" s="209" t="str">
        <f t="shared" si="49"/>
        <v/>
      </c>
      <c r="AE34" s="211" t="str">
        <f t="shared" si="50"/>
        <v/>
      </c>
      <c r="AF34" s="209" t="str">
        <f t="shared" si="51"/>
        <v/>
      </c>
      <c r="AG34" s="212" t="str">
        <f>IFERROR(IF(OR(AND(AC34="Muy Baja",AE34="Leve"),AND(AC34="Muy Baja",AE34="Menor"),AND(AC34="Baja",AE34="Leve")),"Bajo",IF(OR(AND(AC34="Muy baja",AE34="Moderado"),AND(AC34="Baja",AE34="Menor"),AND(AC34="Baja",AE34="Moderado"),AND(AC34="Media",AE34="Leve"),AND(AC34="Media",AE34="Menor"),AND(AC34="Media",AE34="Moderado"),AND(AC34="Alta",AE34="Leve"),AND(AC34="Alta",AE34="Menor")),"Moderado",IF(OR(AND(AC34="Muy Baja",AE34="Mayor"),AND(AC34="Baja",AE34="Mayor"),AND(AC34="Media",AE34="Mayor"),AND(AC34="Alta",AE34="Moderado"),AND(AC34="Alta",AE34="Mayor"),AND(AC34="Muy Alta",AE34="Leve"),AND(AC34="Muy Alta",AE34="Menor"),AND(AC34="Muy Alta",AE34="Moderado"),AND(AC34="Muy Alta",AE34="Mayor")),"Alto",IF(OR(AND(AC34="Muy Baja",AE34="Catastrófico"),AND(AC34="Baja",AE34="Catastrófico"),AND(AC34="Media",AE34="Catastrófico"),AND(AC34="Alta",AE34="Catastrófico"),AND(AC34="Muy Alta",AE34="Catastrófico")),"Extremo","")))),"")</f>
        <v/>
      </c>
      <c r="AH34" s="237"/>
      <c r="AI34" s="318"/>
      <c r="AJ34" s="318"/>
      <c r="AK34" s="318"/>
      <c r="AL34" s="318"/>
      <c r="AM34" s="318"/>
      <c r="AN34" s="213"/>
      <c r="AO34" s="213"/>
      <c r="AP34" s="192"/>
      <c r="AQ34" s="214"/>
      <c r="AR34" s="21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row>
    <row r="35" spans="1:77" s="113" customFormat="1" ht="20.25" hidden="1" customHeight="1" x14ac:dyDescent="0.2">
      <c r="A35" s="437"/>
      <c r="B35" s="438"/>
      <c r="C35" s="434"/>
      <c r="D35" s="434"/>
      <c r="E35" s="434"/>
      <c r="F35" s="434"/>
      <c r="G35" s="435"/>
      <c r="H35" s="435"/>
      <c r="I35" s="435"/>
      <c r="J35" s="439"/>
      <c r="K35" s="430"/>
      <c r="L35" s="431"/>
      <c r="M35" s="432"/>
      <c r="N35" s="431">
        <f ca="1">IF(NOT(ISERROR(MATCH(M35,_xlfn.ANCHORARRAY(G274),0))),L276&amp;"Por favor no seleccionar los criterios de impacto",M35)</f>
        <v>0</v>
      </c>
      <c r="O35" s="430"/>
      <c r="P35" s="431"/>
      <c r="Q35" s="433"/>
      <c r="R35" s="316">
        <v>5</v>
      </c>
      <c r="S35" s="330"/>
      <c r="T35" s="312"/>
      <c r="U35" s="208" t="str">
        <f t="shared" si="53"/>
        <v/>
      </c>
      <c r="V35" s="237"/>
      <c r="W35" s="237"/>
      <c r="X35" s="209" t="str">
        <f t="shared" si="47"/>
        <v/>
      </c>
      <c r="Y35" s="237"/>
      <c r="Z35" s="237"/>
      <c r="AA35" s="237"/>
      <c r="AB35" s="210" t="str">
        <f t="shared" si="54"/>
        <v/>
      </c>
      <c r="AC35" s="211" t="str">
        <f t="shared" si="48"/>
        <v/>
      </c>
      <c r="AD35" s="209" t="str">
        <f t="shared" si="49"/>
        <v/>
      </c>
      <c r="AE35" s="211" t="str">
        <f t="shared" si="50"/>
        <v/>
      </c>
      <c r="AF35" s="209" t="str">
        <f>IFERROR(IF(AND(U34="Impacto",U35="Impacto"),(AF34-(+AF34*X35)),IF(U35="Impacto",($P$31-(+$P$31*X35)),IF(U35="Probabilidad",AF34,""))),"")</f>
        <v/>
      </c>
      <c r="AG35" s="212" t="str">
        <f t="shared" ref="AG35:AG36" si="55">IFERROR(IF(OR(AND(AC35="Muy Baja",AE35="Leve"),AND(AC35="Muy Baja",AE35="Menor"),AND(AC35="Baja",AE35="Leve")),"Bajo",IF(OR(AND(AC35="Muy baja",AE35="Moderado"),AND(AC35="Baja",AE35="Menor"),AND(AC35="Baja",AE35="Moderado"),AND(AC35="Media",AE35="Leve"),AND(AC35="Media",AE35="Menor"),AND(AC35="Media",AE35="Moderado"),AND(AC35="Alta",AE35="Leve"),AND(AC35="Alta",AE35="Menor")),"Moderado",IF(OR(AND(AC35="Muy Baja",AE35="Mayor"),AND(AC35="Baja",AE35="Mayor"),AND(AC35="Media",AE35="Mayor"),AND(AC35="Alta",AE35="Moderado"),AND(AC35="Alta",AE35="Mayor"),AND(AC35="Muy Alta",AE35="Leve"),AND(AC35="Muy Alta",AE35="Menor"),AND(AC35="Muy Alta",AE35="Moderado"),AND(AC35="Muy Alta",AE35="Mayor")),"Alto",IF(OR(AND(AC35="Muy Baja",AE35="Catastrófico"),AND(AC35="Baja",AE35="Catastrófico"),AND(AC35="Media",AE35="Catastrófico"),AND(AC35="Alta",AE35="Catastrófico"),AND(AC35="Muy Alta",AE35="Catastrófico")),"Extremo","")))),"")</f>
        <v/>
      </c>
      <c r="AH35" s="237"/>
      <c r="AI35" s="318"/>
      <c r="AJ35" s="318"/>
      <c r="AK35" s="318"/>
      <c r="AL35" s="318"/>
      <c r="AM35" s="318"/>
      <c r="AN35" s="221"/>
      <c r="AO35" s="221"/>
      <c r="AP35" s="217"/>
      <c r="AQ35" s="216"/>
      <c r="AR35" s="21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row>
    <row r="36" spans="1:77" s="113" customFormat="1" ht="20.25" hidden="1" customHeight="1" x14ac:dyDescent="0.2">
      <c r="A36" s="437"/>
      <c r="B36" s="438"/>
      <c r="C36" s="434"/>
      <c r="D36" s="434"/>
      <c r="E36" s="434"/>
      <c r="F36" s="434"/>
      <c r="G36" s="435"/>
      <c r="H36" s="435"/>
      <c r="I36" s="435"/>
      <c r="J36" s="439"/>
      <c r="K36" s="430"/>
      <c r="L36" s="431"/>
      <c r="M36" s="432"/>
      <c r="N36" s="431">
        <f ca="1">IF(NOT(ISERROR(MATCH(M36,_xlfn.ANCHORARRAY(G275),0))),L289&amp;"Por favor no seleccionar los criterios de impacto",M36)</f>
        <v>0</v>
      </c>
      <c r="O36" s="430"/>
      <c r="P36" s="431"/>
      <c r="Q36" s="433"/>
      <c r="R36" s="316">
        <v>6</v>
      </c>
      <c r="S36" s="330"/>
      <c r="T36" s="312"/>
      <c r="U36" s="208" t="str">
        <f t="shared" si="53"/>
        <v/>
      </c>
      <c r="V36" s="237"/>
      <c r="W36" s="237"/>
      <c r="X36" s="209" t="str">
        <f t="shared" si="47"/>
        <v/>
      </c>
      <c r="Y36" s="237"/>
      <c r="Z36" s="237"/>
      <c r="AA36" s="237"/>
      <c r="AB36" s="210" t="str">
        <f t="shared" si="54"/>
        <v/>
      </c>
      <c r="AC36" s="211" t="str">
        <f t="shared" si="48"/>
        <v/>
      </c>
      <c r="AD36" s="209" t="str">
        <f t="shared" si="49"/>
        <v/>
      </c>
      <c r="AE36" s="211" t="str">
        <f t="shared" si="50"/>
        <v/>
      </c>
      <c r="AF36" s="209" t="str">
        <f>IFERROR(IF(AND(U35="Impacto",U36="Impacto"),(AF35-(+AF35*X36)),IF(U36="Impacto",($P$31-(+$P$31*X36)),IF(U36="Probabilidad",AF35,""))),"")</f>
        <v/>
      </c>
      <c r="AG36" s="212" t="str">
        <f t="shared" si="55"/>
        <v/>
      </c>
      <c r="AH36" s="237"/>
      <c r="AI36" s="318"/>
      <c r="AJ36" s="318"/>
      <c r="AK36" s="318"/>
      <c r="AL36" s="318"/>
      <c r="AM36" s="318"/>
      <c r="AN36" s="222"/>
      <c r="AO36" s="238"/>
      <c r="AP36" s="217"/>
      <c r="AQ36" s="216"/>
      <c r="AR36" s="216"/>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row>
    <row r="37" spans="1:77" s="271" customFormat="1" ht="132" customHeight="1" x14ac:dyDescent="0.2">
      <c r="A37" s="437" t="s">
        <v>757</v>
      </c>
      <c r="B37" s="438" t="s">
        <v>593</v>
      </c>
      <c r="C37" s="434" t="s">
        <v>625</v>
      </c>
      <c r="D37" s="434" t="s">
        <v>109</v>
      </c>
      <c r="E37" s="434" t="s">
        <v>759</v>
      </c>
      <c r="F37" s="435" t="s">
        <v>685</v>
      </c>
      <c r="G37" s="436" t="s">
        <v>758</v>
      </c>
      <c r="H37" s="435" t="s">
        <v>655</v>
      </c>
      <c r="I37" s="435" t="s">
        <v>849</v>
      </c>
      <c r="J37" s="439">
        <v>1920</v>
      </c>
      <c r="K37" s="430" t="str">
        <f t="shared" ref="K37" si="56">IF(J37&lt;=0,"",IF(J37&lt;=2,"Muy Baja",IF(J37&lt;=24,"Baja",IF(J37&lt;=500,"Media",IF(J37&lt;=5000,"Alta","Muy Alta")))))</f>
        <v>Alta</v>
      </c>
      <c r="L37" s="431">
        <f>IF(K37="","",IF(K37="Muy Baja",0.2,IF(K37="Baja",0.4,IF(K37="Media",0.6,IF(K37="Alta",0.8,IF(K37="Muy Alta",1,))))))</f>
        <v>0.8</v>
      </c>
      <c r="M37" s="432" t="s">
        <v>112</v>
      </c>
      <c r="N37" s="310" t="str">
        <f ca="1">IF(NOT(ISERROR(MATCH(M37,'Tabla Impacto'!$B$221:$B$223,0))),'Tabla Impacto'!$F$223&amp;"Por favor no seleccionar los criterios de impacto(Afectación Económica o presupuestal y Pérdida Reputacional)",M37)</f>
        <v xml:space="preserve">     Afectación menor a 10 SMLMV .</v>
      </c>
      <c r="O37" s="430" t="str">
        <f ca="1">IF(OR(N37='Tabla Impacto'!$C$11,N37='Tabla Impacto'!$D$11),"Leve",IF(OR(N37='Tabla Impacto'!$C$12,N37='Tabla Impacto'!$D$12),"Menor",IF(OR(N37='Tabla Impacto'!$C$13,N37='Tabla Impacto'!$D$13),"Moderado",IF(OR(N37='Tabla Impacto'!$C$14,N37='Tabla Impacto'!$D$14),"Mayor",IF(OR(N37='Tabla Impacto'!$C$15,N37='Tabla Impacto'!$D$15),"Catastrófico","")))))</f>
        <v>Leve</v>
      </c>
      <c r="P37" s="431">
        <f ca="1">IF(O37="","",IF(O37="Leve",0.2,IF(O37="Menor",0.4,IF(O37="Moderado",0.6,IF(O37="Mayor",0.8,IF(O37="Catastrófico",1,))))))</f>
        <v>0.2</v>
      </c>
      <c r="Q37" s="433"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261">
        <v>1</v>
      </c>
      <c r="S37" s="334" t="s">
        <v>760</v>
      </c>
      <c r="T37" s="272" t="s">
        <v>293</v>
      </c>
      <c r="U37" s="262" t="str">
        <f>IF(OR(V37="Preventivo",V37="Detectivo"),"Probabilidad",IF(V37="Correctivo","Impacto",""))</f>
        <v>Probabilidad</v>
      </c>
      <c r="V37" s="263" t="s">
        <v>13</v>
      </c>
      <c r="W37" s="263" t="s">
        <v>8</v>
      </c>
      <c r="X37" s="264" t="str">
        <f>IF(AND(V37="Preventivo",W37="Automático"),"50%",IF(AND(V37="Preventivo",W37="Manual"),"40%",IF(AND(V37="Detectivo",W37="Automático"),"40%",IF(AND(V37="Detectivo",W37="Manual"),"30%",IF(AND(V37="Correctivo",W37="Automático"),"35%",IF(AND(V37="Correctivo",W37="Manual"),"25%",""))))))</f>
        <v>40%</v>
      </c>
      <c r="Y37" s="263" t="s">
        <v>18</v>
      </c>
      <c r="Z37" s="263" t="s">
        <v>21</v>
      </c>
      <c r="AA37" s="263" t="s">
        <v>103</v>
      </c>
      <c r="AB37" s="265">
        <f t="shared" ref="AB37" si="57">IFERROR(IF(U37="Probabilidad",(L37-(+L37*X37)),IF(U37="Impacto",L37,"")),"")</f>
        <v>0.48</v>
      </c>
      <c r="AC37" s="266" t="str">
        <f>IFERROR(IF(AB37="","",IF(AB37&lt;=0.2,"Muy Baja",IF(AB37&lt;=0.4,"Baja",IF(AB37&lt;=0.6,"Media",IF(AB37&lt;=0.8,"Alta","Muy Alta"))))),"")</f>
        <v>Media</v>
      </c>
      <c r="AD37" s="264">
        <f>+AB37</f>
        <v>0.48</v>
      </c>
      <c r="AE37" s="266" t="str">
        <f ca="1">IFERROR(IF(AF37="","",IF(AF37&lt;=0.2,"Leve",IF(AF37&lt;=0.4,"Menor",IF(AF37&lt;=0.6,"Moderado",IF(AF37&lt;=0.8,"Mayor","Catastrófico"))))),"")</f>
        <v>Leve</v>
      </c>
      <c r="AF37" s="264">
        <f ca="1">IFERROR(IF(U37="Impacto",(P37-(+P37*X37)),IF(U37="Probabilidad",P37,"")),"")</f>
        <v>0.2</v>
      </c>
      <c r="AG37" s="267" t="str">
        <f ca="1">IFERROR(IF(OR(AND(AC37="Muy Baja",AE37="Leve"),AND(AC37="Muy Baja",AE37="Menor"),AND(AC37="Baja",AE37="Leve")),"Bajo",IF(OR(AND(AC37="Muy baja",AE37="Moderado"),AND(AC37="Baja",AE37="Menor"),AND(AC37="Baja",AE37="Moderado"),AND(AC37="Media",AE37="Leve"),AND(AC37="Media",AE37="Menor"),AND(AC37="Media",AE37="Moderado"),AND(AC37="Alta",AE37="Leve"),AND(AC37="Alta",AE37="Menor")),"Moderado",IF(OR(AND(AC37="Muy Baja",AE37="Mayor"),AND(AC37="Baja",AE37="Mayor"),AND(AC37="Media",AE37="Mayor"),AND(AC37="Alta",AE37="Moderado"),AND(AC37="Alta",AE37="Mayor"),AND(AC37="Muy Alta",AE37="Leve"),AND(AC37="Muy Alta",AE37="Menor"),AND(AC37="Muy Alta",AE37="Moderado"),AND(AC37="Muy Alta",AE37="Mayor")),"Alto",IF(OR(AND(AC37="Muy Baja",AE37="Catastrófico"),AND(AC37="Baja",AE37="Catastrófico"),AND(AC37="Media",AE37="Catastrófico"),AND(AC37="Alta",AE37="Catastrófico"),AND(AC37="Muy Alta",AE37="Catastrófico")),"Extremo","")))),"")</f>
        <v>Moderado</v>
      </c>
      <c r="AH37" s="263" t="s">
        <v>26</v>
      </c>
      <c r="AI37" s="273">
        <v>4</v>
      </c>
      <c r="AJ37" s="273">
        <v>1</v>
      </c>
      <c r="AK37" s="273">
        <v>1</v>
      </c>
      <c r="AL37" s="273">
        <v>1</v>
      </c>
      <c r="AM37" s="273">
        <v>1</v>
      </c>
      <c r="AN37" s="268"/>
      <c r="AO37" s="268"/>
      <c r="AP37" s="258"/>
      <c r="AQ37" s="269"/>
      <c r="AR37" s="270"/>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3"/>
      <c r="BQ37" s="323"/>
      <c r="BR37" s="323"/>
      <c r="BS37" s="323"/>
      <c r="BT37" s="323"/>
      <c r="BU37" s="323"/>
      <c r="BV37" s="323"/>
      <c r="BW37" s="323"/>
      <c r="BX37" s="323"/>
      <c r="BY37" s="323"/>
    </row>
    <row r="38" spans="1:77" s="113" customFormat="1" ht="88.5" customHeight="1" x14ac:dyDescent="0.2">
      <c r="A38" s="437"/>
      <c r="B38" s="438"/>
      <c r="C38" s="434"/>
      <c r="D38" s="434"/>
      <c r="E38" s="434"/>
      <c r="F38" s="435"/>
      <c r="G38" s="436"/>
      <c r="H38" s="435"/>
      <c r="I38" s="435"/>
      <c r="J38" s="439"/>
      <c r="K38" s="430"/>
      <c r="L38" s="431"/>
      <c r="M38" s="432"/>
      <c r="N38" s="310">
        <f ca="1">IF(NOT(ISERROR(MATCH(M38,_xlfn.ANCHORARRAY(G25),0))),L27&amp;"Por favor no seleccionar los criterios de impacto",M38)</f>
        <v>0</v>
      </c>
      <c r="O38" s="430"/>
      <c r="P38" s="431"/>
      <c r="Q38" s="433"/>
      <c r="R38" s="316">
        <v>2</v>
      </c>
      <c r="S38" s="330" t="s">
        <v>761</v>
      </c>
      <c r="T38" s="312" t="s">
        <v>293</v>
      </c>
      <c r="U38" s="208" t="str">
        <f>IF(OR(V38="Preventivo",V38="Detectivo"),"Probabilidad",IF(V38="Correctivo","Impacto",""))</f>
        <v>Impacto</v>
      </c>
      <c r="V38" s="237" t="s">
        <v>15</v>
      </c>
      <c r="W38" s="237" t="s">
        <v>8</v>
      </c>
      <c r="X38" s="209" t="str">
        <f>IF(AND(V38="Preventivo",W38="Automático"),"50%",IF(AND(V38="Preventivo",W38="Manual"),"40%",IF(AND(V38="Detectivo",W38="Automático"),"40%",IF(AND(V38="Detectivo",W38="Manual"),"30%",IF(AND(V38="Correctivo",W38="Automático"),"35%",IF(AND(V38="Correctivo",W38="Manual"),"25%",""))))))</f>
        <v>25%</v>
      </c>
      <c r="Y38" s="237" t="s">
        <v>18</v>
      </c>
      <c r="Z38" s="237" t="s">
        <v>21</v>
      </c>
      <c r="AA38" s="237" t="s">
        <v>103</v>
      </c>
      <c r="AB38" s="210">
        <f t="shared" ref="AB38" si="58">IFERROR(IF(AND(U37="Probabilidad",U38="Probabilidad"),(AD37-(+AD37*X38)),IF(U38="Probabilidad",(L37-(+L37*X38)),IF(U38="Impacto",AD37,""))),"")</f>
        <v>0.48</v>
      </c>
      <c r="AC38" s="211" t="str">
        <f t="shared" ref="AC38:AC42" si="59">IFERROR(IF(AB38="","",IF(AB38&lt;=0.2,"Muy Baja",IF(AB38&lt;=0.4,"Baja",IF(AB38&lt;=0.6,"Media",IF(AB38&lt;=0.8,"Alta","Muy Alta"))))),"")</f>
        <v>Media</v>
      </c>
      <c r="AD38" s="209">
        <f>+AB38</f>
        <v>0.48</v>
      </c>
      <c r="AE38" s="211" t="str">
        <f t="shared" ref="AE38:AE42" ca="1" si="60">IFERROR(IF(AF38="","",IF(AF38&lt;=0.2,"Leve",IF(AF38&lt;=0.4,"Menor",IF(AF38&lt;=0.6,"Moderado",IF(AF38&lt;=0.8,"Mayor","Catastrófico"))))),"")</f>
        <v>Leve</v>
      </c>
      <c r="AF38" s="209">
        <f ca="1">IFERROR(IF(AND(U37="Impacto",U38="Impacto"),(AF37-(+AF37*X38)),IF(U38="Impacto",($P$37-(+$P$37*X38)),IF(U38="Probabilidad",AF37,""))),"")</f>
        <v>0.15000000000000002</v>
      </c>
      <c r="AG38" s="212" t="str">
        <f t="shared" ref="AG38:AG39" ca="1" si="61">IFERROR(IF(OR(AND(AC38="Muy Baja",AE38="Leve"),AND(AC38="Muy Baja",AE38="Menor"),AND(AC38="Baja",AE38="Leve")),"Bajo",IF(OR(AND(AC38="Muy baja",AE38="Moderado"),AND(AC38="Baja",AE38="Menor"),AND(AC38="Baja",AE38="Moderado"),AND(AC38="Media",AE38="Leve"),AND(AC38="Media",AE38="Menor"),AND(AC38="Media",AE38="Moderado"),AND(AC38="Alta",AE38="Leve"),AND(AC38="Alta",AE38="Menor")),"Moderado",IF(OR(AND(AC38="Muy Baja",AE38="Mayor"),AND(AC38="Baja",AE38="Mayor"),AND(AC38="Media",AE38="Mayor"),AND(AC38="Alta",AE38="Moderado"),AND(AC38="Alta",AE38="Mayor"),AND(AC38="Muy Alta",AE38="Leve"),AND(AC38="Muy Alta",AE38="Menor"),AND(AC38="Muy Alta",AE38="Moderado"),AND(AC38="Muy Alta",AE38="Mayor")),"Alto",IF(OR(AND(AC38="Muy Baja",AE38="Catastrófico"),AND(AC38="Baja",AE38="Catastrófico"),AND(AC38="Media",AE38="Catastrófico"),AND(AC38="Alta",AE38="Catastrófico"),AND(AC38="Muy Alta",AE38="Catastrófico")),"Extremo","")))),"")</f>
        <v>Moderado</v>
      </c>
      <c r="AH38" s="237" t="s">
        <v>26</v>
      </c>
      <c r="AI38" s="318">
        <v>2</v>
      </c>
      <c r="AJ38" s="318">
        <v>0</v>
      </c>
      <c r="AK38" s="318">
        <v>1</v>
      </c>
      <c r="AL38" s="318">
        <v>0</v>
      </c>
      <c r="AM38" s="318">
        <v>1</v>
      </c>
      <c r="AN38" s="299"/>
      <c r="AO38" s="299"/>
      <c r="AP38" s="259"/>
      <c r="AQ38" s="220"/>
      <c r="AR38" s="299"/>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row>
    <row r="39" spans="1:77" s="113" customFormat="1" ht="16.5" hidden="1" customHeight="1" x14ac:dyDescent="0.2">
      <c r="A39" s="437"/>
      <c r="B39" s="438"/>
      <c r="C39" s="434"/>
      <c r="D39" s="434"/>
      <c r="E39" s="434"/>
      <c r="F39" s="435"/>
      <c r="G39" s="436"/>
      <c r="H39" s="435"/>
      <c r="I39" s="435"/>
      <c r="J39" s="439"/>
      <c r="K39" s="430"/>
      <c r="L39" s="431"/>
      <c r="M39" s="432"/>
      <c r="N39" s="310">
        <f ca="1">IF(NOT(ISERROR(MATCH(M39,_xlfn.ANCHORARRAY(G26),0))),L28&amp;"Por favor no seleccionar los criterios de impacto",M39)</f>
        <v>0</v>
      </c>
      <c r="O39" s="430"/>
      <c r="P39" s="431"/>
      <c r="Q39" s="433"/>
      <c r="R39" s="316">
        <v>3</v>
      </c>
      <c r="S39" s="330"/>
      <c r="T39" s="312"/>
      <c r="U39" s="208" t="str">
        <f>IF(OR(V39="Preventivo",V39="Detectivo"),"Probabilidad",IF(V39="Correctivo","Impacto",""))</f>
        <v/>
      </c>
      <c r="V39" s="237"/>
      <c r="W39" s="237"/>
      <c r="X39" s="209" t="str">
        <f>IF(AND(V39="Preventivo",W39="Automático"),"50%",IF(AND(V39="Preventivo",W39="Manual"),"40%",IF(AND(V39="Detectivo",W39="Automático"),"40%",IF(AND(V39="Detectivo",W39="Manual"),"30%",IF(AND(V39="Correctivo",W39="Automático"),"35%",IF(AND(V39="Correctivo",W39="Manual"),"25%",""))))))</f>
        <v/>
      </c>
      <c r="Y39" s="237"/>
      <c r="Z39" s="237"/>
      <c r="AA39" s="237"/>
      <c r="AB39" s="210" t="str">
        <f t="shared" ref="AB39:AB42" si="62">IFERROR(IF(AND(U38="Probabilidad",U39="Probabilidad"),(AD38-(+AD38*X39)),IF(AND(U38="Impacto",U39="Probabilidad"),(AD37-(+AD37*X39)),IF(U39="Impacto",AD38,""))),"")</f>
        <v/>
      </c>
      <c r="AC39" s="211" t="str">
        <f t="shared" si="59"/>
        <v/>
      </c>
      <c r="AD39" s="209" t="str">
        <f t="shared" ref="AD39:AD42" si="63">+AB39</f>
        <v/>
      </c>
      <c r="AE39" s="211" t="str">
        <f t="shared" si="60"/>
        <v/>
      </c>
      <c r="AF39" s="209" t="str">
        <f>IFERROR(IF(AND(U38="Impacto",U39="Impacto"),(AF38-(+AF38*X39)),IF(U39="Impacto",($P$31-(+$P$31*X39)),IF(U39="Probabilidad",AF38,""))),"")</f>
        <v/>
      </c>
      <c r="AG39" s="212" t="str">
        <f t="shared" si="61"/>
        <v/>
      </c>
      <c r="AH39" s="237"/>
      <c r="AI39" s="318"/>
      <c r="AJ39" s="318"/>
      <c r="AK39" s="318"/>
      <c r="AL39" s="318"/>
      <c r="AM39" s="318"/>
      <c r="AN39" s="299"/>
      <c r="AO39" s="299"/>
      <c r="AP39" s="259"/>
      <c r="AQ39" s="220"/>
      <c r="AR39" s="299"/>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row>
    <row r="40" spans="1:77" s="113" customFormat="1" ht="16.5" hidden="1" customHeight="1" x14ac:dyDescent="0.2">
      <c r="A40" s="437"/>
      <c r="B40" s="438"/>
      <c r="C40" s="434"/>
      <c r="D40" s="434"/>
      <c r="E40" s="434"/>
      <c r="F40" s="435"/>
      <c r="G40" s="436"/>
      <c r="H40" s="435"/>
      <c r="I40" s="435"/>
      <c r="J40" s="439"/>
      <c r="K40" s="430"/>
      <c r="L40" s="431"/>
      <c r="M40" s="432"/>
      <c r="N40" s="310">
        <f ca="1">IF(NOT(ISERROR(MATCH(M40,_xlfn.ANCHORARRAY(G27),0))),L29&amp;"Por favor no seleccionar los criterios de impacto",M40)</f>
        <v>0</v>
      </c>
      <c r="O40" s="430"/>
      <c r="P40" s="431"/>
      <c r="Q40" s="433"/>
      <c r="R40" s="316">
        <v>4</v>
      </c>
      <c r="S40" s="330"/>
      <c r="T40" s="312"/>
      <c r="U40" s="208" t="str">
        <f t="shared" ref="U40:U42" si="64">IF(OR(V40="Preventivo",V40="Detectivo"),"Probabilidad",IF(V40="Correctivo","Impacto",""))</f>
        <v/>
      </c>
      <c r="V40" s="237"/>
      <c r="W40" s="237"/>
      <c r="X40" s="209" t="str">
        <f t="shared" ref="X40:X42" si="65">IF(AND(V40="Preventivo",W40="Automático"),"50%",IF(AND(V40="Preventivo",W40="Manual"),"40%",IF(AND(V40="Detectivo",W40="Automático"),"40%",IF(AND(V40="Detectivo",W40="Manual"),"30%",IF(AND(V40="Correctivo",W40="Automático"),"35%",IF(AND(V40="Correctivo",W40="Manual"),"25%",""))))))</f>
        <v/>
      </c>
      <c r="Y40" s="237"/>
      <c r="Z40" s="237"/>
      <c r="AA40" s="237"/>
      <c r="AB40" s="210" t="str">
        <f t="shared" si="62"/>
        <v/>
      </c>
      <c r="AC40" s="211" t="str">
        <f t="shared" si="59"/>
        <v/>
      </c>
      <c r="AD40" s="209" t="str">
        <f t="shared" si="63"/>
        <v/>
      </c>
      <c r="AE40" s="211" t="str">
        <f t="shared" si="60"/>
        <v/>
      </c>
      <c r="AF40" s="209" t="str">
        <f t="shared" ref="AF40:AF41" si="66">IFERROR(IF(AND(U39="Impacto",U40="Impacto"),(AF39-(+AF39*X40)),IF(U40="Impacto",($P$31-(+$P$31*X40)),IF(U40="Probabilidad",AF39,""))),"")</f>
        <v/>
      </c>
      <c r="AG40" s="212" t="str">
        <f>IFERROR(IF(OR(AND(AC40="Muy Baja",AE40="Leve"),AND(AC40="Muy Baja",AE40="Menor"),AND(AC40="Baja",AE40="Leve")),"Bajo",IF(OR(AND(AC40="Muy baja",AE40="Moderado"),AND(AC40="Baja",AE40="Menor"),AND(AC40="Baja",AE40="Moderado"),AND(AC40="Media",AE40="Leve"),AND(AC40="Media",AE40="Menor"),AND(AC40="Media",AE40="Moderado"),AND(AC40="Alta",AE40="Leve"),AND(AC40="Alta",AE40="Menor")),"Moderado",IF(OR(AND(AC40="Muy Baja",AE40="Mayor"),AND(AC40="Baja",AE40="Mayor"),AND(AC40="Media",AE40="Mayor"),AND(AC40="Alta",AE40="Moderado"),AND(AC40="Alta",AE40="Mayor"),AND(AC40="Muy Alta",AE40="Leve"),AND(AC40="Muy Alta",AE40="Menor"),AND(AC40="Muy Alta",AE40="Moderado"),AND(AC40="Muy Alta",AE40="Mayor")),"Alto",IF(OR(AND(AC40="Muy Baja",AE40="Catastrófico"),AND(AC40="Baja",AE40="Catastrófico"),AND(AC40="Media",AE40="Catastrófico"),AND(AC40="Alta",AE40="Catastrófico"),AND(AC40="Muy Alta",AE40="Catastrófico")),"Extremo","")))),"")</f>
        <v/>
      </c>
      <c r="AH40" s="237"/>
      <c r="AI40" s="318"/>
      <c r="AJ40" s="318"/>
      <c r="AK40" s="318"/>
      <c r="AL40" s="318"/>
      <c r="AM40" s="318"/>
      <c r="AN40" s="213"/>
      <c r="AO40" s="213"/>
      <c r="AP40" s="301"/>
      <c r="AQ40" s="220"/>
      <c r="AR40" s="21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row>
    <row r="41" spans="1:77" s="113" customFormat="1" ht="16.5" hidden="1" customHeight="1" x14ac:dyDescent="0.2">
      <c r="A41" s="437"/>
      <c r="B41" s="438"/>
      <c r="C41" s="434"/>
      <c r="D41" s="434"/>
      <c r="E41" s="434"/>
      <c r="F41" s="435"/>
      <c r="G41" s="436"/>
      <c r="H41" s="435"/>
      <c r="I41" s="435"/>
      <c r="J41" s="439"/>
      <c r="K41" s="430"/>
      <c r="L41" s="431"/>
      <c r="M41" s="432"/>
      <c r="N41" s="310">
        <f ca="1">IF(NOT(ISERROR(MATCH(M41,_xlfn.ANCHORARRAY(G28),0))),L30&amp;"Por favor no seleccionar los criterios de impacto",M41)</f>
        <v>0</v>
      </c>
      <c r="O41" s="430"/>
      <c r="P41" s="431"/>
      <c r="Q41" s="433"/>
      <c r="R41" s="316">
        <v>5</v>
      </c>
      <c r="S41" s="330"/>
      <c r="T41" s="312"/>
      <c r="U41" s="208" t="str">
        <f t="shared" si="64"/>
        <v/>
      </c>
      <c r="V41" s="237"/>
      <c r="W41" s="237"/>
      <c r="X41" s="209" t="str">
        <f t="shared" si="65"/>
        <v/>
      </c>
      <c r="Y41" s="237"/>
      <c r="Z41" s="237"/>
      <c r="AA41" s="237"/>
      <c r="AB41" s="210" t="str">
        <f t="shared" si="62"/>
        <v/>
      </c>
      <c r="AC41" s="211" t="str">
        <f t="shared" si="59"/>
        <v/>
      </c>
      <c r="AD41" s="209" t="str">
        <f t="shared" si="63"/>
        <v/>
      </c>
      <c r="AE41" s="211" t="str">
        <f t="shared" si="60"/>
        <v/>
      </c>
      <c r="AF41" s="209" t="str">
        <f t="shared" si="66"/>
        <v/>
      </c>
      <c r="AG41" s="212" t="str">
        <f t="shared" ref="AG41:AG42" si="67">IFERROR(IF(OR(AND(AC41="Muy Baja",AE41="Leve"),AND(AC41="Muy Baja",AE41="Menor"),AND(AC41="Baja",AE41="Leve")),"Bajo",IF(OR(AND(AC41="Muy baja",AE41="Moderado"),AND(AC41="Baja",AE41="Menor"),AND(AC41="Baja",AE41="Moderado"),AND(AC41="Media",AE41="Leve"),AND(AC41="Media",AE41="Menor"),AND(AC41="Media",AE41="Moderado"),AND(AC41="Alta",AE41="Leve"),AND(AC41="Alta",AE41="Menor")),"Moderado",IF(OR(AND(AC41="Muy Baja",AE41="Mayor"),AND(AC41="Baja",AE41="Mayor"),AND(AC41="Media",AE41="Mayor"),AND(AC41="Alta",AE41="Moderado"),AND(AC41="Alta",AE41="Mayor"),AND(AC41="Muy Alta",AE41="Leve"),AND(AC41="Muy Alta",AE41="Menor"),AND(AC41="Muy Alta",AE41="Moderado"),AND(AC41="Muy Alta",AE41="Mayor")),"Alto",IF(OR(AND(AC41="Muy Baja",AE41="Catastrófico"),AND(AC41="Baja",AE41="Catastrófico"),AND(AC41="Media",AE41="Catastrófico"),AND(AC41="Alta",AE41="Catastrófico"),AND(AC41="Muy Alta",AE41="Catastrófico")),"Extremo","")))),"")</f>
        <v/>
      </c>
      <c r="AH41" s="237"/>
      <c r="AI41" s="318"/>
      <c r="AJ41" s="318"/>
      <c r="AK41" s="318"/>
      <c r="AL41" s="318"/>
      <c r="AM41" s="318"/>
      <c r="AN41" s="300"/>
      <c r="AO41" s="300"/>
      <c r="AP41" s="298"/>
      <c r="AQ41" s="216"/>
      <c r="AR41" s="216"/>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row>
    <row r="42" spans="1:77" s="113" customFormat="1" ht="16.5" hidden="1" customHeight="1" x14ac:dyDescent="0.2">
      <c r="A42" s="437"/>
      <c r="B42" s="438"/>
      <c r="C42" s="434"/>
      <c r="D42" s="434"/>
      <c r="E42" s="434"/>
      <c r="F42" s="435"/>
      <c r="G42" s="436"/>
      <c r="H42" s="435"/>
      <c r="I42" s="435"/>
      <c r="J42" s="439"/>
      <c r="K42" s="430"/>
      <c r="L42" s="431"/>
      <c r="M42" s="432"/>
      <c r="N42" s="310">
        <f ca="1">IF(NOT(ISERROR(MATCH(M42,_xlfn.ANCHORARRAY(G29),0))),L31&amp;"Por favor no seleccionar los criterios de impacto",M42)</f>
        <v>0</v>
      </c>
      <c r="O42" s="430"/>
      <c r="P42" s="431"/>
      <c r="Q42" s="433"/>
      <c r="R42" s="316">
        <v>6</v>
      </c>
      <c r="S42" s="330"/>
      <c r="T42" s="312"/>
      <c r="U42" s="208" t="str">
        <f t="shared" si="64"/>
        <v/>
      </c>
      <c r="V42" s="237"/>
      <c r="W42" s="237"/>
      <c r="X42" s="209" t="str">
        <f t="shared" si="65"/>
        <v/>
      </c>
      <c r="Y42" s="237"/>
      <c r="Z42" s="237"/>
      <c r="AA42" s="237"/>
      <c r="AB42" s="210" t="str">
        <f t="shared" si="62"/>
        <v/>
      </c>
      <c r="AC42" s="211" t="str">
        <f t="shared" si="59"/>
        <v/>
      </c>
      <c r="AD42" s="209" t="str">
        <f t="shared" si="63"/>
        <v/>
      </c>
      <c r="AE42" s="211" t="str">
        <f t="shared" si="60"/>
        <v/>
      </c>
      <c r="AF42" s="209" t="str">
        <f>IFERROR(IF(AND(U41="Impacto",U42="Impacto"),(AF41-(+AF41*X42)),IF(U42="Impacto",($P$31-(+$P$31*X42)),IF(U42="Probabilidad",AF41,""))),"")</f>
        <v/>
      </c>
      <c r="AG42" s="212" t="str">
        <f t="shared" si="67"/>
        <v/>
      </c>
      <c r="AH42" s="237"/>
      <c r="AI42" s="318"/>
      <c r="AJ42" s="318"/>
      <c r="AK42" s="318"/>
      <c r="AL42" s="318"/>
      <c r="AM42" s="318"/>
      <c r="AN42" s="300"/>
      <c r="AO42" s="300"/>
      <c r="AP42" s="298"/>
      <c r="AQ42" s="216"/>
      <c r="AR42" s="216"/>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row>
    <row r="43" spans="1:77" s="271" customFormat="1" ht="174.75" customHeight="1" x14ac:dyDescent="0.2">
      <c r="A43" s="437" t="s">
        <v>762</v>
      </c>
      <c r="B43" s="438" t="s">
        <v>595</v>
      </c>
      <c r="C43" s="434" t="s">
        <v>625</v>
      </c>
      <c r="D43" s="434" t="s">
        <v>109</v>
      </c>
      <c r="E43" s="434" t="s">
        <v>765</v>
      </c>
      <c r="F43" s="435" t="s">
        <v>685</v>
      </c>
      <c r="G43" s="436" t="s">
        <v>764</v>
      </c>
      <c r="H43" s="435" t="s">
        <v>655</v>
      </c>
      <c r="I43" s="435" t="s">
        <v>1069</v>
      </c>
      <c r="J43" s="439">
        <v>500</v>
      </c>
      <c r="K43" s="430" t="str">
        <f t="shared" ref="K43" si="68">IF(J43&lt;=0,"",IF(J43&lt;=2,"Muy Baja",IF(J43&lt;=24,"Baja",IF(J43&lt;=500,"Media",IF(J43&lt;=5000,"Alta","Muy Alta")))))</f>
        <v>Media</v>
      </c>
      <c r="L43" s="431">
        <f>IF(K43="","",IF(K43="Muy Baja",0.2,IF(K43="Baja",0.4,IF(K43="Media",0.6,IF(K43="Alta",0.8,IF(K43="Muy Alta",1,))))))</f>
        <v>0.6</v>
      </c>
      <c r="M43" s="432" t="s">
        <v>117</v>
      </c>
      <c r="N43" s="310" t="str">
        <f ca="1">IF(NOT(ISERROR(MATCH(M43,'Tabla Impacto'!$B$221:$B$223,0))),'Tabla Impacto'!$F$223&amp;"Por favor no seleccionar los criterios de impacto(Afectación Económica o presupuestal y Pérdida Reputacional)",M43)</f>
        <v xml:space="preserve">     Entre 100 y 500 SMLMV </v>
      </c>
      <c r="O43" s="430" t="str">
        <f ca="1">IF(OR(N43='Tabla Impacto'!$C$11,N43='Tabla Impacto'!$D$11),"Leve",IF(OR(N43='Tabla Impacto'!$C$12,N43='Tabla Impacto'!$D$12),"Menor",IF(OR(N43='Tabla Impacto'!$C$13,N43='Tabla Impacto'!$D$13),"Moderado",IF(OR(N43='Tabla Impacto'!$C$14,N43='Tabla Impacto'!$D$14),"Mayor",IF(OR(N43='Tabla Impacto'!$C$15,N43='Tabla Impacto'!$D$15),"Catastrófico","")))))</f>
        <v>Mayor</v>
      </c>
      <c r="P43" s="431">
        <f ca="1">IF(O43="","",IF(O43="Leve",0.2,IF(O43="Menor",0.4,IF(O43="Moderado",0.6,IF(O43="Mayor",0.8,IF(O43="Catastrófico",1,))))))</f>
        <v>0.8</v>
      </c>
      <c r="Q43" s="433"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261">
        <v>1</v>
      </c>
      <c r="S43" s="334" t="s">
        <v>766</v>
      </c>
      <c r="T43" s="272" t="s">
        <v>293</v>
      </c>
      <c r="U43" s="262" t="str">
        <f>IF(OR(V43="Preventivo",V43="Detectivo"),"Probabilidad",IF(V43="Correctivo","Impacto",""))</f>
        <v>Probabilidad</v>
      </c>
      <c r="V43" s="263" t="s">
        <v>13</v>
      </c>
      <c r="W43" s="263" t="s">
        <v>8</v>
      </c>
      <c r="X43" s="264" t="str">
        <f>IF(AND(V43="Preventivo",W43="Automático"),"50%",IF(AND(V43="Preventivo",W43="Manual"),"40%",IF(AND(V43="Detectivo",W43="Automático"),"40%",IF(AND(V43="Detectivo",W43="Manual"),"30%",IF(AND(V43="Correctivo",W43="Automático"),"35%",IF(AND(V43="Correctivo",W43="Manual"),"25%",""))))))</f>
        <v>40%</v>
      </c>
      <c r="Y43" s="263" t="s">
        <v>18</v>
      </c>
      <c r="Z43" s="263" t="s">
        <v>21</v>
      </c>
      <c r="AA43" s="263" t="s">
        <v>103</v>
      </c>
      <c r="AB43" s="265">
        <f t="shared" ref="AB43" si="69">IFERROR(IF(U43="Probabilidad",(L43-(+L43*X43)),IF(U43="Impacto",L43,"")),"")</f>
        <v>0.36</v>
      </c>
      <c r="AC43" s="266" t="str">
        <f>IFERROR(IF(AB43="","",IF(AB43&lt;=0.2,"Muy Baja",IF(AB43&lt;=0.4,"Baja",IF(AB43&lt;=0.6,"Media",IF(AB43&lt;=0.8,"Alta","Muy Alta"))))),"")</f>
        <v>Baja</v>
      </c>
      <c r="AD43" s="264">
        <f>+AB43</f>
        <v>0.36</v>
      </c>
      <c r="AE43" s="266" t="str">
        <f ca="1">IFERROR(IF(AF43="","",IF(AF43&lt;=0.2,"Leve",IF(AF43&lt;=0.4,"Menor",IF(AF43&lt;=0.6,"Moderado",IF(AF43&lt;=0.8,"Mayor","Catastrófico"))))),"")</f>
        <v>Mayor</v>
      </c>
      <c r="AF43" s="264">
        <f ca="1">IFERROR(IF(U43="Impacto",(P43-(+P43*X43)),IF(U43="Probabilidad",P43,"")),"")</f>
        <v>0.8</v>
      </c>
      <c r="AG43" s="267" t="str">
        <f ca="1">IFERROR(IF(OR(AND(AC43="Muy Baja",AE43="Leve"),AND(AC43="Muy Baja",AE43="Menor"),AND(AC43="Baja",AE43="Leve")),"Bajo",IF(OR(AND(AC43="Muy baja",AE43="Moderado"),AND(AC43="Baja",AE43="Menor"),AND(AC43="Baja",AE43="Moderado"),AND(AC43="Media",AE43="Leve"),AND(AC43="Media",AE43="Menor"),AND(AC43="Media",AE43="Moderado"),AND(AC43="Alta",AE43="Leve"),AND(AC43="Alta",AE43="Menor")),"Moderado",IF(OR(AND(AC43="Muy Baja",AE43="Mayor"),AND(AC43="Baja",AE43="Mayor"),AND(AC43="Media",AE43="Mayor"),AND(AC43="Alta",AE43="Moderado"),AND(AC43="Alta",AE43="Mayor"),AND(AC43="Muy Alta",AE43="Leve"),AND(AC43="Muy Alta",AE43="Menor"),AND(AC43="Muy Alta",AE43="Moderado"),AND(AC43="Muy Alta",AE43="Mayor")),"Alto",IF(OR(AND(AC43="Muy Baja",AE43="Catastrófico"),AND(AC43="Baja",AE43="Catastrófico"),AND(AC43="Media",AE43="Catastrófico"),AND(AC43="Alta",AE43="Catastrófico"),AND(AC43="Muy Alta",AE43="Catastrófico")),"Extremo","")))),"")</f>
        <v>Alto</v>
      </c>
      <c r="AH43" s="263" t="s">
        <v>26</v>
      </c>
      <c r="AI43" s="273">
        <v>4</v>
      </c>
      <c r="AJ43" s="273">
        <v>1</v>
      </c>
      <c r="AK43" s="273">
        <v>1</v>
      </c>
      <c r="AL43" s="273">
        <v>1</v>
      </c>
      <c r="AM43" s="273">
        <v>1</v>
      </c>
      <c r="AN43" s="268"/>
      <c r="AO43" s="268"/>
      <c r="AP43" s="258"/>
      <c r="AQ43" s="269"/>
      <c r="AR43" s="270"/>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c r="BY43" s="323"/>
    </row>
    <row r="44" spans="1:77" s="113" customFormat="1" ht="14.25" hidden="1" x14ac:dyDescent="0.2">
      <c r="A44" s="437"/>
      <c r="B44" s="438"/>
      <c r="C44" s="434"/>
      <c r="D44" s="434"/>
      <c r="E44" s="434"/>
      <c r="F44" s="435"/>
      <c r="G44" s="436"/>
      <c r="H44" s="435"/>
      <c r="I44" s="435"/>
      <c r="J44" s="439"/>
      <c r="K44" s="430"/>
      <c r="L44" s="431"/>
      <c r="M44" s="432"/>
      <c r="N44" s="310">
        <f ca="1">IF(NOT(ISERROR(MATCH(M44,_xlfn.ANCHORARRAY(G19),0))),L21&amp;"Por favor no seleccionar los criterios de impacto",M44)</f>
        <v>0</v>
      </c>
      <c r="O44" s="430"/>
      <c r="P44" s="431"/>
      <c r="Q44" s="433"/>
      <c r="R44" s="316">
        <v>2</v>
      </c>
      <c r="S44" s="330"/>
      <c r="T44" s="312"/>
      <c r="U44" s="262" t="str">
        <f>IF(OR(V44="Preventivo",V44="Detectivo"),"Probabilidad",IF(V44="Correctivo","Impacto",""))</f>
        <v/>
      </c>
      <c r="V44" s="237"/>
      <c r="W44" s="237"/>
      <c r="X44" s="209" t="str">
        <f>IF(AND(V44="Preventivo",W44="Automático"),"50%",IF(AND(V44="Preventivo",W44="Manual"),"40%",IF(AND(V44="Detectivo",W44="Automático"),"40%",IF(AND(V44="Detectivo",W44="Manual"),"30%",IF(AND(V44="Correctivo",W44="Automático"),"35%",IF(AND(V44="Correctivo",W44="Manual"),"25%",""))))))</f>
        <v/>
      </c>
      <c r="Y44" s="237"/>
      <c r="Z44" s="237"/>
      <c r="AA44" s="237"/>
      <c r="AB44" s="210" t="str">
        <f t="shared" ref="AB44" si="70">IFERROR(IF(AND(U43="Probabilidad",U44="Probabilidad"),(AD43-(+AD43*X44)),IF(U44="Probabilidad",(L43-(+L43*X44)),IF(U44="Impacto",AD43,""))),"")</f>
        <v/>
      </c>
      <c r="AC44" s="211" t="str">
        <f t="shared" ref="AC44:AC48" si="71">IFERROR(IF(AB44="","",IF(AB44&lt;=0.2,"Muy Baja",IF(AB44&lt;=0.4,"Baja",IF(AB44&lt;=0.6,"Media",IF(AB44&lt;=0.8,"Alta","Muy Alta"))))),"")</f>
        <v/>
      </c>
      <c r="AD44" s="209" t="str">
        <f>+AB44</f>
        <v/>
      </c>
      <c r="AE44" s="211" t="str">
        <f t="shared" ref="AE44:AE48" si="72">IFERROR(IF(AF44="","",IF(AF44&lt;=0.2,"Leve",IF(AF44&lt;=0.4,"Menor",IF(AF44&lt;=0.6,"Moderado",IF(AF44&lt;=0.8,"Mayor","Catastrófico"))))),"")</f>
        <v/>
      </c>
      <c r="AF44" s="209" t="str">
        <f>IFERROR(IF(AND(U43="Impacto",U44="Impacto"),(AF43-(+AF43*X44)),IF(U44="Impacto",($P$37-(+$P$37*X44)),IF(U44="Probabilidad",AF43,""))),"")</f>
        <v/>
      </c>
      <c r="AG44" s="212" t="str">
        <f t="shared" ref="AG44:AG45" si="73">IFERROR(IF(OR(AND(AC44="Muy Baja",AE44="Leve"),AND(AC44="Muy Baja",AE44="Menor"),AND(AC44="Baja",AE44="Leve")),"Bajo",IF(OR(AND(AC44="Muy baja",AE44="Moderado"),AND(AC44="Baja",AE44="Menor"),AND(AC44="Baja",AE44="Moderado"),AND(AC44="Media",AE44="Leve"),AND(AC44="Media",AE44="Menor"),AND(AC44="Media",AE44="Moderado"),AND(AC44="Alta",AE44="Leve"),AND(AC44="Alta",AE44="Menor")),"Moderado",IF(OR(AND(AC44="Muy Baja",AE44="Mayor"),AND(AC44="Baja",AE44="Mayor"),AND(AC44="Media",AE44="Mayor"),AND(AC44="Alta",AE44="Moderado"),AND(AC44="Alta",AE44="Mayor"),AND(AC44="Muy Alta",AE44="Leve"),AND(AC44="Muy Alta",AE44="Menor"),AND(AC44="Muy Alta",AE44="Moderado"),AND(AC44="Muy Alta",AE44="Mayor")),"Alto",IF(OR(AND(AC44="Muy Baja",AE44="Catastrófico"),AND(AC44="Baja",AE44="Catastrófico"),AND(AC44="Media",AE44="Catastrófico"),AND(AC44="Alta",AE44="Catastrófico"),AND(AC44="Muy Alta",AE44="Catastrófico")),"Extremo","")))),"")</f>
        <v/>
      </c>
      <c r="AH44" s="237"/>
      <c r="AI44" s="318"/>
      <c r="AJ44" s="318"/>
      <c r="AK44" s="318"/>
      <c r="AL44" s="318"/>
      <c r="AM44" s="318"/>
      <c r="AN44" s="299"/>
      <c r="AO44" s="299"/>
      <c r="AP44" s="259"/>
      <c r="AQ44" s="220"/>
      <c r="AR44" s="299"/>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row>
    <row r="45" spans="1:77" s="113" customFormat="1" ht="18" hidden="1" customHeight="1" x14ac:dyDescent="0.2">
      <c r="A45" s="437"/>
      <c r="B45" s="438"/>
      <c r="C45" s="434"/>
      <c r="D45" s="434"/>
      <c r="E45" s="434"/>
      <c r="F45" s="435"/>
      <c r="G45" s="436"/>
      <c r="H45" s="435"/>
      <c r="I45" s="435"/>
      <c r="J45" s="439"/>
      <c r="K45" s="430"/>
      <c r="L45" s="431"/>
      <c r="M45" s="432"/>
      <c r="N45" s="310">
        <f ca="1">IF(NOT(ISERROR(MATCH(M45,_xlfn.ANCHORARRAY(G20),0))),L22&amp;"Por favor no seleccionar los criterios de impacto",M45)</f>
        <v>0</v>
      </c>
      <c r="O45" s="430"/>
      <c r="P45" s="431"/>
      <c r="Q45" s="433"/>
      <c r="R45" s="316">
        <v>3</v>
      </c>
      <c r="S45" s="330"/>
      <c r="T45" s="312"/>
      <c r="U45" s="208" t="str">
        <f>IF(OR(V45="Preventivo",V45="Detectivo"),"Probabilidad",IF(V45="Correctivo","Impacto",""))</f>
        <v/>
      </c>
      <c r="V45" s="237"/>
      <c r="W45" s="237"/>
      <c r="X45" s="209" t="str">
        <f>IF(AND(V45="Preventivo",W45="Automático"),"50%",IF(AND(V45="Preventivo",W45="Manual"),"40%",IF(AND(V45="Detectivo",W45="Automático"),"40%",IF(AND(V45="Detectivo",W45="Manual"),"30%",IF(AND(V45="Correctivo",W45="Automático"),"35%",IF(AND(V45="Correctivo",W45="Manual"),"25%",""))))))</f>
        <v/>
      </c>
      <c r="Y45" s="237"/>
      <c r="Z45" s="237"/>
      <c r="AA45" s="237"/>
      <c r="AB45" s="210" t="str">
        <f t="shared" ref="AB45:AB48" si="74">IFERROR(IF(AND(U44="Probabilidad",U45="Probabilidad"),(AD44-(+AD44*X45)),IF(AND(U44="Impacto",U45="Probabilidad"),(AD43-(+AD43*X45)),IF(U45="Impacto",AD44,""))),"")</f>
        <v/>
      </c>
      <c r="AC45" s="211" t="str">
        <f t="shared" si="71"/>
        <v/>
      </c>
      <c r="AD45" s="209" t="str">
        <f t="shared" ref="AD45:AD48" si="75">+AB45</f>
        <v/>
      </c>
      <c r="AE45" s="211" t="str">
        <f t="shared" si="72"/>
        <v/>
      </c>
      <c r="AF45" s="209" t="str">
        <f>IFERROR(IF(AND(U44="Impacto",U45="Impacto"),(AF44-(+AF44*X45)),IF(U45="Impacto",($P$31-(+$P$31*X45)),IF(U45="Probabilidad",AF44,""))),"")</f>
        <v/>
      </c>
      <c r="AG45" s="212" t="str">
        <f t="shared" si="73"/>
        <v/>
      </c>
      <c r="AH45" s="237"/>
      <c r="AI45" s="318"/>
      <c r="AJ45" s="318"/>
      <c r="AK45" s="318"/>
      <c r="AL45" s="318"/>
      <c r="AM45" s="318"/>
      <c r="AN45" s="299"/>
      <c r="AO45" s="299"/>
      <c r="AP45" s="259"/>
      <c r="AQ45" s="220"/>
      <c r="AR45" s="299"/>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row>
    <row r="46" spans="1:77" s="113" customFormat="1" ht="18" hidden="1" customHeight="1" x14ac:dyDescent="0.2">
      <c r="A46" s="437"/>
      <c r="B46" s="438"/>
      <c r="C46" s="434"/>
      <c r="D46" s="434"/>
      <c r="E46" s="434"/>
      <c r="F46" s="435"/>
      <c r="G46" s="436"/>
      <c r="H46" s="435"/>
      <c r="I46" s="435"/>
      <c r="J46" s="439"/>
      <c r="K46" s="430"/>
      <c r="L46" s="431"/>
      <c r="M46" s="432"/>
      <c r="N46" s="310">
        <f ca="1">IF(NOT(ISERROR(MATCH(M46,_xlfn.ANCHORARRAY(G21),0))),L23&amp;"Por favor no seleccionar los criterios de impacto",M46)</f>
        <v>0</v>
      </c>
      <c r="O46" s="430"/>
      <c r="P46" s="431"/>
      <c r="Q46" s="433"/>
      <c r="R46" s="316">
        <v>4</v>
      </c>
      <c r="S46" s="330"/>
      <c r="T46" s="312"/>
      <c r="U46" s="208" t="str">
        <f t="shared" ref="U46:U48" si="76">IF(OR(V46="Preventivo",V46="Detectivo"),"Probabilidad",IF(V46="Correctivo","Impacto",""))</f>
        <v/>
      </c>
      <c r="V46" s="237"/>
      <c r="W46" s="237"/>
      <c r="X46" s="209" t="str">
        <f t="shared" ref="X46:X48" si="77">IF(AND(V46="Preventivo",W46="Automático"),"50%",IF(AND(V46="Preventivo",W46="Manual"),"40%",IF(AND(V46="Detectivo",W46="Automático"),"40%",IF(AND(V46="Detectivo",W46="Manual"),"30%",IF(AND(V46="Correctivo",W46="Automático"),"35%",IF(AND(V46="Correctivo",W46="Manual"),"25%",""))))))</f>
        <v/>
      </c>
      <c r="Y46" s="237"/>
      <c r="Z46" s="237"/>
      <c r="AA46" s="237"/>
      <c r="AB46" s="210" t="str">
        <f t="shared" si="74"/>
        <v/>
      </c>
      <c r="AC46" s="211" t="str">
        <f t="shared" si="71"/>
        <v/>
      </c>
      <c r="AD46" s="209" t="str">
        <f t="shared" si="75"/>
        <v/>
      </c>
      <c r="AE46" s="211" t="str">
        <f t="shared" si="72"/>
        <v/>
      </c>
      <c r="AF46" s="209" t="str">
        <f t="shared" ref="AF46:AF47" si="78">IFERROR(IF(AND(U45="Impacto",U46="Impacto"),(AF45-(+AF45*X46)),IF(U46="Impacto",($P$31-(+$P$31*X46)),IF(U46="Probabilidad",AF45,""))),"")</f>
        <v/>
      </c>
      <c r="AG46" s="212" t="str">
        <f>IFERROR(IF(OR(AND(AC46="Muy Baja",AE46="Leve"),AND(AC46="Muy Baja",AE46="Menor"),AND(AC46="Baja",AE46="Leve")),"Bajo",IF(OR(AND(AC46="Muy baja",AE46="Moderado"),AND(AC46="Baja",AE46="Menor"),AND(AC46="Baja",AE46="Moderado"),AND(AC46="Media",AE46="Leve"),AND(AC46="Media",AE46="Menor"),AND(AC46="Media",AE46="Moderado"),AND(AC46="Alta",AE46="Leve"),AND(AC46="Alta",AE46="Menor")),"Moderado",IF(OR(AND(AC46="Muy Baja",AE46="Mayor"),AND(AC46="Baja",AE46="Mayor"),AND(AC46="Media",AE46="Mayor"),AND(AC46="Alta",AE46="Moderado"),AND(AC46="Alta",AE46="Mayor"),AND(AC46="Muy Alta",AE46="Leve"),AND(AC46="Muy Alta",AE46="Menor"),AND(AC46="Muy Alta",AE46="Moderado"),AND(AC46="Muy Alta",AE46="Mayor")),"Alto",IF(OR(AND(AC46="Muy Baja",AE46="Catastrófico"),AND(AC46="Baja",AE46="Catastrófico"),AND(AC46="Media",AE46="Catastrófico"),AND(AC46="Alta",AE46="Catastrófico"),AND(AC46="Muy Alta",AE46="Catastrófico")),"Extremo","")))),"")</f>
        <v/>
      </c>
      <c r="AH46" s="237"/>
      <c r="AI46" s="318"/>
      <c r="AJ46" s="318"/>
      <c r="AK46" s="318"/>
      <c r="AL46" s="318"/>
      <c r="AM46" s="318"/>
      <c r="AN46" s="213"/>
      <c r="AO46" s="213"/>
      <c r="AP46" s="301"/>
      <c r="AQ46" s="220"/>
      <c r="AR46" s="21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3"/>
      <c r="BW46" s="323"/>
      <c r="BX46" s="323"/>
      <c r="BY46" s="323"/>
    </row>
    <row r="47" spans="1:77" s="113" customFormat="1" ht="18" hidden="1" customHeight="1" x14ac:dyDescent="0.2">
      <c r="A47" s="437"/>
      <c r="B47" s="438"/>
      <c r="C47" s="434"/>
      <c r="D47" s="434"/>
      <c r="E47" s="434"/>
      <c r="F47" s="435"/>
      <c r="G47" s="436"/>
      <c r="H47" s="435"/>
      <c r="I47" s="435"/>
      <c r="J47" s="439"/>
      <c r="K47" s="430"/>
      <c r="L47" s="431"/>
      <c r="M47" s="432"/>
      <c r="N47" s="310">
        <f ca="1">IF(NOT(ISERROR(MATCH(M47,_xlfn.ANCHORARRAY(G22),0))),L24&amp;"Por favor no seleccionar los criterios de impacto",M47)</f>
        <v>0</v>
      </c>
      <c r="O47" s="430"/>
      <c r="P47" s="431"/>
      <c r="Q47" s="433"/>
      <c r="R47" s="316">
        <v>5</v>
      </c>
      <c r="S47" s="330"/>
      <c r="T47" s="312"/>
      <c r="U47" s="208" t="str">
        <f t="shared" si="76"/>
        <v/>
      </c>
      <c r="V47" s="237"/>
      <c r="W47" s="237"/>
      <c r="X47" s="209" t="str">
        <f t="shared" si="77"/>
        <v/>
      </c>
      <c r="Y47" s="237"/>
      <c r="Z47" s="237"/>
      <c r="AA47" s="237"/>
      <c r="AB47" s="210" t="str">
        <f t="shared" si="74"/>
        <v/>
      </c>
      <c r="AC47" s="211" t="str">
        <f t="shared" si="71"/>
        <v/>
      </c>
      <c r="AD47" s="209" t="str">
        <f t="shared" si="75"/>
        <v/>
      </c>
      <c r="AE47" s="211" t="str">
        <f t="shared" si="72"/>
        <v/>
      </c>
      <c r="AF47" s="209" t="str">
        <f t="shared" si="78"/>
        <v/>
      </c>
      <c r="AG47" s="212" t="str">
        <f t="shared" ref="AG47:AG48" si="79">IFERROR(IF(OR(AND(AC47="Muy Baja",AE47="Leve"),AND(AC47="Muy Baja",AE47="Menor"),AND(AC47="Baja",AE47="Leve")),"Bajo",IF(OR(AND(AC47="Muy baja",AE47="Moderado"),AND(AC47="Baja",AE47="Menor"),AND(AC47="Baja",AE47="Moderado"),AND(AC47="Media",AE47="Leve"),AND(AC47="Media",AE47="Menor"),AND(AC47="Media",AE47="Moderado"),AND(AC47="Alta",AE47="Leve"),AND(AC47="Alta",AE47="Menor")),"Moderado",IF(OR(AND(AC47="Muy Baja",AE47="Mayor"),AND(AC47="Baja",AE47="Mayor"),AND(AC47="Media",AE47="Mayor"),AND(AC47="Alta",AE47="Moderado"),AND(AC47="Alta",AE47="Mayor"),AND(AC47="Muy Alta",AE47="Leve"),AND(AC47="Muy Alta",AE47="Menor"),AND(AC47="Muy Alta",AE47="Moderado"),AND(AC47="Muy Alta",AE47="Mayor")),"Alto",IF(OR(AND(AC47="Muy Baja",AE47="Catastrófico"),AND(AC47="Baja",AE47="Catastrófico"),AND(AC47="Media",AE47="Catastrófico"),AND(AC47="Alta",AE47="Catastrófico"),AND(AC47="Muy Alta",AE47="Catastrófico")),"Extremo","")))),"")</f>
        <v/>
      </c>
      <c r="AH47" s="237"/>
      <c r="AI47" s="318"/>
      <c r="AJ47" s="318"/>
      <c r="AK47" s="318"/>
      <c r="AL47" s="318"/>
      <c r="AM47" s="318"/>
      <c r="AN47" s="300"/>
      <c r="AO47" s="300"/>
      <c r="AP47" s="298"/>
      <c r="AQ47" s="216"/>
      <c r="AR47" s="216"/>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row>
    <row r="48" spans="1:77" s="113" customFormat="1" ht="18" hidden="1" customHeight="1" x14ac:dyDescent="0.2">
      <c r="A48" s="437"/>
      <c r="B48" s="438"/>
      <c r="C48" s="434"/>
      <c r="D48" s="434"/>
      <c r="E48" s="434"/>
      <c r="F48" s="435"/>
      <c r="G48" s="436"/>
      <c r="H48" s="435"/>
      <c r="I48" s="435"/>
      <c r="J48" s="439"/>
      <c r="K48" s="430"/>
      <c r="L48" s="431"/>
      <c r="M48" s="432"/>
      <c r="N48" s="310">
        <f ca="1">IF(NOT(ISERROR(MATCH(M48,_xlfn.ANCHORARRAY(G23),0))),L25&amp;"Por favor no seleccionar los criterios de impacto",M48)</f>
        <v>0</v>
      </c>
      <c r="O48" s="430"/>
      <c r="P48" s="431"/>
      <c r="Q48" s="433"/>
      <c r="R48" s="316">
        <v>6</v>
      </c>
      <c r="S48" s="330"/>
      <c r="T48" s="312"/>
      <c r="U48" s="208" t="str">
        <f t="shared" si="76"/>
        <v/>
      </c>
      <c r="V48" s="237"/>
      <c r="W48" s="237"/>
      <c r="X48" s="209" t="str">
        <f t="shared" si="77"/>
        <v/>
      </c>
      <c r="Y48" s="237"/>
      <c r="Z48" s="237"/>
      <c r="AA48" s="237"/>
      <c r="AB48" s="210" t="str">
        <f t="shared" si="74"/>
        <v/>
      </c>
      <c r="AC48" s="211" t="str">
        <f t="shared" si="71"/>
        <v/>
      </c>
      <c r="AD48" s="209" t="str">
        <f t="shared" si="75"/>
        <v/>
      </c>
      <c r="AE48" s="211" t="str">
        <f t="shared" si="72"/>
        <v/>
      </c>
      <c r="AF48" s="209" t="str">
        <f>IFERROR(IF(AND(U47="Impacto",U48="Impacto"),(AF47-(+AF47*X48)),IF(U48="Impacto",($P$31-(+$P$31*X48)),IF(U48="Probabilidad",AF47,""))),"")</f>
        <v/>
      </c>
      <c r="AG48" s="212" t="str">
        <f t="shared" si="79"/>
        <v/>
      </c>
      <c r="AH48" s="237"/>
      <c r="AI48" s="318"/>
      <c r="AJ48" s="318"/>
      <c r="AK48" s="318"/>
      <c r="AL48" s="318"/>
      <c r="AM48" s="318"/>
      <c r="AN48" s="300"/>
      <c r="AO48" s="300"/>
      <c r="AP48" s="298"/>
      <c r="AQ48" s="216"/>
      <c r="AR48" s="216"/>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row>
    <row r="49" spans="1:77" s="271" customFormat="1" ht="242.25" customHeight="1" x14ac:dyDescent="0.2">
      <c r="A49" s="437" t="s">
        <v>763</v>
      </c>
      <c r="B49" s="438" t="s">
        <v>596</v>
      </c>
      <c r="C49" s="434" t="s">
        <v>625</v>
      </c>
      <c r="D49" s="434" t="s">
        <v>107</v>
      </c>
      <c r="E49" s="434" t="s">
        <v>1087</v>
      </c>
      <c r="F49" s="435" t="s">
        <v>685</v>
      </c>
      <c r="G49" s="436" t="s">
        <v>767</v>
      </c>
      <c r="H49" s="435" t="s">
        <v>655</v>
      </c>
      <c r="I49" s="435" t="s">
        <v>1070</v>
      </c>
      <c r="J49" s="439">
        <v>31405</v>
      </c>
      <c r="K49" s="430" t="str">
        <f t="shared" ref="K49" si="80">IF(J49&lt;=0,"",IF(J49&lt;=2,"Muy Baja",IF(J49&lt;=24,"Baja",IF(J49&lt;=500,"Media",IF(J49&lt;=5000,"Alta","Muy Alta")))))</f>
        <v>Muy Alta</v>
      </c>
      <c r="L49" s="431">
        <f>IF(K49="","",IF(K49="Muy Baja",0.2,IF(K49="Baja",0.4,IF(K49="Media",0.6,IF(K49="Alta",0.8,IF(K49="Muy Alta",1,))))))</f>
        <v>1</v>
      </c>
      <c r="M49" s="432" t="s">
        <v>122</v>
      </c>
      <c r="N49" s="310" t="str">
        <f ca="1">IF(NOT(ISERROR(MATCH(M49,'Tabla Impacto'!$B$221:$B$223,0))),'Tabla Impacto'!$F$223&amp;"Por favor no seleccionar los criterios de impacto(Afectación Económica o presupuestal y Pérdida Reputacional)",M49)</f>
        <v xml:space="preserve">     El riesgo afecta la imagen de de la entidad con efecto publicitario sostenido a nivel de sector administrativo, nivel departamental o municipal</v>
      </c>
      <c r="O49" s="430" t="str">
        <f ca="1">IF(OR(N49='Tabla Impacto'!$C$11,N49='Tabla Impacto'!$D$11),"Leve",IF(OR(N49='Tabla Impacto'!$C$12,N49='Tabla Impacto'!$D$12),"Menor",IF(OR(N49='Tabla Impacto'!$C$13,N49='Tabla Impacto'!$D$13),"Moderado",IF(OR(N49='Tabla Impacto'!$C$14,N49='Tabla Impacto'!$D$14),"Mayor",IF(OR(N49='Tabla Impacto'!$C$15,N49='Tabla Impacto'!$D$15),"Catastrófico","")))))</f>
        <v>Mayor</v>
      </c>
      <c r="P49" s="431">
        <f ca="1">IF(O49="","",IF(O49="Leve",0.2,IF(O49="Menor",0.4,IF(O49="Moderado",0.6,IF(O49="Mayor",0.8,IF(O49="Catastrófico",1,))))))</f>
        <v>0.8</v>
      </c>
      <c r="Q49" s="433"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261">
        <v>1</v>
      </c>
      <c r="S49" s="334" t="s">
        <v>768</v>
      </c>
      <c r="T49" s="272" t="s">
        <v>292</v>
      </c>
      <c r="U49" s="262" t="str">
        <f>IF(OR(V49="Preventivo",V49="Detectivo"),"Probabilidad",IF(V49="Correctivo","Impacto",""))</f>
        <v>Probabilidad</v>
      </c>
      <c r="V49" s="263" t="s">
        <v>13</v>
      </c>
      <c r="W49" s="263" t="s">
        <v>8</v>
      </c>
      <c r="X49" s="264" t="str">
        <f>IF(AND(V49="Preventivo",W49="Automático"),"50%",IF(AND(V49="Preventivo",W49="Manual"),"40%",IF(AND(V49="Detectivo",W49="Automático"),"40%",IF(AND(V49="Detectivo",W49="Manual"),"30%",IF(AND(V49="Correctivo",W49="Automático"),"35%",IF(AND(V49="Correctivo",W49="Manual"),"25%",""))))))</f>
        <v>40%</v>
      </c>
      <c r="Y49" s="263" t="s">
        <v>18</v>
      </c>
      <c r="Z49" s="263" t="s">
        <v>21</v>
      </c>
      <c r="AA49" s="263" t="s">
        <v>103</v>
      </c>
      <c r="AB49" s="265">
        <f t="shared" ref="AB49" si="81">IFERROR(IF(U49="Probabilidad",(L49-(+L49*X49)),IF(U49="Impacto",L49,"")),"")</f>
        <v>0.6</v>
      </c>
      <c r="AC49" s="266" t="str">
        <f>IFERROR(IF(AB49="","",IF(AB49&lt;=0.2,"Muy Baja",IF(AB49&lt;=0.4,"Baja",IF(AB49&lt;=0.6,"Media",IF(AB49&lt;=0.8,"Alta","Muy Alta"))))),"")</f>
        <v>Media</v>
      </c>
      <c r="AD49" s="264">
        <f>+AB49</f>
        <v>0.6</v>
      </c>
      <c r="AE49" s="266" t="str">
        <f ca="1">IFERROR(IF(AF49="","",IF(AF49&lt;=0.2,"Leve",IF(AF49&lt;=0.4,"Menor",IF(AF49&lt;=0.6,"Moderado",IF(AF49&lt;=0.8,"Mayor","Catastrófico"))))),"")</f>
        <v>Mayor</v>
      </c>
      <c r="AF49" s="264">
        <f ca="1">IFERROR(IF(U49="Impacto",(P49-(+P49*X49)),IF(U49="Probabilidad",P49,"")),"")</f>
        <v>0.8</v>
      </c>
      <c r="AG49" s="267" t="str">
        <f ca="1">IFERROR(IF(OR(AND(AC49="Muy Baja",AE49="Leve"),AND(AC49="Muy Baja",AE49="Menor"),AND(AC49="Baja",AE49="Leve")),"Bajo",IF(OR(AND(AC49="Muy baja",AE49="Moderado"),AND(AC49="Baja",AE49="Menor"),AND(AC49="Baja",AE49="Moderado"),AND(AC49="Media",AE49="Leve"),AND(AC49="Media",AE49="Menor"),AND(AC49="Media",AE49="Moderado"),AND(AC49="Alta",AE49="Leve"),AND(AC49="Alta",AE49="Menor")),"Moderado",IF(OR(AND(AC49="Muy Baja",AE49="Mayor"),AND(AC49="Baja",AE49="Mayor"),AND(AC49="Media",AE49="Mayor"),AND(AC49="Alta",AE49="Moderado"),AND(AC49="Alta",AE49="Mayor"),AND(AC49="Muy Alta",AE49="Leve"),AND(AC49="Muy Alta",AE49="Menor"),AND(AC49="Muy Alta",AE49="Moderado"),AND(AC49="Muy Alta",AE49="Mayor")),"Alto",IF(OR(AND(AC49="Muy Baja",AE49="Catastrófico"),AND(AC49="Baja",AE49="Catastrófico"),AND(AC49="Media",AE49="Catastrófico"),AND(AC49="Alta",AE49="Catastrófico"),AND(AC49="Muy Alta",AE49="Catastrófico")),"Extremo","")))),"")</f>
        <v>Alto</v>
      </c>
      <c r="AH49" s="263" t="s">
        <v>26</v>
      </c>
      <c r="AI49" s="273">
        <v>12</v>
      </c>
      <c r="AJ49" s="273">
        <v>3</v>
      </c>
      <c r="AK49" s="273">
        <v>3</v>
      </c>
      <c r="AL49" s="273">
        <v>3</v>
      </c>
      <c r="AM49" s="273">
        <v>3</v>
      </c>
      <c r="AN49" s="268"/>
      <c r="AO49" s="268"/>
      <c r="AP49" s="258"/>
      <c r="AQ49" s="269"/>
      <c r="AR49" s="270"/>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row>
    <row r="50" spans="1:77" s="113" customFormat="1" ht="18" hidden="1" customHeight="1" x14ac:dyDescent="0.2">
      <c r="A50" s="437"/>
      <c r="B50" s="438"/>
      <c r="C50" s="434"/>
      <c r="D50" s="434"/>
      <c r="E50" s="434"/>
      <c r="F50" s="435"/>
      <c r="G50" s="436"/>
      <c r="H50" s="435"/>
      <c r="I50" s="435"/>
      <c r="J50" s="439"/>
      <c r="K50" s="430"/>
      <c r="L50" s="431"/>
      <c r="M50" s="432"/>
      <c r="N50" s="310">
        <f ca="1">IF(NOT(ISERROR(MATCH(M50,_xlfn.ANCHORARRAY(G19),0))),L21&amp;"Por favor no seleccionar los criterios de impacto",M50)</f>
        <v>0</v>
      </c>
      <c r="O50" s="430"/>
      <c r="P50" s="431"/>
      <c r="Q50" s="433"/>
      <c r="R50" s="316">
        <v>2</v>
      </c>
      <c r="S50" s="330"/>
      <c r="T50" s="312"/>
      <c r="U50" s="208"/>
      <c r="V50" s="237"/>
      <c r="W50" s="237"/>
      <c r="X50" s="209" t="str">
        <f>IF(AND(V50="Preventivo",W50="Automático"),"50%",IF(AND(V50="Preventivo",W50="Manual"),"40%",IF(AND(V50="Detectivo",W50="Automático"),"40%",IF(AND(V50="Detectivo",W50="Manual"),"30%",IF(AND(V50="Correctivo",W50="Automático"),"35%",IF(AND(V50="Correctivo",W50="Manual"),"25%",""))))))</f>
        <v/>
      </c>
      <c r="Y50" s="237"/>
      <c r="Z50" s="237"/>
      <c r="AA50" s="237"/>
      <c r="AB50" s="210" t="str">
        <f t="shared" ref="AB50" si="82">IFERROR(IF(AND(U49="Probabilidad",U50="Probabilidad"),(AD49-(+AD49*X50)),IF(U50="Probabilidad",(L49-(+L49*X50)),IF(U50="Impacto",AD49,""))),"")</f>
        <v/>
      </c>
      <c r="AC50" s="211" t="str">
        <f t="shared" ref="AC50:AC54" si="83">IFERROR(IF(AB50="","",IF(AB50&lt;=0.2,"Muy Baja",IF(AB50&lt;=0.4,"Baja",IF(AB50&lt;=0.6,"Media",IF(AB50&lt;=0.8,"Alta","Muy Alta"))))),"")</f>
        <v/>
      </c>
      <c r="AD50" s="209" t="str">
        <f>+AB50</f>
        <v/>
      </c>
      <c r="AE50" s="211" t="str">
        <f t="shared" ref="AE50:AE54" si="84">IFERROR(IF(AF50="","",IF(AF50&lt;=0.2,"Leve",IF(AF50&lt;=0.4,"Menor",IF(AF50&lt;=0.6,"Moderado",IF(AF50&lt;=0.8,"Mayor","Catastrófico"))))),"")</f>
        <v/>
      </c>
      <c r="AF50" s="209" t="str">
        <f>IFERROR(IF(AND(U49="Impacto",U50="Impacto"),(AF49-(+AF49*X50)),IF(U50="Impacto",($P$37-(+$P$37*X50)),IF(U50="Probabilidad",AF49,""))),"")</f>
        <v/>
      </c>
      <c r="AG50" s="212" t="str">
        <f t="shared" ref="AG50:AG51" si="85">IFERROR(IF(OR(AND(AC50="Muy Baja",AE50="Leve"),AND(AC50="Muy Baja",AE50="Menor"),AND(AC50="Baja",AE50="Leve")),"Bajo",IF(OR(AND(AC50="Muy baja",AE50="Moderado"),AND(AC50="Baja",AE50="Menor"),AND(AC50="Baja",AE50="Moderado"),AND(AC50="Media",AE50="Leve"),AND(AC50="Media",AE50="Menor"),AND(AC50="Media",AE50="Moderado"),AND(AC50="Alta",AE50="Leve"),AND(AC50="Alta",AE50="Menor")),"Moderado",IF(OR(AND(AC50="Muy Baja",AE50="Mayor"),AND(AC50="Baja",AE50="Mayor"),AND(AC50="Media",AE50="Mayor"),AND(AC50="Alta",AE50="Moderado"),AND(AC50="Alta",AE50="Mayor"),AND(AC50="Muy Alta",AE50="Leve"),AND(AC50="Muy Alta",AE50="Menor"),AND(AC50="Muy Alta",AE50="Moderado"),AND(AC50="Muy Alta",AE50="Mayor")),"Alto",IF(OR(AND(AC50="Muy Baja",AE50="Catastrófico"),AND(AC50="Baja",AE50="Catastrófico"),AND(AC50="Media",AE50="Catastrófico"),AND(AC50="Alta",AE50="Catastrófico"),AND(AC50="Muy Alta",AE50="Catastrófico")),"Extremo","")))),"")</f>
        <v/>
      </c>
      <c r="AH50" s="237"/>
      <c r="AI50" s="318"/>
      <c r="AJ50" s="318"/>
      <c r="AK50" s="318"/>
      <c r="AL50" s="318"/>
      <c r="AM50" s="318"/>
      <c r="AN50" s="299"/>
      <c r="AO50" s="299"/>
      <c r="AP50" s="259"/>
      <c r="AQ50" s="220"/>
      <c r="AR50" s="299"/>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row>
    <row r="51" spans="1:77" s="113" customFormat="1" ht="18" hidden="1" customHeight="1" x14ac:dyDescent="0.2">
      <c r="A51" s="437"/>
      <c r="B51" s="438"/>
      <c r="C51" s="434"/>
      <c r="D51" s="434"/>
      <c r="E51" s="434"/>
      <c r="F51" s="435"/>
      <c r="G51" s="436"/>
      <c r="H51" s="435"/>
      <c r="I51" s="435"/>
      <c r="J51" s="439"/>
      <c r="K51" s="430"/>
      <c r="L51" s="431"/>
      <c r="M51" s="432"/>
      <c r="N51" s="310">
        <f ca="1">IF(NOT(ISERROR(MATCH(M51,_xlfn.ANCHORARRAY(G20),0))),L22&amp;"Por favor no seleccionar los criterios de impacto",M51)</f>
        <v>0</v>
      </c>
      <c r="O51" s="430"/>
      <c r="P51" s="431"/>
      <c r="Q51" s="433"/>
      <c r="R51" s="316">
        <v>3</v>
      </c>
      <c r="S51" s="330"/>
      <c r="T51" s="312"/>
      <c r="U51" s="208" t="str">
        <f>IF(OR(V51="Preventivo",V51="Detectivo"),"Probabilidad",IF(V51="Correctivo","Impacto",""))</f>
        <v/>
      </c>
      <c r="V51" s="237"/>
      <c r="W51" s="237"/>
      <c r="X51" s="209" t="str">
        <f>IF(AND(V51="Preventivo",W51="Automático"),"50%",IF(AND(V51="Preventivo",W51="Manual"),"40%",IF(AND(V51="Detectivo",W51="Automático"),"40%",IF(AND(V51="Detectivo",W51="Manual"),"30%",IF(AND(V51="Correctivo",W51="Automático"),"35%",IF(AND(V51="Correctivo",W51="Manual"),"25%",""))))))</f>
        <v/>
      </c>
      <c r="Y51" s="237"/>
      <c r="Z51" s="237"/>
      <c r="AA51" s="237"/>
      <c r="AB51" s="210" t="str">
        <f t="shared" ref="AB51:AB54" si="86">IFERROR(IF(AND(U50="Probabilidad",U51="Probabilidad"),(AD50-(+AD50*X51)),IF(AND(U50="Impacto",U51="Probabilidad"),(AD49-(+AD49*X51)),IF(U51="Impacto",AD50,""))),"")</f>
        <v/>
      </c>
      <c r="AC51" s="211" t="str">
        <f t="shared" si="83"/>
        <v/>
      </c>
      <c r="AD51" s="209" t="str">
        <f t="shared" ref="AD51:AD54" si="87">+AB51</f>
        <v/>
      </c>
      <c r="AE51" s="211" t="str">
        <f t="shared" si="84"/>
        <v/>
      </c>
      <c r="AF51" s="209" t="str">
        <f>IFERROR(IF(AND(U50="Impacto",U51="Impacto"),(AF50-(+AF50*X51)),IF(U51="Impacto",($P$31-(+$P$31*X51)),IF(U51="Probabilidad",AF50,""))),"")</f>
        <v/>
      </c>
      <c r="AG51" s="212" t="str">
        <f t="shared" si="85"/>
        <v/>
      </c>
      <c r="AH51" s="237"/>
      <c r="AI51" s="318"/>
      <c r="AJ51" s="318"/>
      <c r="AK51" s="318"/>
      <c r="AL51" s="318"/>
      <c r="AM51" s="318"/>
      <c r="AN51" s="299"/>
      <c r="AO51" s="299"/>
      <c r="AP51" s="259"/>
      <c r="AQ51" s="220"/>
      <c r="AR51" s="299"/>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row>
    <row r="52" spans="1:77" s="113" customFormat="1" ht="18" hidden="1" customHeight="1" x14ac:dyDescent="0.2">
      <c r="A52" s="437"/>
      <c r="B52" s="438"/>
      <c r="C52" s="434"/>
      <c r="D52" s="434"/>
      <c r="E52" s="434"/>
      <c r="F52" s="435"/>
      <c r="G52" s="436"/>
      <c r="H52" s="435"/>
      <c r="I52" s="435"/>
      <c r="J52" s="439"/>
      <c r="K52" s="430"/>
      <c r="L52" s="431"/>
      <c r="M52" s="432"/>
      <c r="N52" s="310">
        <f ca="1">IF(NOT(ISERROR(MATCH(M52,_xlfn.ANCHORARRAY(G21),0))),L23&amp;"Por favor no seleccionar los criterios de impacto",M52)</f>
        <v>0</v>
      </c>
      <c r="O52" s="430"/>
      <c r="P52" s="431"/>
      <c r="Q52" s="433"/>
      <c r="R52" s="316">
        <v>4</v>
      </c>
      <c r="S52" s="330"/>
      <c r="T52" s="312"/>
      <c r="U52" s="208" t="str">
        <f t="shared" ref="U52:U54" si="88">IF(OR(V52="Preventivo",V52="Detectivo"),"Probabilidad",IF(V52="Correctivo","Impacto",""))</f>
        <v/>
      </c>
      <c r="V52" s="237"/>
      <c r="W52" s="237"/>
      <c r="X52" s="209" t="str">
        <f t="shared" ref="X52:X54" si="89">IF(AND(V52="Preventivo",W52="Automático"),"50%",IF(AND(V52="Preventivo",W52="Manual"),"40%",IF(AND(V52="Detectivo",W52="Automático"),"40%",IF(AND(V52="Detectivo",W52="Manual"),"30%",IF(AND(V52="Correctivo",W52="Automático"),"35%",IF(AND(V52="Correctivo",W52="Manual"),"25%",""))))))</f>
        <v/>
      </c>
      <c r="Y52" s="237"/>
      <c r="Z52" s="237"/>
      <c r="AA52" s="237"/>
      <c r="AB52" s="210" t="str">
        <f t="shared" si="86"/>
        <v/>
      </c>
      <c r="AC52" s="211" t="str">
        <f t="shared" si="83"/>
        <v/>
      </c>
      <c r="AD52" s="209" t="str">
        <f t="shared" si="87"/>
        <v/>
      </c>
      <c r="AE52" s="211" t="str">
        <f t="shared" si="84"/>
        <v/>
      </c>
      <c r="AF52" s="209" t="str">
        <f t="shared" ref="AF52:AF53" si="90">IFERROR(IF(AND(U51="Impacto",U52="Impacto"),(AF51-(+AF51*X52)),IF(U52="Impacto",($P$31-(+$P$31*X52)),IF(U52="Probabilidad",AF51,""))),"")</f>
        <v/>
      </c>
      <c r="AG52" s="212" t="str">
        <f>IFERROR(IF(OR(AND(AC52="Muy Baja",AE52="Leve"),AND(AC52="Muy Baja",AE52="Menor"),AND(AC52="Baja",AE52="Leve")),"Bajo",IF(OR(AND(AC52="Muy baja",AE52="Moderado"),AND(AC52="Baja",AE52="Menor"),AND(AC52="Baja",AE52="Moderado"),AND(AC52="Media",AE52="Leve"),AND(AC52="Media",AE52="Menor"),AND(AC52="Media",AE52="Moderado"),AND(AC52="Alta",AE52="Leve"),AND(AC52="Alta",AE52="Menor")),"Moderado",IF(OR(AND(AC52="Muy Baja",AE52="Mayor"),AND(AC52="Baja",AE52="Mayor"),AND(AC52="Media",AE52="Mayor"),AND(AC52="Alta",AE52="Moderado"),AND(AC52="Alta",AE52="Mayor"),AND(AC52="Muy Alta",AE52="Leve"),AND(AC52="Muy Alta",AE52="Menor"),AND(AC52="Muy Alta",AE52="Moderado"),AND(AC52="Muy Alta",AE52="Mayor")),"Alto",IF(OR(AND(AC52="Muy Baja",AE52="Catastrófico"),AND(AC52="Baja",AE52="Catastrófico"),AND(AC52="Media",AE52="Catastrófico"),AND(AC52="Alta",AE52="Catastrófico"),AND(AC52="Muy Alta",AE52="Catastrófico")),"Extremo","")))),"")</f>
        <v/>
      </c>
      <c r="AH52" s="237"/>
      <c r="AI52" s="318"/>
      <c r="AJ52" s="318"/>
      <c r="AK52" s="318"/>
      <c r="AL52" s="318"/>
      <c r="AM52" s="318"/>
      <c r="AN52" s="213"/>
      <c r="AO52" s="213"/>
      <c r="AP52" s="301"/>
      <c r="AQ52" s="220"/>
      <c r="AR52" s="21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3"/>
    </row>
    <row r="53" spans="1:77" s="113" customFormat="1" ht="18" hidden="1" customHeight="1" x14ac:dyDescent="0.2">
      <c r="A53" s="437"/>
      <c r="B53" s="438"/>
      <c r="C53" s="434"/>
      <c r="D53" s="434"/>
      <c r="E53" s="434"/>
      <c r="F53" s="435"/>
      <c r="G53" s="436"/>
      <c r="H53" s="435"/>
      <c r="I53" s="435"/>
      <c r="J53" s="439"/>
      <c r="K53" s="430"/>
      <c r="L53" s="431"/>
      <c r="M53" s="432"/>
      <c r="N53" s="310">
        <f ca="1">IF(NOT(ISERROR(MATCH(M53,_xlfn.ANCHORARRAY(G22),0))),L24&amp;"Por favor no seleccionar los criterios de impacto",M53)</f>
        <v>0</v>
      </c>
      <c r="O53" s="430"/>
      <c r="P53" s="431"/>
      <c r="Q53" s="433"/>
      <c r="R53" s="316">
        <v>5</v>
      </c>
      <c r="S53" s="330"/>
      <c r="T53" s="312"/>
      <c r="U53" s="208" t="str">
        <f t="shared" si="88"/>
        <v/>
      </c>
      <c r="V53" s="237"/>
      <c r="W53" s="237"/>
      <c r="X53" s="209" t="str">
        <f t="shared" si="89"/>
        <v/>
      </c>
      <c r="Y53" s="237"/>
      <c r="Z53" s="237"/>
      <c r="AA53" s="237"/>
      <c r="AB53" s="210" t="str">
        <f t="shared" si="86"/>
        <v/>
      </c>
      <c r="AC53" s="211" t="str">
        <f t="shared" si="83"/>
        <v/>
      </c>
      <c r="AD53" s="209" t="str">
        <f t="shared" si="87"/>
        <v/>
      </c>
      <c r="AE53" s="211" t="str">
        <f t="shared" si="84"/>
        <v/>
      </c>
      <c r="AF53" s="209" t="str">
        <f t="shared" si="90"/>
        <v/>
      </c>
      <c r="AG53" s="212" t="str">
        <f t="shared" ref="AG53:AG54" si="91">IFERROR(IF(OR(AND(AC53="Muy Baja",AE53="Leve"),AND(AC53="Muy Baja",AE53="Menor"),AND(AC53="Baja",AE53="Leve")),"Bajo",IF(OR(AND(AC53="Muy baja",AE53="Moderado"),AND(AC53="Baja",AE53="Menor"),AND(AC53="Baja",AE53="Moderado"),AND(AC53="Media",AE53="Leve"),AND(AC53="Media",AE53="Menor"),AND(AC53="Media",AE53="Moderado"),AND(AC53="Alta",AE53="Leve"),AND(AC53="Alta",AE53="Menor")),"Moderado",IF(OR(AND(AC53="Muy Baja",AE53="Mayor"),AND(AC53="Baja",AE53="Mayor"),AND(AC53="Media",AE53="Mayor"),AND(AC53="Alta",AE53="Moderado"),AND(AC53="Alta",AE53="Mayor"),AND(AC53="Muy Alta",AE53="Leve"),AND(AC53="Muy Alta",AE53="Menor"),AND(AC53="Muy Alta",AE53="Moderado"),AND(AC53="Muy Alta",AE53="Mayor")),"Alto",IF(OR(AND(AC53="Muy Baja",AE53="Catastrófico"),AND(AC53="Baja",AE53="Catastrófico"),AND(AC53="Media",AE53="Catastrófico"),AND(AC53="Alta",AE53="Catastrófico"),AND(AC53="Muy Alta",AE53="Catastrófico")),"Extremo","")))),"")</f>
        <v/>
      </c>
      <c r="AH53" s="237"/>
      <c r="AI53" s="318"/>
      <c r="AJ53" s="318"/>
      <c r="AK53" s="318"/>
      <c r="AL53" s="318"/>
      <c r="AM53" s="318"/>
      <c r="AN53" s="300"/>
      <c r="AO53" s="300"/>
      <c r="AP53" s="298"/>
      <c r="AQ53" s="216"/>
      <c r="AR53" s="216"/>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row>
    <row r="54" spans="1:77" s="113" customFormat="1" ht="18" hidden="1" customHeight="1" x14ac:dyDescent="0.2">
      <c r="A54" s="437"/>
      <c r="B54" s="438"/>
      <c r="C54" s="434"/>
      <c r="D54" s="434"/>
      <c r="E54" s="434"/>
      <c r="F54" s="435"/>
      <c r="G54" s="436"/>
      <c r="H54" s="435"/>
      <c r="I54" s="435"/>
      <c r="J54" s="439"/>
      <c r="K54" s="430"/>
      <c r="L54" s="431"/>
      <c r="M54" s="432"/>
      <c r="N54" s="310">
        <f ca="1">IF(NOT(ISERROR(MATCH(M54,_xlfn.ANCHORARRAY(G23),0))),L25&amp;"Por favor no seleccionar los criterios de impacto",M54)</f>
        <v>0</v>
      </c>
      <c r="O54" s="430"/>
      <c r="P54" s="431"/>
      <c r="Q54" s="433"/>
      <c r="R54" s="316">
        <v>6</v>
      </c>
      <c r="S54" s="330"/>
      <c r="T54" s="312"/>
      <c r="U54" s="208" t="str">
        <f t="shared" si="88"/>
        <v/>
      </c>
      <c r="V54" s="237"/>
      <c r="W54" s="237"/>
      <c r="X54" s="209" t="str">
        <f t="shared" si="89"/>
        <v/>
      </c>
      <c r="Y54" s="237"/>
      <c r="Z54" s="237"/>
      <c r="AA54" s="237"/>
      <c r="AB54" s="210" t="str">
        <f t="shared" si="86"/>
        <v/>
      </c>
      <c r="AC54" s="211" t="str">
        <f t="shared" si="83"/>
        <v/>
      </c>
      <c r="AD54" s="209" t="str">
        <f t="shared" si="87"/>
        <v/>
      </c>
      <c r="AE54" s="211" t="str">
        <f t="shared" si="84"/>
        <v/>
      </c>
      <c r="AF54" s="209" t="str">
        <f>IFERROR(IF(AND(U53="Impacto",U54="Impacto"),(AF53-(+AF53*X54)),IF(U54="Impacto",($P$31-(+$P$31*X54)),IF(U54="Probabilidad",AF53,""))),"")</f>
        <v/>
      </c>
      <c r="AG54" s="212" t="str">
        <f t="shared" si="91"/>
        <v/>
      </c>
      <c r="AH54" s="237"/>
      <c r="AI54" s="318"/>
      <c r="AJ54" s="318"/>
      <c r="AK54" s="318"/>
      <c r="AL54" s="318"/>
      <c r="AM54" s="318"/>
      <c r="AN54" s="300"/>
      <c r="AO54" s="300"/>
      <c r="AP54" s="298"/>
      <c r="AQ54" s="216"/>
      <c r="AR54" s="216"/>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row>
    <row r="55" spans="1:77" s="271" customFormat="1" ht="128.25" x14ac:dyDescent="0.2">
      <c r="A55" s="437" t="s">
        <v>769</v>
      </c>
      <c r="B55" s="438" t="s">
        <v>597</v>
      </c>
      <c r="C55" s="434" t="s">
        <v>619</v>
      </c>
      <c r="D55" s="434" t="s">
        <v>109</v>
      </c>
      <c r="E55" s="434" t="s">
        <v>771</v>
      </c>
      <c r="F55" s="435" t="s">
        <v>685</v>
      </c>
      <c r="G55" s="436" t="s">
        <v>770</v>
      </c>
      <c r="H55" s="435" t="s">
        <v>658</v>
      </c>
      <c r="I55" s="435" t="s">
        <v>1071</v>
      </c>
      <c r="J55" s="439">
        <v>365</v>
      </c>
      <c r="K55" s="430" t="str">
        <f t="shared" ref="K55" si="92">IF(J55&lt;=0,"",IF(J55&lt;=2,"Muy Baja",IF(J55&lt;=24,"Baja",IF(J55&lt;=500,"Media",IF(J55&lt;=5000,"Alta","Muy Alta")))))</f>
        <v>Media</v>
      </c>
      <c r="L55" s="431">
        <f>IF(K55="","",IF(K55="Muy Baja",0.2,IF(K55="Baja",0.4,IF(K55="Media",0.6,IF(K55="Alta",0.8,IF(K55="Muy Alta",1,))))))</f>
        <v>0.6</v>
      </c>
      <c r="M55" s="432" t="s">
        <v>117</v>
      </c>
      <c r="N55" s="310" t="str">
        <f ca="1">IF(NOT(ISERROR(MATCH(M55,'Tabla Impacto'!$B$221:$B$223,0))),'Tabla Impacto'!$F$223&amp;"Por favor no seleccionar los criterios de impacto(Afectación Económica o presupuestal y Pérdida Reputacional)",M55)</f>
        <v xml:space="preserve">     Entre 100 y 500 SMLMV </v>
      </c>
      <c r="O55" s="430" t="str">
        <f ca="1">IF(OR(N55='Tabla Impacto'!$C$11,N55='Tabla Impacto'!$D$11),"Leve",IF(OR(N55='Tabla Impacto'!$C$12,N55='Tabla Impacto'!$D$12),"Menor",IF(OR(N55='Tabla Impacto'!$C$13,N55='Tabla Impacto'!$D$13),"Moderado",IF(OR(N55='Tabla Impacto'!$C$14,N55='Tabla Impacto'!$D$14),"Mayor",IF(OR(N55='Tabla Impacto'!$C$15,N55='Tabla Impacto'!$D$15),"Catastrófico","")))))</f>
        <v>Mayor</v>
      </c>
      <c r="P55" s="431">
        <f ca="1">IF(O55="","",IF(O55="Leve",0.2,IF(O55="Menor",0.4,IF(O55="Moderado",0.6,IF(O55="Mayor",0.8,IF(O55="Catastrófico",1,))))))</f>
        <v>0.8</v>
      </c>
      <c r="Q55" s="433" t="str">
        <f ca="1">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Alto</v>
      </c>
      <c r="R55" s="261">
        <v>1</v>
      </c>
      <c r="S55" s="334" t="s">
        <v>772</v>
      </c>
      <c r="T55" s="272" t="s">
        <v>293</v>
      </c>
      <c r="U55" s="262" t="str">
        <f>IF(OR(V55="Preventivo",V55="Detectivo"),"Probabilidad",IF(V55="Correctivo","Impacto",""))</f>
        <v>Probabilidad</v>
      </c>
      <c r="V55" s="263" t="s">
        <v>14</v>
      </c>
      <c r="W55" s="263" t="s">
        <v>8</v>
      </c>
      <c r="X55" s="264" t="str">
        <f>IF(AND(V55="Preventivo",W55="Automático"),"50%",IF(AND(V55="Preventivo",W55="Manual"),"40%",IF(AND(V55="Detectivo",W55="Automático"),"40%",IF(AND(V55="Detectivo",W55="Manual"),"30%",IF(AND(V55="Correctivo",W55="Automático"),"35%",IF(AND(V55="Correctivo",W55="Manual"),"25%",""))))))</f>
        <v>30%</v>
      </c>
      <c r="Y55" s="263" t="s">
        <v>19</v>
      </c>
      <c r="Z55" s="263" t="s">
        <v>21</v>
      </c>
      <c r="AA55" s="263" t="s">
        <v>103</v>
      </c>
      <c r="AB55" s="265">
        <f t="shared" ref="AB55" si="93">IFERROR(IF(U55="Probabilidad",(L55-(+L55*X55)),IF(U55="Impacto",L55,"")),"")</f>
        <v>0.42</v>
      </c>
      <c r="AC55" s="266" t="str">
        <f>IFERROR(IF(AB55="","",IF(AB55&lt;=0.2,"Muy Baja",IF(AB55&lt;=0.4,"Baja",IF(AB55&lt;=0.6,"Media",IF(AB55&lt;=0.8,"Alta","Muy Alta"))))),"")</f>
        <v>Media</v>
      </c>
      <c r="AD55" s="264">
        <f>+AB55</f>
        <v>0.42</v>
      </c>
      <c r="AE55" s="266" t="str">
        <f ca="1">IFERROR(IF(AF55="","",IF(AF55&lt;=0.2,"Leve",IF(AF55&lt;=0.4,"Menor",IF(AF55&lt;=0.6,"Moderado",IF(AF55&lt;=0.8,"Mayor","Catastrófico"))))),"")</f>
        <v>Mayor</v>
      </c>
      <c r="AF55" s="264">
        <f ca="1">IFERROR(IF(U55="Impacto",(P55-(+P55*X55)),IF(U55="Probabilidad",P55,"")),"")</f>
        <v>0.8</v>
      </c>
      <c r="AG55" s="267" t="str">
        <f ca="1">IFERROR(IF(OR(AND(AC55="Muy Baja",AE55="Leve"),AND(AC55="Muy Baja",AE55="Menor"),AND(AC55="Baja",AE55="Leve")),"Bajo",IF(OR(AND(AC55="Muy baja",AE55="Moderado"),AND(AC55="Baja",AE55="Menor"),AND(AC55="Baja",AE55="Moderado"),AND(AC55="Media",AE55="Leve"),AND(AC55="Media",AE55="Menor"),AND(AC55="Media",AE55="Moderado"),AND(AC55="Alta",AE55="Leve"),AND(AC55="Alta",AE55="Menor")),"Moderado",IF(OR(AND(AC55="Muy Baja",AE55="Mayor"),AND(AC55="Baja",AE55="Mayor"),AND(AC55="Media",AE55="Mayor"),AND(AC55="Alta",AE55="Moderado"),AND(AC55="Alta",AE55="Mayor"),AND(AC55="Muy Alta",AE55="Leve"),AND(AC55="Muy Alta",AE55="Menor"),AND(AC55="Muy Alta",AE55="Moderado"),AND(AC55="Muy Alta",AE55="Mayor")),"Alto",IF(OR(AND(AC55="Muy Baja",AE55="Catastrófico"),AND(AC55="Baja",AE55="Catastrófico"),AND(AC55="Media",AE55="Catastrófico"),AND(AC55="Alta",AE55="Catastrófico"),AND(AC55="Muy Alta",AE55="Catastrófico")),"Extremo","")))),"")</f>
        <v>Alto</v>
      </c>
      <c r="AH55" s="263" t="s">
        <v>26</v>
      </c>
      <c r="AI55" s="273">
        <v>4</v>
      </c>
      <c r="AJ55" s="273">
        <v>1</v>
      </c>
      <c r="AK55" s="273">
        <v>1</v>
      </c>
      <c r="AL55" s="273">
        <v>1</v>
      </c>
      <c r="AM55" s="273">
        <v>1</v>
      </c>
      <c r="AN55" s="268"/>
      <c r="AO55" s="268"/>
      <c r="AP55" s="258"/>
      <c r="AQ55" s="269"/>
      <c r="AR55" s="270"/>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row>
    <row r="56" spans="1:77" s="113" customFormat="1" ht="128.25" x14ac:dyDescent="0.2">
      <c r="A56" s="437"/>
      <c r="B56" s="438"/>
      <c r="C56" s="434"/>
      <c r="D56" s="434"/>
      <c r="E56" s="434"/>
      <c r="F56" s="435"/>
      <c r="G56" s="436"/>
      <c r="H56" s="435"/>
      <c r="I56" s="435"/>
      <c r="J56" s="439"/>
      <c r="K56" s="430"/>
      <c r="L56" s="431"/>
      <c r="M56" s="432"/>
      <c r="N56" s="310">
        <f ca="1">IF(NOT(ISERROR(MATCH(M56,_xlfn.ANCHORARRAY(G25),0))),L27&amp;"Por favor no seleccionar los criterios de impacto",M56)</f>
        <v>0</v>
      </c>
      <c r="O56" s="430"/>
      <c r="P56" s="431"/>
      <c r="Q56" s="433"/>
      <c r="R56" s="316">
        <v>2</v>
      </c>
      <c r="S56" s="330" t="s">
        <v>773</v>
      </c>
      <c r="T56" s="312" t="s">
        <v>293</v>
      </c>
      <c r="U56" s="302" t="str">
        <f>IF(OR(V56="Preventivo",V56="Detectivo"),"Probabilidad",IF(V56="Correctivo","Impacto",""))</f>
        <v>Probabilidad</v>
      </c>
      <c r="V56" s="237" t="s">
        <v>13</v>
      </c>
      <c r="W56" s="237" t="s">
        <v>8</v>
      </c>
      <c r="X56" s="209" t="str">
        <f>IF(AND(V56="Preventivo",W56="Automático"),"50%",IF(AND(V56="Preventivo",W56="Manual"),"40%",IF(AND(V56="Detectivo",W56="Automático"),"40%",IF(AND(V56="Detectivo",W56="Manual"),"30%",IF(AND(V56="Correctivo",W56="Automático"),"35%",IF(AND(V56="Correctivo",W56="Manual"),"25%",""))))))</f>
        <v>40%</v>
      </c>
      <c r="Y56" s="237" t="s">
        <v>18</v>
      </c>
      <c r="Z56" s="237" t="s">
        <v>21</v>
      </c>
      <c r="AA56" s="237" t="s">
        <v>103</v>
      </c>
      <c r="AB56" s="210">
        <f t="shared" ref="AB56" si="94">IFERROR(IF(AND(U55="Probabilidad",U56="Probabilidad"),(AD55-(+AD55*X56)),IF(U56="Probabilidad",(L55-(+L55*X56)),IF(U56="Impacto",AD55,""))),"")</f>
        <v>0.252</v>
      </c>
      <c r="AC56" s="211" t="str">
        <f t="shared" ref="AC56:AC60" si="95">IFERROR(IF(AB56="","",IF(AB56&lt;=0.2,"Muy Baja",IF(AB56&lt;=0.4,"Baja",IF(AB56&lt;=0.6,"Media",IF(AB56&lt;=0.8,"Alta","Muy Alta"))))),"")</f>
        <v>Baja</v>
      </c>
      <c r="AD56" s="209">
        <f>+AB56</f>
        <v>0.252</v>
      </c>
      <c r="AE56" s="211" t="str">
        <f t="shared" ref="AE56:AE60" ca="1" si="96">IFERROR(IF(AF56="","",IF(AF56&lt;=0.2,"Leve",IF(AF56&lt;=0.4,"Menor",IF(AF56&lt;=0.6,"Moderado",IF(AF56&lt;=0.8,"Mayor","Catastrófico"))))),"")</f>
        <v>Mayor</v>
      </c>
      <c r="AF56" s="209">
        <f ca="1">IFERROR(IF(AND(U55="Impacto",U56="Impacto"),(AF55-(+AF55*X56)),IF(U56="Impacto",($P$37-(+$P$37*X56)),IF(U56="Probabilidad",AF55,""))),"")</f>
        <v>0.8</v>
      </c>
      <c r="AG56" s="212" t="str">
        <f t="shared" ref="AG56:AG57" ca="1" si="97">IFERROR(IF(OR(AND(AC56="Muy Baja",AE56="Leve"),AND(AC56="Muy Baja",AE56="Menor"),AND(AC56="Baja",AE56="Leve")),"Bajo",IF(OR(AND(AC56="Muy baja",AE56="Moderado"),AND(AC56="Baja",AE56="Menor"),AND(AC56="Baja",AE56="Moderado"),AND(AC56="Media",AE56="Leve"),AND(AC56="Media",AE56="Menor"),AND(AC56="Media",AE56="Moderado"),AND(AC56="Alta",AE56="Leve"),AND(AC56="Alta",AE56="Menor")),"Moderado",IF(OR(AND(AC56="Muy Baja",AE56="Mayor"),AND(AC56="Baja",AE56="Mayor"),AND(AC56="Media",AE56="Mayor"),AND(AC56="Alta",AE56="Moderado"),AND(AC56="Alta",AE56="Mayor"),AND(AC56="Muy Alta",AE56="Leve"),AND(AC56="Muy Alta",AE56="Menor"),AND(AC56="Muy Alta",AE56="Moderado"),AND(AC56="Muy Alta",AE56="Mayor")),"Alto",IF(OR(AND(AC56="Muy Baja",AE56="Catastrófico"),AND(AC56="Baja",AE56="Catastrófico"),AND(AC56="Media",AE56="Catastrófico"),AND(AC56="Alta",AE56="Catastrófico"),AND(AC56="Muy Alta",AE56="Catastrófico")),"Extremo","")))),"")</f>
        <v>Alto</v>
      </c>
      <c r="AH56" s="237" t="s">
        <v>26</v>
      </c>
      <c r="AI56" s="318">
        <v>1</v>
      </c>
      <c r="AJ56" s="318">
        <v>0</v>
      </c>
      <c r="AK56" s="318">
        <v>0</v>
      </c>
      <c r="AL56" s="318">
        <v>0</v>
      </c>
      <c r="AM56" s="318">
        <v>1</v>
      </c>
      <c r="AN56" s="299"/>
      <c r="AO56" s="299"/>
      <c r="AP56" s="259"/>
      <c r="AQ56" s="220"/>
      <c r="AR56" s="299"/>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row>
    <row r="57" spans="1:77" s="113" customFormat="1" ht="86.25" x14ac:dyDescent="0.2">
      <c r="A57" s="437"/>
      <c r="B57" s="438"/>
      <c r="C57" s="434"/>
      <c r="D57" s="434"/>
      <c r="E57" s="434"/>
      <c r="F57" s="435"/>
      <c r="G57" s="436"/>
      <c r="H57" s="435"/>
      <c r="I57" s="435"/>
      <c r="J57" s="439"/>
      <c r="K57" s="430"/>
      <c r="L57" s="431"/>
      <c r="M57" s="432"/>
      <c r="N57" s="310">
        <f ca="1">IF(NOT(ISERROR(MATCH(M57,_xlfn.ANCHORARRAY(G26),0))),L28&amp;"Por favor no seleccionar los criterios de impacto",M57)</f>
        <v>0</v>
      </c>
      <c r="O57" s="430"/>
      <c r="P57" s="431"/>
      <c r="Q57" s="433"/>
      <c r="R57" s="316">
        <v>3</v>
      </c>
      <c r="S57" s="330" t="s">
        <v>774</v>
      </c>
      <c r="T57" s="312" t="s">
        <v>293</v>
      </c>
      <c r="U57" s="302" t="str">
        <f>IF(OR(V57="Preventivo",V57="Detectivo"),"Probabilidad",IF(V57="Correctivo","Impacto",""))</f>
        <v>Probabilidad</v>
      </c>
      <c r="V57" s="237" t="s">
        <v>13</v>
      </c>
      <c r="W57" s="237" t="s">
        <v>8</v>
      </c>
      <c r="X57" s="209" t="str">
        <f>IF(AND(V57="Preventivo",W57="Automático"),"50%",IF(AND(V57="Preventivo",W57="Manual"),"40%",IF(AND(V57="Detectivo",W57="Automático"),"40%",IF(AND(V57="Detectivo",W57="Manual"),"30%",IF(AND(V57="Correctivo",W57="Automático"),"35%",IF(AND(V57="Correctivo",W57="Manual"),"25%",""))))))</f>
        <v>40%</v>
      </c>
      <c r="Y57" s="237" t="s">
        <v>19</v>
      </c>
      <c r="Z57" s="237" t="s">
        <v>21</v>
      </c>
      <c r="AA57" s="237" t="s">
        <v>103</v>
      </c>
      <c r="AB57" s="210">
        <f t="shared" ref="AB57:AB60" si="98">IFERROR(IF(AND(U56="Probabilidad",U57="Probabilidad"),(AD56-(+AD56*X57)),IF(AND(U56="Impacto",U57="Probabilidad"),(AD55-(+AD55*X57)),IF(U57="Impacto",AD56,""))),"")</f>
        <v>0.1512</v>
      </c>
      <c r="AC57" s="211" t="str">
        <f t="shared" si="95"/>
        <v>Muy Baja</v>
      </c>
      <c r="AD57" s="209">
        <f t="shared" ref="AD57:AD60" si="99">+AB57</f>
        <v>0.1512</v>
      </c>
      <c r="AE57" s="211" t="str">
        <f t="shared" ca="1" si="96"/>
        <v>Mayor</v>
      </c>
      <c r="AF57" s="209">
        <f ca="1">IFERROR(IF(AND(U56="Impacto",U57="Impacto"),(AF56-(+AF56*X57)),IF(U57="Impacto",($P$31-(+$P$31*X57)),IF(U57="Probabilidad",AF56,""))),"")</f>
        <v>0.8</v>
      </c>
      <c r="AG57" s="212" t="str">
        <f t="shared" ca="1" si="97"/>
        <v>Alto</v>
      </c>
      <c r="AH57" s="237" t="s">
        <v>26</v>
      </c>
      <c r="AI57" s="318">
        <v>1</v>
      </c>
      <c r="AJ57" s="318">
        <v>0</v>
      </c>
      <c r="AK57" s="318">
        <v>0</v>
      </c>
      <c r="AL57" s="318">
        <v>0</v>
      </c>
      <c r="AM57" s="318">
        <v>1</v>
      </c>
      <c r="AN57" s="299"/>
      <c r="AO57" s="299"/>
      <c r="AP57" s="259"/>
      <c r="AQ57" s="220"/>
      <c r="AR57" s="299"/>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row>
    <row r="58" spans="1:77" s="113" customFormat="1" ht="36.75" hidden="1" customHeight="1" x14ac:dyDescent="0.2">
      <c r="A58" s="437"/>
      <c r="B58" s="438"/>
      <c r="C58" s="434"/>
      <c r="D58" s="434"/>
      <c r="E58" s="434"/>
      <c r="F58" s="435"/>
      <c r="G58" s="436"/>
      <c r="H58" s="435"/>
      <c r="I58" s="435"/>
      <c r="J58" s="439"/>
      <c r="K58" s="430"/>
      <c r="L58" s="431"/>
      <c r="M58" s="432"/>
      <c r="N58" s="310">
        <f ca="1">IF(NOT(ISERROR(MATCH(M58,_xlfn.ANCHORARRAY(G27),0))),L29&amp;"Por favor no seleccionar los criterios de impacto",M58)</f>
        <v>0</v>
      </c>
      <c r="O58" s="430"/>
      <c r="P58" s="431"/>
      <c r="Q58" s="433"/>
      <c r="R58" s="316">
        <v>4</v>
      </c>
      <c r="S58" s="330"/>
      <c r="T58" s="312"/>
      <c r="U58" s="208" t="str">
        <f t="shared" ref="U58:U60" si="100">IF(OR(V58="Preventivo",V58="Detectivo"),"Probabilidad",IF(V58="Correctivo","Impacto",""))</f>
        <v/>
      </c>
      <c r="V58" s="237"/>
      <c r="W58" s="237"/>
      <c r="X58" s="209" t="str">
        <f t="shared" ref="X58:X60" si="101">IF(AND(V58="Preventivo",W58="Automático"),"50%",IF(AND(V58="Preventivo",W58="Manual"),"40%",IF(AND(V58="Detectivo",W58="Automático"),"40%",IF(AND(V58="Detectivo",W58="Manual"),"30%",IF(AND(V58="Correctivo",W58="Automático"),"35%",IF(AND(V58="Correctivo",W58="Manual"),"25%",""))))))</f>
        <v/>
      </c>
      <c r="Y58" s="237"/>
      <c r="Z58" s="237"/>
      <c r="AA58" s="237"/>
      <c r="AB58" s="210" t="str">
        <f t="shared" si="98"/>
        <v/>
      </c>
      <c r="AC58" s="211" t="str">
        <f t="shared" si="95"/>
        <v/>
      </c>
      <c r="AD58" s="209" t="str">
        <f t="shared" si="99"/>
        <v/>
      </c>
      <c r="AE58" s="211" t="str">
        <f t="shared" si="96"/>
        <v/>
      </c>
      <c r="AF58" s="209" t="str">
        <f t="shared" ref="AF58:AF59" si="102">IFERROR(IF(AND(U57="Impacto",U58="Impacto"),(AF57-(+AF57*X58)),IF(U58="Impacto",($P$31-(+$P$31*X58)),IF(U58="Probabilidad",AF57,""))),"")</f>
        <v/>
      </c>
      <c r="AG58" s="212" t="str">
        <f>IFERROR(IF(OR(AND(AC58="Muy Baja",AE58="Leve"),AND(AC58="Muy Baja",AE58="Menor"),AND(AC58="Baja",AE58="Leve")),"Bajo",IF(OR(AND(AC58="Muy baja",AE58="Moderado"),AND(AC58="Baja",AE58="Menor"),AND(AC58="Baja",AE58="Moderado"),AND(AC58="Media",AE58="Leve"),AND(AC58="Media",AE58="Menor"),AND(AC58="Media",AE58="Moderado"),AND(AC58="Alta",AE58="Leve"),AND(AC58="Alta",AE58="Menor")),"Moderado",IF(OR(AND(AC58="Muy Baja",AE58="Mayor"),AND(AC58="Baja",AE58="Mayor"),AND(AC58="Media",AE58="Mayor"),AND(AC58="Alta",AE58="Moderado"),AND(AC58="Alta",AE58="Mayor"),AND(AC58="Muy Alta",AE58="Leve"),AND(AC58="Muy Alta",AE58="Menor"),AND(AC58="Muy Alta",AE58="Moderado"),AND(AC58="Muy Alta",AE58="Mayor")),"Alto",IF(OR(AND(AC58="Muy Baja",AE58="Catastrófico"),AND(AC58="Baja",AE58="Catastrófico"),AND(AC58="Media",AE58="Catastrófico"),AND(AC58="Alta",AE58="Catastrófico"),AND(AC58="Muy Alta",AE58="Catastrófico")),"Extremo","")))),"")</f>
        <v/>
      </c>
      <c r="AH58" s="237"/>
      <c r="AI58" s="318"/>
      <c r="AJ58" s="318"/>
      <c r="AK58" s="318"/>
      <c r="AL58" s="318"/>
      <c r="AM58" s="318"/>
      <c r="AN58" s="213"/>
      <c r="AO58" s="213"/>
      <c r="AP58" s="301"/>
      <c r="AQ58" s="220"/>
      <c r="AR58" s="21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row>
    <row r="59" spans="1:77" s="113" customFormat="1" ht="36.75" hidden="1" customHeight="1" x14ac:dyDescent="0.2">
      <c r="A59" s="437"/>
      <c r="B59" s="438"/>
      <c r="C59" s="434"/>
      <c r="D59" s="434"/>
      <c r="E59" s="434"/>
      <c r="F59" s="435"/>
      <c r="G59" s="436"/>
      <c r="H59" s="435"/>
      <c r="I59" s="435"/>
      <c r="J59" s="439"/>
      <c r="K59" s="430"/>
      <c r="L59" s="431"/>
      <c r="M59" s="432"/>
      <c r="N59" s="310">
        <f ca="1">IF(NOT(ISERROR(MATCH(M59,_xlfn.ANCHORARRAY(G28),0))),L30&amp;"Por favor no seleccionar los criterios de impacto",M59)</f>
        <v>0</v>
      </c>
      <c r="O59" s="430"/>
      <c r="P59" s="431"/>
      <c r="Q59" s="433"/>
      <c r="R59" s="316">
        <v>5</v>
      </c>
      <c r="S59" s="330"/>
      <c r="T59" s="312"/>
      <c r="U59" s="208" t="str">
        <f t="shared" si="100"/>
        <v/>
      </c>
      <c r="V59" s="237"/>
      <c r="W59" s="237"/>
      <c r="X59" s="209" t="str">
        <f t="shared" si="101"/>
        <v/>
      </c>
      <c r="Y59" s="237"/>
      <c r="Z59" s="237"/>
      <c r="AA59" s="237"/>
      <c r="AB59" s="210" t="str">
        <f t="shared" si="98"/>
        <v/>
      </c>
      <c r="AC59" s="211" t="str">
        <f t="shared" si="95"/>
        <v/>
      </c>
      <c r="AD59" s="209" t="str">
        <f t="shared" si="99"/>
        <v/>
      </c>
      <c r="AE59" s="211" t="str">
        <f t="shared" si="96"/>
        <v/>
      </c>
      <c r="AF59" s="209" t="str">
        <f t="shared" si="102"/>
        <v/>
      </c>
      <c r="AG59" s="212" t="str">
        <f t="shared" ref="AG59:AG60" si="103">IFERROR(IF(OR(AND(AC59="Muy Baja",AE59="Leve"),AND(AC59="Muy Baja",AE59="Menor"),AND(AC59="Baja",AE59="Leve")),"Bajo",IF(OR(AND(AC59="Muy baja",AE59="Moderado"),AND(AC59="Baja",AE59="Menor"),AND(AC59="Baja",AE59="Moderado"),AND(AC59="Media",AE59="Leve"),AND(AC59="Media",AE59="Menor"),AND(AC59="Media",AE59="Moderado"),AND(AC59="Alta",AE59="Leve"),AND(AC59="Alta",AE59="Menor")),"Moderado",IF(OR(AND(AC59="Muy Baja",AE59="Mayor"),AND(AC59="Baja",AE59="Mayor"),AND(AC59="Media",AE59="Mayor"),AND(AC59="Alta",AE59="Moderado"),AND(AC59="Alta",AE59="Mayor"),AND(AC59="Muy Alta",AE59="Leve"),AND(AC59="Muy Alta",AE59="Menor"),AND(AC59="Muy Alta",AE59="Moderado"),AND(AC59="Muy Alta",AE59="Mayor")),"Alto",IF(OR(AND(AC59="Muy Baja",AE59="Catastrófico"),AND(AC59="Baja",AE59="Catastrófico"),AND(AC59="Media",AE59="Catastrófico"),AND(AC59="Alta",AE59="Catastrófico"),AND(AC59="Muy Alta",AE59="Catastrófico")),"Extremo","")))),"")</f>
        <v/>
      </c>
      <c r="AH59" s="237"/>
      <c r="AI59" s="318"/>
      <c r="AJ59" s="318"/>
      <c r="AK59" s="318"/>
      <c r="AL59" s="318"/>
      <c r="AM59" s="318"/>
      <c r="AN59" s="300"/>
      <c r="AO59" s="300"/>
      <c r="AP59" s="298"/>
      <c r="AQ59" s="216"/>
      <c r="AR59" s="216"/>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row>
    <row r="60" spans="1:77" s="113" customFormat="1" ht="36.75" hidden="1" customHeight="1" x14ac:dyDescent="0.2">
      <c r="A60" s="437"/>
      <c r="B60" s="438"/>
      <c r="C60" s="434"/>
      <c r="D60" s="434"/>
      <c r="E60" s="434"/>
      <c r="F60" s="435"/>
      <c r="G60" s="436"/>
      <c r="H60" s="435"/>
      <c r="I60" s="435"/>
      <c r="J60" s="439"/>
      <c r="K60" s="430"/>
      <c r="L60" s="431"/>
      <c r="M60" s="432"/>
      <c r="N60" s="310">
        <f ca="1">IF(NOT(ISERROR(MATCH(M60,_xlfn.ANCHORARRAY(G29),0))),L31&amp;"Por favor no seleccionar los criterios de impacto",M60)</f>
        <v>0</v>
      </c>
      <c r="O60" s="430"/>
      <c r="P60" s="431"/>
      <c r="Q60" s="433"/>
      <c r="R60" s="316">
        <v>6</v>
      </c>
      <c r="S60" s="330"/>
      <c r="T60" s="312"/>
      <c r="U60" s="208" t="str">
        <f t="shared" si="100"/>
        <v/>
      </c>
      <c r="V60" s="237"/>
      <c r="W60" s="237"/>
      <c r="X60" s="209" t="str">
        <f t="shared" si="101"/>
        <v/>
      </c>
      <c r="Y60" s="237"/>
      <c r="Z60" s="237"/>
      <c r="AA60" s="237"/>
      <c r="AB60" s="210" t="str">
        <f t="shared" si="98"/>
        <v/>
      </c>
      <c r="AC60" s="211" t="str">
        <f t="shared" si="95"/>
        <v/>
      </c>
      <c r="AD60" s="209" t="str">
        <f t="shared" si="99"/>
        <v/>
      </c>
      <c r="AE60" s="211" t="str">
        <f t="shared" si="96"/>
        <v/>
      </c>
      <c r="AF60" s="209" t="str">
        <f>IFERROR(IF(AND(U59="Impacto",U60="Impacto"),(AF59-(+AF59*X60)),IF(U60="Impacto",($P$31-(+$P$31*X60)),IF(U60="Probabilidad",AF59,""))),"")</f>
        <v/>
      </c>
      <c r="AG60" s="212" t="str">
        <f t="shared" si="103"/>
        <v/>
      </c>
      <c r="AH60" s="237"/>
      <c r="AI60" s="318"/>
      <c r="AJ60" s="318"/>
      <c r="AK60" s="318"/>
      <c r="AL60" s="318"/>
      <c r="AM60" s="318"/>
      <c r="AN60" s="300"/>
      <c r="AO60" s="300"/>
      <c r="AP60" s="298"/>
      <c r="AQ60" s="216"/>
      <c r="AR60" s="216"/>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row>
    <row r="61" spans="1:77" s="271" customFormat="1" ht="126.75" customHeight="1" x14ac:dyDescent="0.2">
      <c r="A61" s="437" t="s">
        <v>775</v>
      </c>
      <c r="B61" s="438" t="s">
        <v>597</v>
      </c>
      <c r="C61" s="434" t="s">
        <v>619</v>
      </c>
      <c r="D61" s="434" t="s">
        <v>107</v>
      </c>
      <c r="E61" s="434" t="s">
        <v>777</v>
      </c>
      <c r="F61" s="435" t="s">
        <v>685</v>
      </c>
      <c r="G61" s="436" t="s">
        <v>776</v>
      </c>
      <c r="H61" s="435" t="s">
        <v>655</v>
      </c>
      <c r="I61" s="435" t="s">
        <v>849</v>
      </c>
      <c r="J61" s="439">
        <v>286</v>
      </c>
      <c r="K61" s="430" t="str">
        <f t="shared" ref="K61" si="104">IF(J61&lt;=0,"",IF(J61&lt;=2,"Muy Baja",IF(J61&lt;=24,"Baja",IF(J61&lt;=500,"Media",IF(J61&lt;=5000,"Alta","Muy Alta")))))</f>
        <v>Media</v>
      </c>
      <c r="L61" s="431">
        <f>IF(K61="","",IF(K61="Muy Baja",0.2,IF(K61="Baja",0.4,IF(K61="Media",0.6,IF(K61="Alta",0.8,IF(K61="Muy Alta",1,))))))</f>
        <v>0.6</v>
      </c>
      <c r="M61" s="432" t="s">
        <v>121</v>
      </c>
      <c r="N61" s="310" t="str">
        <f ca="1">IF(NOT(ISERROR(MATCH(M61,'Tabla Impacto'!$B$221:$B$223,0))),'Tabla Impacto'!$F$223&amp;"Por favor no seleccionar los criterios de impacto(Afectación Económica o presupuestal y Pérdida Reputacional)",M61)</f>
        <v xml:space="preserve">     El riesgo afecta la imagen de la entidad con algunos usuarios de relevancia frente al logro de los objetivos</v>
      </c>
      <c r="O61" s="430" t="str">
        <f ca="1">IF(OR(N61='Tabla Impacto'!$C$11,N61='Tabla Impacto'!$D$11),"Leve",IF(OR(N61='Tabla Impacto'!$C$12,N61='Tabla Impacto'!$D$12),"Menor",IF(OR(N61='Tabla Impacto'!$C$13,N61='Tabla Impacto'!$D$13),"Moderado",IF(OR(N61='Tabla Impacto'!$C$14,N61='Tabla Impacto'!$D$14),"Mayor",IF(OR(N61='Tabla Impacto'!$C$15,N61='Tabla Impacto'!$D$15),"Catastrófico","")))))</f>
        <v>Moderado</v>
      </c>
      <c r="P61" s="431">
        <f ca="1">IF(O61="","",IF(O61="Leve",0.2,IF(O61="Menor",0.4,IF(O61="Moderado",0.6,IF(O61="Mayor",0.8,IF(O61="Catastrófico",1,))))))</f>
        <v>0.6</v>
      </c>
      <c r="Q61" s="433" t="str">
        <f ca="1">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Moderado</v>
      </c>
      <c r="R61" s="261">
        <v>1</v>
      </c>
      <c r="S61" s="334" t="s">
        <v>778</v>
      </c>
      <c r="T61" s="272" t="s">
        <v>293</v>
      </c>
      <c r="U61" s="262" t="str">
        <f>IF(OR(V61="Preventivo",V61="Detectivo"),"Probabilidad",IF(V61="Correctivo","Impacto",""))</f>
        <v>Probabilidad</v>
      </c>
      <c r="V61" s="263" t="s">
        <v>13</v>
      </c>
      <c r="W61" s="263" t="s">
        <v>8</v>
      </c>
      <c r="X61" s="264" t="str">
        <f>IF(AND(V61="Preventivo",W61="Automático"),"50%",IF(AND(V61="Preventivo",W61="Manual"),"40%",IF(AND(V61="Detectivo",W61="Automático"),"40%",IF(AND(V61="Detectivo",W61="Manual"),"30%",IF(AND(V61="Correctivo",W61="Automático"),"35%",IF(AND(V61="Correctivo",W61="Manual"),"25%",""))))))</f>
        <v>40%</v>
      </c>
      <c r="Y61" s="263" t="s">
        <v>19</v>
      </c>
      <c r="Z61" s="263" t="s">
        <v>21</v>
      </c>
      <c r="AA61" s="263" t="s">
        <v>103</v>
      </c>
      <c r="AB61" s="265">
        <f t="shared" ref="AB61" si="105">IFERROR(IF(U61="Probabilidad",(L61-(+L61*X61)),IF(U61="Impacto",L61,"")),"")</f>
        <v>0.36</v>
      </c>
      <c r="AC61" s="266" t="str">
        <f>IFERROR(IF(AB61="","",IF(AB61&lt;=0.2,"Muy Baja",IF(AB61&lt;=0.4,"Baja",IF(AB61&lt;=0.6,"Media",IF(AB61&lt;=0.8,"Alta","Muy Alta"))))),"")</f>
        <v>Baja</v>
      </c>
      <c r="AD61" s="264">
        <f>+AB61</f>
        <v>0.36</v>
      </c>
      <c r="AE61" s="266" t="str">
        <f ca="1">IFERROR(IF(AF61="","",IF(AF61&lt;=0.2,"Leve",IF(AF61&lt;=0.4,"Menor",IF(AF61&lt;=0.6,"Moderado",IF(AF61&lt;=0.8,"Mayor","Catastrófico"))))),"")</f>
        <v>Moderado</v>
      </c>
      <c r="AF61" s="264">
        <f ca="1">IFERROR(IF(U61="Impacto",(P61-(+P61*X61)),IF(U61="Probabilidad",P61,"")),"")</f>
        <v>0.6</v>
      </c>
      <c r="AG61" s="267" t="str">
        <f ca="1">IFERROR(IF(OR(AND(AC61="Muy Baja",AE61="Leve"),AND(AC61="Muy Baja",AE61="Menor"),AND(AC61="Baja",AE61="Leve")),"Bajo",IF(OR(AND(AC61="Muy baja",AE61="Moderado"),AND(AC61="Baja",AE61="Menor"),AND(AC61="Baja",AE61="Moderado"),AND(AC61="Media",AE61="Leve"),AND(AC61="Media",AE61="Menor"),AND(AC61="Media",AE61="Moderado"),AND(AC61="Alta",AE61="Leve"),AND(AC61="Alta",AE61="Menor")),"Moderado",IF(OR(AND(AC61="Muy Baja",AE61="Mayor"),AND(AC61="Baja",AE61="Mayor"),AND(AC61="Media",AE61="Mayor"),AND(AC61="Alta",AE61="Moderado"),AND(AC61="Alta",AE61="Mayor"),AND(AC61="Muy Alta",AE61="Leve"),AND(AC61="Muy Alta",AE61="Menor"),AND(AC61="Muy Alta",AE61="Moderado"),AND(AC61="Muy Alta",AE61="Mayor")),"Alto",IF(OR(AND(AC61="Muy Baja",AE61="Catastrófico"),AND(AC61="Baja",AE61="Catastrófico"),AND(AC61="Media",AE61="Catastrófico"),AND(AC61="Alta",AE61="Catastrófico"),AND(AC61="Muy Alta",AE61="Catastrófico")),"Extremo","")))),"")</f>
        <v>Moderado</v>
      </c>
      <c r="AH61" s="263" t="s">
        <v>26</v>
      </c>
      <c r="AI61" s="273">
        <v>0</v>
      </c>
      <c r="AJ61" s="273">
        <v>0</v>
      </c>
      <c r="AK61" s="273">
        <v>0</v>
      </c>
      <c r="AL61" s="273">
        <v>0</v>
      </c>
      <c r="AM61" s="273">
        <v>0</v>
      </c>
      <c r="AN61" s="268"/>
      <c r="AO61" s="268"/>
      <c r="AP61" s="258"/>
      <c r="AQ61" s="269"/>
      <c r="AR61" s="270"/>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row>
    <row r="62" spans="1:77" s="113" customFormat="1" ht="86.25" x14ac:dyDescent="0.2">
      <c r="A62" s="437"/>
      <c r="B62" s="438"/>
      <c r="C62" s="434"/>
      <c r="D62" s="434"/>
      <c r="E62" s="434"/>
      <c r="F62" s="435"/>
      <c r="G62" s="436"/>
      <c r="H62" s="435"/>
      <c r="I62" s="435"/>
      <c r="J62" s="439"/>
      <c r="K62" s="430"/>
      <c r="L62" s="431"/>
      <c r="M62" s="432"/>
      <c r="N62" s="310">
        <f ca="1">IF(NOT(ISERROR(MATCH(M62,_xlfn.ANCHORARRAY(G19),0))),L21&amp;"Por favor no seleccionar los criterios de impacto",M62)</f>
        <v>0</v>
      </c>
      <c r="O62" s="430"/>
      <c r="P62" s="431"/>
      <c r="Q62" s="433"/>
      <c r="R62" s="316">
        <v>2</v>
      </c>
      <c r="S62" s="335" t="s">
        <v>779</v>
      </c>
      <c r="T62" s="312" t="s">
        <v>293</v>
      </c>
      <c r="U62" s="302" t="str">
        <f>IF(OR(V62="Preventivo",V62="Detectivo"),"Probabilidad",IF(V62="Correctivo","Impacto",""))</f>
        <v>Probabilidad</v>
      </c>
      <c r="V62" s="237" t="s">
        <v>14</v>
      </c>
      <c r="W62" s="237" t="s">
        <v>8</v>
      </c>
      <c r="X62" s="209" t="str">
        <f>IF(AND(V62="Preventivo",W62="Automático"),"50%",IF(AND(V62="Preventivo",W62="Manual"),"40%",IF(AND(V62="Detectivo",W62="Automático"),"40%",IF(AND(V62="Detectivo",W62="Manual"),"30%",IF(AND(V62="Correctivo",W62="Automático"),"35%",IF(AND(V62="Correctivo",W62="Manual"),"25%",""))))))</f>
        <v>30%</v>
      </c>
      <c r="Y62" s="237" t="s">
        <v>19</v>
      </c>
      <c r="Z62" s="237" t="s">
        <v>22</v>
      </c>
      <c r="AA62" s="237" t="s">
        <v>104</v>
      </c>
      <c r="AB62" s="210">
        <f t="shared" ref="AB62" si="106">IFERROR(IF(AND(U61="Probabilidad",U62="Probabilidad"),(AD61-(+AD61*X62)),IF(U62="Probabilidad",(L61-(+L61*X62)),IF(U62="Impacto",AD61,""))),"")</f>
        <v>0.252</v>
      </c>
      <c r="AC62" s="211" t="str">
        <f t="shared" ref="AC62:AC66" si="107">IFERROR(IF(AB62="","",IF(AB62&lt;=0.2,"Muy Baja",IF(AB62&lt;=0.4,"Baja",IF(AB62&lt;=0.6,"Media",IF(AB62&lt;=0.8,"Alta","Muy Alta"))))),"")</f>
        <v>Baja</v>
      </c>
      <c r="AD62" s="209">
        <f>+AB62</f>
        <v>0.252</v>
      </c>
      <c r="AE62" s="211" t="str">
        <f t="shared" ref="AE62:AE66" ca="1" si="108">IFERROR(IF(AF62="","",IF(AF62&lt;=0.2,"Leve",IF(AF62&lt;=0.4,"Menor",IF(AF62&lt;=0.6,"Moderado",IF(AF62&lt;=0.8,"Mayor","Catastrófico"))))),"")</f>
        <v>Moderado</v>
      </c>
      <c r="AF62" s="209">
        <f ca="1">IFERROR(IF(AND(U61="Impacto",U62="Impacto"),(AF61-(+AF61*X62)),IF(U62="Impacto",($P$37-(+$P$37*X62)),IF(U62="Probabilidad",AF61,""))),"")</f>
        <v>0.6</v>
      </c>
      <c r="AG62" s="212" t="str">
        <f t="shared" ref="AG62:AG63" ca="1" si="109">IFERROR(IF(OR(AND(AC62="Muy Baja",AE62="Leve"),AND(AC62="Muy Baja",AE62="Menor"),AND(AC62="Baja",AE62="Leve")),"Bajo",IF(OR(AND(AC62="Muy baja",AE62="Moderado"),AND(AC62="Baja",AE62="Menor"),AND(AC62="Baja",AE62="Moderado"),AND(AC62="Media",AE62="Leve"),AND(AC62="Media",AE62="Menor"),AND(AC62="Media",AE62="Moderado"),AND(AC62="Alta",AE62="Leve"),AND(AC62="Alta",AE62="Menor")),"Moderado",IF(OR(AND(AC62="Muy Baja",AE62="Mayor"),AND(AC62="Baja",AE62="Mayor"),AND(AC62="Media",AE62="Mayor"),AND(AC62="Alta",AE62="Moderado"),AND(AC62="Alta",AE62="Mayor"),AND(AC62="Muy Alta",AE62="Leve"),AND(AC62="Muy Alta",AE62="Menor"),AND(AC62="Muy Alta",AE62="Moderado"),AND(AC62="Muy Alta",AE62="Mayor")),"Alto",IF(OR(AND(AC62="Muy Baja",AE62="Catastrófico"),AND(AC62="Baja",AE62="Catastrófico"),AND(AC62="Media",AE62="Catastrófico"),AND(AC62="Alta",AE62="Catastrófico"),AND(AC62="Muy Alta",AE62="Catastrófico")),"Extremo","")))),"")</f>
        <v>Moderado</v>
      </c>
      <c r="AH62" s="237" t="s">
        <v>26</v>
      </c>
      <c r="AI62" s="318">
        <v>4</v>
      </c>
      <c r="AJ62" s="318">
        <v>1</v>
      </c>
      <c r="AK62" s="318">
        <v>1</v>
      </c>
      <c r="AL62" s="318">
        <v>1</v>
      </c>
      <c r="AM62" s="318">
        <v>1</v>
      </c>
      <c r="AN62" s="299"/>
      <c r="AO62" s="299"/>
      <c r="AP62" s="259"/>
      <c r="AQ62" s="220"/>
      <c r="AR62" s="299"/>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row>
    <row r="63" spans="1:77" s="113" customFormat="1" ht="36.75" hidden="1" customHeight="1" x14ac:dyDescent="0.2">
      <c r="A63" s="437"/>
      <c r="B63" s="438"/>
      <c r="C63" s="434"/>
      <c r="D63" s="434"/>
      <c r="E63" s="434"/>
      <c r="F63" s="435"/>
      <c r="G63" s="436"/>
      <c r="H63" s="435"/>
      <c r="I63" s="435"/>
      <c r="J63" s="439"/>
      <c r="K63" s="430"/>
      <c r="L63" s="431"/>
      <c r="M63" s="432"/>
      <c r="N63" s="310">
        <f ca="1">IF(NOT(ISERROR(MATCH(M63,_xlfn.ANCHORARRAY(G20),0))),L22&amp;"Por favor no seleccionar los criterios de impacto",M63)</f>
        <v>0</v>
      </c>
      <c r="O63" s="430"/>
      <c r="P63" s="431"/>
      <c r="Q63" s="433"/>
      <c r="R63" s="316">
        <v>3</v>
      </c>
      <c r="S63" s="330"/>
      <c r="T63" s="312"/>
      <c r="U63" s="302" t="str">
        <f>IF(OR(V63="Preventivo",V63="Detectivo"),"Probabilidad",IF(V63="Correctivo","Impacto",""))</f>
        <v/>
      </c>
      <c r="V63" s="237"/>
      <c r="W63" s="237"/>
      <c r="X63" s="209" t="str">
        <f>IF(AND(V63="Preventivo",W63="Automático"),"50%",IF(AND(V63="Preventivo",W63="Manual"),"40%",IF(AND(V63="Detectivo",W63="Automático"),"40%",IF(AND(V63="Detectivo",W63="Manual"),"30%",IF(AND(V63="Correctivo",W63="Automático"),"35%",IF(AND(V63="Correctivo",W63="Manual"),"25%",""))))))</f>
        <v/>
      </c>
      <c r="Y63" s="237"/>
      <c r="Z63" s="237"/>
      <c r="AA63" s="237"/>
      <c r="AB63" s="210" t="str">
        <f t="shared" ref="AB63:AB66" si="110">IFERROR(IF(AND(U62="Probabilidad",U63="Probabilidad"),(AD62-(+AD62*X63)),IF(AND(U62="Impacto",U63="Probabilidad"),(AD61-(+AD61*X63)),IF(U63="Impacto",AD62,""))),"")</f>
        <v/>
      </c>
      <c r="AC63" s="211" t="str">
        <f t="shared" si="107"/>
        <v/>
      </c>
      <c r="AD63" s="209" t="str">
        <f t="shared" ref="AD63:AD66" si="111">+AB63</f>
        <v/>
      </c>
      <c r="AE63" s="211" t="str">
        <f t="shared" si="108"/>
        <v/>
      </c>
      <c r="AF63" s="209" t="str">
        <f>IFERROR(IF(AND(U62="Impacto",U63="Impacto"),(AF62-(+AF62*X63)),IF(U63="Impacto",($P$31-(+$P$31*X63)),IF(U63="Probabilidad",AF62,""))),"")</f>
        <v/>
      </c>
      <c r="AG63" s="212" t="str">
        <f t="shared" si="109"/>
        <v/>
      </c>
      <c r="AH63" s="237"/>
      <c r="AI63" s="318"/>
      <c r="AJ63" s="318"/>
      <c r="AK63" s="318"/>
      <c r="AL63" s="318"/>
      <c r="AM63" s="318"/>
      <c r="AN63" s="299"/>
      <c r="AO63" s="299"/>
      <c r="AP63" s="259"/>
      <c r="AQ63" s="220"/>
      <c r="AR63" s="299"/>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row>
    <row r="64" spans="1:77" s="113" customFormat="1" ht="36.75" hidden="1" customHeight="1" x14ac:dyDescent="0.2">
      <c r="A64" s="437"/>
      <c r="B64" s="438"/>
      <c r="C64" s="434"/>
      <c r="D64" s="434"/>
      <c r="E64" s="434"/>
      <c r="F64" s="435"/>
      <c r="G64" s="436"/>
      <c r="H64" s="435"/>
      <c r="I64" s="435"/>
      <c r="J64" s="439"/>
      <c r="K64" s="430"/>
      <c r="L64" s="431"/>
      <c r="M64" s="432"/>
      <c r="N64" s="310">
        <f ca="1">IF(NOT(ISERROR(MATCH(M64,_xlfn.ANCHORARRAY(G21),0))),L23&amp;"Por favor no seleccionar los criterios de impacto",M64)</f>
        <v>0</v>
      </c>
      <c r="O64" s="430"/>
      <c r="P64" s="431"/>
      <c r="Q64" s="433"/>
      <c r="R64" s="316">
        <v>4</v>
      </c>
      <c r="S64" s="330"/>
      <c r="T64" s="312"/>
      <c r="U64" s="208" t="str">
        <f t="shared" ref="U64:U66" si="112">IF(OR(V64="Preventivo",V64="Detectivo"),"Probabilidad",IF(V64="Correctivo","Impacto",""))</f>
        <v/>
      </c>
      <c r="V64" s="237"/>
      <c r="W64" s="237"/>
      <c r="X64" s="209" t="str">
        <f t="shared" ref="X64:X66" si="113">IF(AND(V64="Preventivo",W64="Automático"),"50%",IF(AND(V64="Preventivo",W64="Manual"),"40%",IF(AND(V64="Detectivo",W64="Automático"),"40%",IF(AND(V64="Detectivo",W64="Manual"),"30%",IF(AND(V64="Correctivo",W64="Automático"),"35%",IF(AND(V64="Correctivo",W64="Manual"),"25%",""))))))</f>
        <v/>
      </c>
      <c r="Y64" s="237"/>
      <c r="Z64" s="237"/>
      <c r="AA64" s="237"/>
      <c r="AB64" s="210" t="str">
        <f t="shared" si="110"/>
        <v/>
      </c>
      <c r="AC64" s="211" t="str">
        <f t="shared" si="107"/>
        <v/>
      </c>
      <c r="AD64" s="209" t="str">
        <f t="shared" si="111"/>
        <v/>
      </c>
      <c r="AE64" s="211" t="str">
        <f t="shared" si="108"/>
        <v/>
      </c>
      <c r="AF64" s="209" t="str">
        <f t="shared" ref="AF64:AF65" si="114">IFERROR(IF(AND(U63="Impacto",U64="Impacto"),(AF63-(+AF63*X64)),IF(U64="Impacto",($P$31-(+$P$31*X64)),IF(U64="Probabilidad",AF63,""))),"")</f>
        <v/>
      </c>
      <c r="AG64" s="212" t="str">
        <f>IFERROR(IF(OR(AND(AC64="Muy Baja",AE64="Leve"),AND(AC64="Muy Baja",AE64="Menor"),AND(AC64="Baja",AE64="Leve")),"Bajo",IF(OR(AND(AC64="Muy baja",AE64="Moderado"),AND(AC64="Baja",AE64="Menor"),AND(AC64="Baja",AE64="Moderado"),AND(AC64="Media",AE64="Leve"),AND(AC64="Media",AE64="Menor"),AND(AC64="Media",AE64="Moderado"),AND(AC64="Alta",AE64="Leve"),AND(AC64="Alta",AE64="Menor")),"Moderado",IF(OR(AND(AC64="Muy Baja",AE64="Mayor"),AND(AC64="Baja",AE64="Mayor"),AND(AC64="Media",AE64="Mayor"),AND(AC64="Alta",AE64="Moderado"),AND(AC64="Alta",AE64="Mayor"),AND(AC64="Muy Alta",AE64="Leve"),AND(AC64="Muy Alta",AE64="Menor"),AND(AC64="Muy Alta",AE64="Moderado"),AND(AC64="Muy Alta",AE64="Mayor")),"Alto",IF(OR(AND(AC64="Muy Baja",AE64="Catastrófico"),AND(AC64="Baja",AE64="Catastrófico"),AND(AC64="Media",AE64="Catastrófico"),AND(AC64="Alta",AE64="Catastrófico"),AND(AC64="Muy Alta",AE64="Catastrófico")),"Extremo","")))),"")</f>
        <v/>
      </c>
      <c r="AH64" s="237"/>
      <c r="AI64" s="318"/>
      <c r="AJ64" s="318"/>
      <c r="AK64" s="318"/>
      <c r="AL64" s="318"/>
      <c r="AM64" s="318"/>
      <c r="AN64" s="213"/>
      <c r="AO64" s="213"/>
      <c r="AP64" s="301"/>
      <c r="AQ64" s="220"/>
      <c r="AR64" s="21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row>
    <row r="65" spans="1:77" s="113" customFormat="1" ht="36.75" hidden="1" customHeight="1" x14ac:dyDescent="0.2">
      <c r="A65" s="437"/>
      <c r="B65" s="438"/>
      <c r="C65" s="434"/>
      <c r="D65" s="434"/>
      <c r="E65" s="434"/>
      <c r="F65" s="435"/>
      <c r="G65" s="436"/>
      <c r="H65" s="435"/>
      <c r="I65" s="435"/>
      <c r="J65" s="439"/>
      <c r="K65" s="430"/>
      <c r="L65" s="431"/>
      <c r="M65" s="432"/>
      <c r="N65" s="310">
        <f ca="1">IF(NOT(ISERROR(MATCH(M65,_xlfn.ANCHORARRAY(G22),0))),L24&amp;"Por favor no seleccionar los criterios de impacto",M65)</f>
        <v>0</v>
      </c>
      <c r="O65" s="430"/>
      <c r="P65" s="431"/>
      <c r="Q65" s="433"/>
      <c r="R65" s="316">
        <v>5</v>
      </c>
      <c r="S65" s="330"/>
      <c r="T65" s="312"/>
      <c r="U65" s="208" t="str">
        <f t="shared" si="112"/>
        <v/>
      </c>
      <c r="V65" s="237"/>
      <c r="W65" s="237"/>
      <c r="X65" s="209" t="str">
        <f t="shared" si="113"/>
        <v/>
      </c>
      <c r="Y65" s="237"/>
      <c r="Z65" s="237"/>
      <c r="AA65" s="237"/>
      <c r="AB65" s="210" t="str">
        <f t="shared" si="110"/>
        <v/>
      </c>
      <c r="AC65" s="211" t="str">
        <f t="shared" si="107"/>
        <v/>
      </c>
      <c r="AD65" s="209" t="str">
        <f t="shared" si="111"/>
        <v/>
      </c>
      <c r="AE65" s="211" t="str">
        <f t="shared" si="108"/>
        <v/>
      </c>
      <c r="AF65" s="209" t="str">
        <f t="shared" si="114"/>
        <v/>
      </c>
      <c r="AG65" s="212" t="str">
        <f t="shared" ref="AG65:AG66" si="115">IFERROR(IF(OR(AND(AC65="Muy Baja",AE65="Leve"),AND(AC65="Muy Baja",AE65="Menor"),AND(AC65="Baja",AE65="Leve")),"Bajo",IF(OR(AND(AC65="Muy baja",AE65="Moderado"),AND(AC65="Baja",AE65="Menor"),AND(AC65="Baja",AE65="Moderado"),AND(AC65="Media",AE65="Leve"),AND(AC65="Media",AE65="Menor"),AND(AC65="Media",AE65="Moderado"),AND(AC65="Alta",AE65="Leve"),AND(AC65="Alta",AE65="Menor")),"Moderado",IF(OR(AND(AC65="Muy Baja",AE65="Mayor"),AND(AC65="Baja",AE65="Mayor"),AND(AC65="Media",AE65="Mayor"),AND(AC65="Alta",AE65="Moderado"),AND(AC65="Alta",AE65="Mayor"),AND(AC65="Muy Alta",AE65="Leve"),AND(AC65="Muy Alta",AE65="Menor"),AND(AC65="Muy Alta",AE65="Moderado"),AND(AC65="Muy Alta",AE65="Mayor")),"Alto",IF(OR(AND(AC65="Muy Baja",AE65="Catastrófico"),AND(AC65="Baja",AE65="Catastrófico"),AND(AC65="Media",AE65="Catastrófico"),AND(AC65="Alta",AE65="Catastrófico"),AND(AC65="Muy Alta",AE65="Catastrófico")),"Extremo","")))),"")</f>
        <v/>
      </c>
      <c r="AH65" s="237"/>
      <c r="AI65" s="318"/>
      <c r="AJ65" s="318"/>
      <c r="AK65" s="318"/>
      <c r="AL65" s="318"/>
      <c r="AM65" s="318"/>
      <c r="AN65" s="300"/>
      <c r="AO65" s="300"/>
      <c r="AP65" s="298"/>
      <c r="AQ65" s="216"/>
      <c r="AR65" s="216"/>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row>
    <row r="66" spans="1:77" s="113" customFormat="1" ht="36.75" hidden="1" customHeight="1" x14ac:dyDescent="0.2">
      <c r="A66" s="437"/>
      <c r="B66" s="438"/>
      <c r="C66" s="434"/>
      <c r="D66" s="434"/>
      <c r="E66" s="434"/>
      <c r="F66" s="435"/>
      <c r="G66" s="436"/>
      <c r="H66" s="435"/>
      <c r="I66" s="435"/>
      <c r="J66" s="439"/>
      <c r="K66" s="430"/>
      <c r="L66" s="431"/>
      <c r="M66" s="432"/>
      <c r="N66" s="310">
        <f ca="1">IF(NOT(ISERROR(MATCH(M66,_xlfn.ANCHORARRAY(G23),0))),L25&amp;"Por favor no seleccionar los criterios de impacto",M66)</f>
        <v>0</v>
      </c>
      <c r="O66" s="430"/>
      <c r="P66" s="431"/>
      <c r="Q66" s="433"/>
      <c r="R66" s="316">
        <v>6</v>
      </c>
      <c r="S66" s="330"/>
      <c r="T66" s="312"/>
      <c r="U66" s="208" t="str">
        <f t="shared" si="112"/>
        <v/>
      </c>
      <c r="V66" s="237"/>
      <c r="W66" s="237"/>
      <c r="X66" s="209" t="str">
        <f t="shared" si="113"/>
        <v/>
      </c>
      <c r="Y66" s="237"/>
      <c r="Z66" s="237"/>
      <c r="AA66" s="237"/>
      <c r="AB66" s="210" t="str">
        <f t="shared" si="110"/>
        <v/>
      </c>
      <c r="AC66" s="211" t="str">
        <f t="shared" si="107"/>
        <v/>
      </c>
      <c r="AD66" s="209" t="str">
        <f t="shared" si="111"/>
        <v/>
      </c>
      <c r="AE66" s="211" t="str">
        <f t="shared" si="108"/>
        <v/>
      </c>
      <c r="AF66" s="209" t="str">
        <f>IFERROR(IF(AND(U65="Impacto",U66="Impacto"),(AF65-(+AF65*X66)),IF(U66="Impacto",($P$31-(+$P$31*X66)),IF(U66="Probabilidad",AF65,""))),"")</f>
        <v/>
      </c>
      <c r="AG66" s="212" t="str">
        <f t="shared" si="115"/>
        <v/>
      </c>
      <c r="AH66" s="237"/>
      <c r="AI66" s="318"/>
      <c r="AJ66" s="318"/>
      <c r="AK66" s="318"/>
      <c r="AL66" s="318"/>
      <c r="AM66" s="318"/>
      <c r="AN66" s="300"/>
      <c r="AO66" s="300"/>
      <c r="AP66" s="298"/>
      <c r="AQ66" s="216"/>
      <c r="AR66" s="216"/>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row>
    <row r="67" spans="1:77" s="271" customFormat="1" ht="109.9" customHeight="1" x14ac:dyDescent="0.2">
      <c r="A67" s="437" t="s">
        <v>780</v>
      </c>
      <c r="B67" s="438" t="s">
        <v>597</v>
      </c>
      <c r="C67" s="434" t="s">
        <v>623</v>
      </c>
      <c r="D67" s="434" t="s">
        <v>107</v>
      </c>
      <c r="E67" s="434" t="s">
        <v>782</v>
      </c>
      <c r="F67" s="435" t="s">
        <v>685</v>
      </c>
      <c r="G67" s="436" t="s">
        <v>781</v>
      </c>
      <c r="H67" s="435" t="s">
        <v>655</v>
      </c>
      <c r="I67" s="435" t="s">
        <v>1072</v>
      </c>
      <c r="J67" s="439">
        <v>514</v>
      </c>
      <c r="K67" s="430" t="str">
        <f t="shared" ref="K67" si="116">IF(J67&lt;=0,"",IF(J67&lt;=2,"Muy Baja",IF(J67&lt;=24,"Baja",IF(J67&lt;=500,"Media",IF(J67&lt;=5000,"Alta","Muy Alta")))))</f>
        <v>Alta</v>
      </c>
      <c r="L67" s="431">
        <f>IF(K67="","",IF(K67="Muy Baja",0.2,IF(K67="Baja",0.4,IF(K67="Media",0.6,IF(K67="Alta",0.8,IF(K67="Muy Alta",1,))))))</f>
        <v>0.8</v>
      </c>
      <c r="M67" s="432" t="s">
        <v>123</v>
      </c>
      <c r="N67" s="310" t="str">
        <f ca="1">IF(NOT(ISERROR(MATCH(M67,'Tabla Impacto'!$B$221:$B$223,0))),'Tabla Impacto'!$F$223&amp;"Por favor no seleccionar los criterios de impacto(Afectación Económica o presupuestal y Pérdida Reputacional)",M67)</f>
        <v xml:space="preserve">     El riesgo afecta la imagen de la entidad a nivel nacional, con efecto publicitarios sostenible a nivel país</v>
      </c>
      <c r="O67" s="430" t="str">
        <f ca="1">IF(OR(N67='Tabla Impacto'!$C$11,N67='Tabla Impacto'!$D$11),"Leve",IF(OR(N67='Tabla Impacto'!$C$12,N67='Tabla Impacto'!$D$12),"Menor",IF(OR(N67='Tabla Impacto'!$C$13,N67='Tabla Impacto'!$D$13),"Moderado",IF(OR(N67='Tabla Impacto'!$C$14,N67='Tabla Impacto'!$D$14),"Mayor",IF(OR(N67='Tabla Impacto'!$C$15,N67='Tabla Impacto'!$D$15),"Catastrófico","")))))</f>
        <v>Catastrófico</v>
      </c>
      <c r="P67" s="431">
        <f ca="1">IF(O67="","",IF(O67="Leve",0.2,IF(O67="Menor",0.4,IF(O67="Moderado",0.6,IF(O67="Mayor",0.8,IF(O67="Catastrófico",1,))))))</f>
        <v>1</v>
      </c>
      <c r="Q67" s="433" t="str">
        <f ca="1">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Extremo</v>
      </c>
      <c r="R67" s="261">
        <v>1</v>
      </c>
      <c r="S67" s="334" t="s">
        <v>783</v>
      </c>
      <c r="T67" s="272" t="s">
        <v>293</v>
      </c>
      <c r="U67" s="262" t="str">
        <f>IF(OR(V67="Preventivo",V67="Detectivo"),"Probabilidad",IF(V67="Correctivo","Impacto",""))</f>
        <v>Probabilidad</v>
      </c>
      <c r="V67" s="263" t="s">
        <v>13</v>
      </c>
      <c r="W67" s="263" t="s">
        <v>8</v>
      </c>
      <c r="X67" s="264" t="str">
        <f>IF(AND(V67="Preventivo",W67="Automático"),"50%",IF(AND(V67="Preventivo",W67="Manual"),"40%",IF(AND(V67="Detectivo",W67="Automático"),"40%",IF(AND(V67="Detectivo",W67="Manual"),"30%",IF(AND(V67="Correctivo",W67="Automático"),"35%",IF(AND(V67="Correctivo",W67="Manual"),"25%",""))))))</f>
        <v>40%</v>
      </c>
      <c r="Y67" s="263" t="s">
        <v>18</v>
      </c>
      <c r="Z67" s="263" t="s">
        <v>21</v>
      </c>
      <c r="AA67" s="263" t="s">
        <v>103</v>
      </c>
      <c r="AB67" s="265">
        <f t="shared" ref="AB67" si="117">IFERROR(IF(U67="Probabilidad",(L67-(+L67*X67)),IF(U67="Impacto",L67,"")),"")</f>
        <v>0.48</v>
      </c>
      <c r="AC67" s="266" t="str">
        <f>IFERROR(IF(AB67="","",IF(AB67&lt;=0.2,"Muy Baja",IF(AB67&lt;=0.4,"Baja",IF(AB67&lt;=0.6,"Media",IF(AB67&lt;=0.8,"Alta","Muy Alta"))))),"")</f>
        <v>Media</v>
      </c>
      <c r="AD67" s="264">
        <f>+AB67</f>
        <v>0.48</v>
      </c>
      <c r="AE67" s="266" t="str">
        <f ca="1">IFERROR(IF(AF67="","",IF(AF67&lt;=0.2,"Leve",IF(AF67&lt;=0.4,"Menor",IF(AF67&lt;=0.6,"Moderado",IF(AF67&lt;=0.8,"Mayor","Catastrófico"))))),"")</f>
        <v>Catastrófico</v>
      </c>
      <c r="AF67" s="264">
        <f ca="1">IFERROR(IF(U67="Impacto",(P67-(+P67*X67)),IF(U67="Probabilidad",P67,"")),"")</f>
        <v>1</v>
      </c>
      <c r="AG67" s="267" t="str">
        <f ca="1">IFERROR(IF(OR(AND(AC67="Muy Baja",AE67="Leve"),AND(AC67="Muy Baja",AE67="Menor"),AND(AC67="Baja",AE67="Leve")),"Bajo",IF(OR(AND(AC67="Muy baja",AE67="Moderado"),AND(AC67="Baja",AE67="Menor"),AND(AC67="Baja",AE67="Moderado"),AND(AC67="Media",AE67="Leve"),AND(AC67="Media",AE67="Menor"),AND(AC67="Media",AE67="Moderado"),AND(AC67="Alta",AE67="Leve"),AND(AC67="Alta",AE67="Menor")),"Moderado",IF(OR(AND(AC67="Muy Baja",AE67="Mayor"),AND(AC67="Baja",AE67="Mayor"),AND(AC67="Media",AE67="Mayor"),AND(AC67="Alta",AE67="Moderado"),AND(AC67="Alta",AE67="Mayor"),AND(AC67="Muy Alta",AE67="Leve"),AND(AC67="Muy Alta",AE67="Menor"),AND(AC67="Muy Alta",AE67="Moderado"),AND(AC67="Muy Alta",AE67="Mayor")),"Alto",IF(OR(AND(AC67="Muy Baja",AE67="Catastrófico"),AND(AC67="Baja",AE67="Catastrófico"),AND(AC67="Media",AE67="Catastrófico"),AND(AC67="Alta",AE67="Catastrófico"),AND(AC67="Muy Alta",AE67="Catastrófico")),"Extremo","")))),"")</f>
        <v>Extremo</v>
      </c>
      <c r="AH67" s="263" t="s">
        <v>26</v>
      </c>
      <c r="AI67" s="273">
        <v>4</v>
      </c>
      <c r="AJ67" s="273">
        <v>1</v>
      </c>
      <c r="AK67" s="273">
        <v>1</v>
      </c>
      <c r="AL67" s="273">
        <v>1</v>
      </c>
      <c r="AM67" s="273">
        <v>1</v>
      </c>
      <c r="AN67" s="268"/>
      <c r="AO67" s="268"/>
      <c r="AP67" s="258"/>
      <c r="AQ67" s="269"/>
      <c r="AR67" s="270"/>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row>
    <row r="68" spans="1:77" s="113" customFormat="1" ht="128.25" x14ac:dyDescent="0.2">
      <c r="A68" s="437"/>
      <c r="B68" s="438"/>
      <c r="C68" s="434"/>
      <c r="D68" s="434"/>
      <c r="E68" s="434"/>
      <c r="F68" s="435"/>
      <c r="G68" s="436"/>
      <c r="H68" s="435"/>
      <c r="I68" s="435"/>
      <c r="J68" s="439"/>
      <c r="K68" s="430"/>
      <c r="L68" s="431"/>
      <c r="M68" s="432"/>
      <c r="N68" s="310">
        <f ca="1">IF(NOT(ISERROR(MATCH(M68,_xlfn.ANCHORARRAY(G25),0))),L27&amp;"Por favor no seleccionar los criterios de impacto",M68)</f>
        <v>0</v>
      </c>
      <c r="O68" s="430"/>
      <c r="P68" s="431"/>
      <c r="Q68" s="433"/>
      <c r="R68" s="316">
        <v>2</v>
      </c>
      <c r="S68" s="330" t="s">
        <v>784</v>
      </c>
      <c r="T68" s="312" t="s">
        <v>293</v>
      </c>
      <c r="U68" s="302" t="str">
        <f>IF(OR(V68="Preventivo",V68="Detectivo"),"Probabilidad",IF(V68="Correctivo","Impacto",""))</f>
        <v>Probabilidad</v>
      </c>
      <c r="V68" s="237" t="s">
        <v>14</v>
      </c>
      <c r="W68" s="237" t="s">
        <v>8</v>
      </c>
      <c r="X68" s="209" t="str">
        <f>IF(AND(V68="Preventivo",W68="Automático"),"50%",IF(AND(V68="Preventivo",W68="Manual"),"40%",IF(AND(V68="Detectivo",W68="Automático"),"40%",IF(AND(V68="Detectivo",W68="Manual"),"30%",IF(AND(V68="Correctivo",W68="Automático"),"35%",IF(AND(V68="Correctivo",W68="Manual"),"25%",""))))))</f>
        <v>30%</v>
      </c>
      <c r="Y68" s="237" t="s">
        <v>18</v>
      </c>
      <c r="Z68" s="237" t="s">
        <v>21</v>
      </c>
      <c r="AA68" s="237" t="s">
        <v>103</v>
      </c>
      <c r="AB68" s="210">
        <f t="shared" ref="AB68" si="118">IFERROR(IF(AND(U67="Probabilidad",U68="Probabilidad"),(AD67-(+AD67*X68)),IF(U68="Probabilidad",(L67-(+L67*X68)),IF(U68="Impacto",AD67,""))),"")</f>
        <v>0.33599999999999997</v>
      </c>
      <c r="AC68" s="211" t="str">
        <f t="shared" ref="AC68:AC72" si="119">IFERROR(IF(AB68="","",IF(AB68&lt;=0.2,"Muy Baja",IF(AB68&lt;=0.4,"Baja",IF(AB68&lt;=0.6,"Media",IF(AB68&lt;=0.8,"Alta","Muy Alta"))))),"")</f>
        <v>Baja</v>
      </c>
      <c r="AD68" s="209">
        <f>+AB68</f>
        <v>0.33599999999999997</v>
      </c>
      <c r="AE68" s="211" t="str">
        <f t="shared" ref="AE68:AE72" ca="1" si="120">IFERROR(IF(AF68="","",IF(AF68&lt;=0.2,"Leve",IF(AF68&lt;=0.4,"Menor",IF(AF68&lt;=0.6,"Moderado",IF(AF68&lt;=0.8,"Mayor","Catastrófico"))))),"")</f>
        <v>Catastrófico</v>
      </c>
      <c r="AF68" s="209">
        <f ca="1">IFERROR(IF(AND(U67="Impacto",U68="Impacto"),(AF67-(+AF67*X68)),IF(U68="Impacto",($P$37-(+$P$37*X68)),IF(U68="Probabilidad",AF67,""))),"")</f>
        <v>1</v>
      </c>
      <c r="AG68" s="212" t="str">
        <f t="shared" ref="AG68:AG69" ca="1" si="121">IFERROR(IF(OR(AND(AC68="Muy Baja",AE68="Leve"),AND(AC68="Muy Baja",AE68="Menor"),AND(AC68="Baja",AE68="Leve")),"Bajo",IF(OR(AND(AC68="Muy baja",AE68="Moderado"),AND(AC68="Baja",AE68="Menor"),AND(AC68="Baja",AE68="Moderado"),AND(AC68="Media",AE68="Leve"),AND(AC68="Media",AE68="Menor"),AND(AC68="Media",AE68="Moderado"),AND(AC68="Alta",AE68="Leve"),AND(AC68="Alta",AE68="Menor")),"Moderado",IF(OR(AND(AC68="Muy Baja",AE68="Mayor"),AND(AC68="Baja",AE68="Mayor"),AND(AC68="Media",AE68="Mayor"),AND(AC68="Alta",AE68="Moderado"),AND(AC68="Alta",AE68="Mayor"),AND(AC68="Muy Alta",AE68="Leve"),AND(AC68="Muy Alta",AE68="Menor"),AND(AC68="Muy Alta",AE68="Moderado"),AND(AC68="Muy Alta",AE68="Mayor")),"Alto",IF(OR(AND(AC68="Muy Baja",AE68="Catastrófico"),AND(AC68="Baja",AE68="Catastrófico"),AND(AC68="Media",AE68="Catastrófico"),AND(AC68="Alta",AE68="Catastrófico"),AND(AC68="Muy Alta",AE68="Catastrófico")),"Extremo","")))),"")</f>
        <v>Extremo</v>
      </c>
      <c r="AH68" s="237" t="s">
        <v>26</v>
      </c>
      <c r="AI68" s="318">
        <v>2</v>
      </c>
      <c r="AJ68" s="318">
        <v>0</v>
      </c>
      <c r="AK68" s="318">
        <v>1</v>
      </c>
      <c r="AL68" s="318">
        <v>0</v>
      </c>
      <c r="AM68" s="318">
        <v>1</v>
      </c>
      <c r="AN68" s="299"/>
      <c r="AO68" s="299"/>
      <c r="AP68" s="259"/>
      <c r="AQ68" s="220"/>
      <c r="AR68" s="299"/>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row>
    <row r="69" spans="1:77" s="113" customFormat="1" ht="39" hidden="1" customHeight="1" x14ac:dyDescent="0.2">
      <c r="A69" s="437"/>
      <c r="B69" s="438"/>
      <c r="C69" s="434"/>
      <c r="D69" s="434"/>
      <c r="E69" s="434"/>
      <c r="F69" s="435"/>
      <c r="G69" s="436"/>
      <c r="H69" s="435"/>
      <c r="I69" s="435"/>
      <c r="J69" s="439"/>
      <c r="K69" s="430"/>
      <c r="L69" s="431"/>
      <c r="M69" s="432"/>
      <c r="N69" s="310">
        <f ca="1">IF(NOT(ISERROR(MATCH(M69,_xlfn.ANCHORARRAY(G26),0))),L28&amp;"Por favor no seleccionar los criterios de impacto",M69)</f>
        <v>0</v>
      </c>
      <c r="O69" s="430"/>
      <c r="P69" s="431"/>
      <c r="Q69" s="433"/>
      <c r="R69" s="316">
        <v>3</v>
      </c>
      <c r="S69" s="330"/>
      <c r="T69" s="312"/>
      <c r="U69" s="302" t="str">
        <f>IF(OR(V69="Preventivo",V69="Detectivo"),"Probabilidad",IF(V69="Correctivo","Impacto",""))</f>
        <v/>
      </c>
      <c r="V69" s="237"/>
      <c r="W69" s="237"/>
      <c r="X69" s="209" t="str">
        <f>IF(AND(V69="Preventivo",W69="Automático"),"50%",IF(AND(V69="Preventivo",W69="Manual"),"40%",IF(AND(V69="Detectivo",W69="Automático"),"40%",IF(AND(V69="Detectivo",W69="Manual"),"30%",IF(AND(V69="Correctivo",W69="Automático"),"35%",IF(AND(V69="Correctivo",W69="Manual"),"25%",""))))))</f>
        <v/>
      </c>
      <c r="Y69" s="237"/>
      <c r="Z69" s="237"/>
      <c r="AA69" s="237"/>
      <c r="AB69" s="210" t="str">
        <f t="shared" ref="AB69:AB72" si="122">IFERROR(IF(AND(U68="Probabilidad",U69="Probabilidad"),(AD68-(+AD68*X69)),IF(AND(U68="Impacto",U69="Probabilidad"),(AD67-(+AD67*X69)),IF(U69="Impacto",AD68,""))),"")</f>
        <v/>
      </c>
      <c r="AC69" s="211" t="str">
        <f t="shared" si="119"/>
        <v/>
      </c>
      <c r="AD69" s="209" t="str">
        <f t="shared" ref="AD69:AD72" si="123">+AB69</f>
        <v/>
      </c>
      <c r="AE69" s="211" t="str">
        <f t="shared" si="120"/>
        <v/>
      </c>
      <c r="AF69" s="209" t="str">
        <f>IFERROR(IF(AND(U68="Impacto",U69="Impacto"),(AF68-(+AF68*X69)),IF(U69="Impacto",($P$31-(+$P$31*X69)),IF(U69="Probabilidad",AF68,""))),"")</f>
        <v/>
      </c>
      <c r="AG69" s="212" t="str">
        <f t="shared" si="121"/>
        <v/>
      </c>
      <c r="AH69" s="237"/>
      <c r="AI69" s="318"/>
      <c r="AJ69" s="318"/>
      <c r="AK69" s="318"/>
      <c r="AL69" s="318"/>
      <c r="AM69" s="318"/>
      <c r="AN69" s="299"/>
      <c r="AO69" s="299"/>
      <c r="AP69" s="259"/>
      <c r="AQ69" s="220"/>
      <c r="AR69" s="299"/>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3"/>
    </row>
    <row r="70" spans="1:77" s="113" customFormat="1" ht="39" hidden="1" customHeight="1" x14ac:dyDescent="0.2">
      <c r="A70" s="437"/>
      <c r="B70" s="438"/>
      <c r="C70" s="434"/>
      <c r="D70" s="434"/>
      <c r="E70" s="434"/>
      <c r="F70" s="435"/>
      <c r="G70" s="436"/>
      <c r="H70" s="435"/>
      <c r="I70" s="435"/>
      <c r="J70" s="439"/>
      <c r="K70" s="430"/>
      <c r="L70" s="431"/>
      <c r="M70" s="432"/>
      <c r="N70" s="310">
        <f ca="1">IF(NOT(ISERROR(MATCH(M70,_xlfn.ANCHORARRAY(G27),0))),L29&amp;"Por favor no seleccionar los criterios de impacto",M70)</f>
        <v>0</v>
      </c>
      <c r="O70" s="430"/>
      <c r="P70" s="431"/>
      <c r="Q70" s="433"/>
      <c r="R70" s="316">
        <v>4</v>
      </c>
      <c r="S70" s="330"/>
      <c r="T70" s="312"/>
      <c r="U70" s="208" t="str">
        <f t="shared" ref="U70:U72" si="124">IF(OR(V70="Preventivo",V70="Detectivo"),"Probabilidad",IF(V70="Correctivo","Impacto",""))</f>
        <v/>
      </c>
      <c r="V70" s="237"/>
      <c r="W70" s="237"/>
      <c r="X70" s="209" t="str">
        <f t="shared" ref="X70:X72" si="125">IF(AND(V70="Preventivo",W70="Automático"),"50%",IF(AND(V70="Preventivo",W70="Manual"),"40%",IF(AND(V70="Detectivo",W70="Automático"),"40%",IF(AND(V70="Detectivo",W70="Manual"),"30%",IF(AND(V70="Correctivo",W70="Automático"),"35%",IF(AND(V70="Correctivo",W70="Manual"),"25%",""))))))</f>
        <v/>
      </c>
      <c r="Y70" s="237"/>
      <c r="Z70" s="237"/>
      <c r="AA70" s="237"/>
      <c r="AB70" s="210" t="str">
        <f t="shared" si="122"/>
        <v/>
      </c>
      <c r="AC70" s="211" t="str">
        <f t="shared" si="119"/>
        <v/>
      </c>
      <c r="AD70" s="209" t="str">
        <f t="shared" si="123"/>
        <v/>
      </c>
      <c r="AE70" s="211" t="str">
        <f t="shared" si="120"/>
        <v/>
      </c>
      <c r="AF70" s="209" t="str">
        <f t="shared" ref="AF70:AF71" si="126">IFERROR(IF(AND(U69="Impacto",U70="Impacto"),(AF69-(+AF69*X70)),IF(U70="Impacto",($P$31-(+$P$31*X70)),IF(U70="Probabilidad",AF69,""))),"")</f>
        <v/>
      </c>
      <c r="AG70" s="212" t="str">
        <f>IFERROR(IF(OR(AND(AC70="Muy Baja",AE70="Leve"),AND(AC70="Muy Baja",AE70="Menor"),AND(AC70="Baja",AE70="Leve")),"Bajo",IF(OR(AND(AC70="Muy baja",AE70="Moderado"),AND(AC70="Baja",AE70="Menor"),AND(AC70="Baja",AE70="Moderado"),AND(AC70="Media",AE70="Leve"),AND(AC70="Media",AE70="Menor"),AND(AC70="Media",AE70="Moderado"),AND(AC70="Alta",AE70="Leve"),AND(AC70="Alta",AE70="Menor")),"Moderado",IF(OR(AND(AC70="Muy Baja",AE70="Mayor"),AND(AC70="Baja",AE70="Mayor"),AND(AC70="Media",AE70="Mayor"),AND(AC70="Alta",AE70="Moderado"),AND(AC70="Alta",AE70="Mayor"),AND(AC70="Muy Alta",AE70="Leve"),AND(AC70="Muy Alta",AE70="Menor"),AND(AC70="Muy Alta",AE70="Moderado"),AND(AC70="Muy Alta",AE70="Mayor")),"Alto",IF(OR(AND(AC70="Muy Baja",AE70="Catastrófico"),AND(AC70="Baja",AE70="Catastrófico"),AND(AC70="Media",AE70="Catastrófico"),AND(AC70="Alta",AE70="Catastrófico"),AND(AC70="Muy Alta",AE70="Catastrófico")),"Extremo","")))),"")</f>
        <v/>
      </c>
      <c r="AH70" s="237"/>
      <c r="AI70" s="318"/>
      <c r="AJ70" s="318"/>
      <c r="AK70" s="318"/>
      <c r="AL70" s="318"/>
      <c r="AM70" s="318"/>
      <c r="AN70" s="213"/>
      <c r="AO70" s="213"/>
      <c r="AP70" s="301"/>
      <c r="AQ70" s="220"/>
      <c r="AR70" s="21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row>
    <row r="71" spans="1:77" s="113" customFormat="1" ht="39" hidden="1" customHeight="1" x14ac:dyDescent="0.2">
      <c r="A71" s="437"/>
      <c r="B71" s="438"/>
      <c r="C71" s="434"/>
      <c r="D71" s="434"/>
      <c r="E71" s="434"/>
      <c r="F71" s="435"/>
      <c r="G71" s="436"/>
      <c r="H71" s="435"/>
      <c r="I71" s="435"/>
      <c r="J71" s="439"/>
      <c r="K71" s="430"/>
      <c r="L71" s="431"/>
      <c r="M71" s="432"/>
      <c r="N71" s="310">
        <f ca="1">IF(NOT(ISERROR(MATCH(M71,_xlfn.ANCHORARRAY(G28),0))),L30&amp;"Por favor no seleccionar los criterios de impacto",M71)</f>
        <v>0</v>
      </c>
      <c r="O71" s="430"/>
      <c r="P71" s="431"/>
      <c r="Q71" s="433"/>
      <c r="R71" s="316">
        <v>5</v>
      </c>
      <c r="S71" s="330"/>
      <c r="T71" s="312"/>
      <c r="U71" s="208" t="str">
        <f t="shared" si="124"/>
        <v/>
      </c>
      <c r="V71" s="237"/>
      <c r="W71" s="237"/>
      <c r="X71" s="209" t="str">
        <f t="shared" si="125"/>
        <v/>
      </c>
      <c r="Y71" s="237"/>
      <c r="Z71" s="237"/>
      <c r="AA71" s="237"/>
      <c r="AB71" s="210" t="str">
        <f t="shared" si="122"/>
        <v/>
      </c>
      <c r="AC71" s="211" t="str">
        <f t="shared" si="119"/>
        <v/>
      </c>
      <c r="AD71" s="209" t="str">
        <f t="shared" si="123"/>
        <v/>
      </c>
      <c r="AE71" s="211" t="str">
        <f t="shared" si="120"/>
        <v/>
      </c>
      <c r="AF71" s="209" t="str">
        <f t="shared" si="126"/>
        <v/>
      </c>
      <c r="AG71" s="212" t="str">
        <f t="shared" ref="AG71:AG72" si="127">IFERROR(IF(OR(AND(AC71="Muy Baja",AE71="Leve"),AND(AC71="Muy Baja",AE71="Menor"),AND(AC71="Baja",AE71="Leve")),"Bajo",IF(OR(AND(AC71="Muy baja",AE71="Moderado"),AND(AC71="Baja",AE71="Menor"),AND(AC71="Baja",AE71="Moderado"),AND(AC71="Media",AE71="Leve"),AND(AC71="Media",AE71="Menor"),AND(AC71="Media",AE71="Moderado"),AND(AC71="Alta",AE71="Leve"),AND(AC71="Alta",AE71="Menor")),"Moderado",IF(OR(AND(AC71="Muy Baja",AE71="Mayor"),AND(AC71="Baja",AE71="Mayor"),AND(AC71="Media",AE71="Mayor"),AND(AC71="Alta",AE71="Moderado"),AND(AC71="Alta",AE71="Mayor"),AND(AC71="Muy Alta",AE71="Leve"),AND(AC71="Muy Alta",AE71="Menor"),AND(AC71="Muy Alta",AE71="Moderado"),AND(AC71="Muy Alta",AE71="Mayor")),"Alto",IF(OR(AND(AC71="Muy Baja",AE71="Catastrófico"),AND(AC71="Baja",AE71="Catastrófico"),AND(AC71="Media",AE71="Catastrófico"),AND(AC71="Alta",AE71="Catastrófico"),AND(AC71="Muy Alta",AE71="Catastrófico")),"Extremo","")))),"")</f>
        <v/>
      </c>
      <c r="AH71" s="237"/>
      <c r="AI71" s="318"/>
      <c r="AJ71" s="318"/>
      <c r="AK71" s="318"/>
      <c r="AL71" s="318"/>
      <c r="AM71" s="318"/>
      <c r="AN71" s="300"/>
      <c r="AO71" s="300"/>
      <c r="AP71" s="298"/>
      <c r="AQ71" s="216"/>
      <c r="AR71" s="216"/>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row>
    <row r="72" spans="1:77" s="113" customFormat="1" ht="39" hidden="1" customHeight="1" x14ac:dyDescent="0.2">
      <c r="A72" s="437"/>
      <c r="B72" s="438"/>
      <c r="C72" s="434"/>
      <c r="D72" s="434"/>
      <c r="E72" s="434"/>
      <c r="F72" s="435"/>
      <c r="G72" s="436"/>
      <c r="H72" s="435"/>
      <c r="I72" s="435"/>
      <c r="J72" s="439"/>
      <c r="K72" s="430"/>
      <c r="L72" s="431"/>
      <c r="M72" s="432"/>
      <c r="N72" s="310">
        <f ca="1">IF(NOT(ISERROR(MATCH(M72,_xlfn.ANCHORARRAY(G29),0))),L31&amp;"Por favor no seleccionar los criterios de impacto",M72)</f>
        <v>0</v>
      </c>
      <c r="O72" s="430"/>
      <c r="P72" s="431"/>
      <c r="Q72" s="433"/>
      <c r="R72" s="316">
        <v>6</v>
      </c>
      <c r="S72" s="330"/>
      <c r="T72" s="312"/>
      <c r="U72" s="208" t="str">
        <f t="shared" si="124"/>
        <v/>
      </c>
      <c r="V72" s="237"/>
      <c r="W72" s="237"/>
      <c r="X72" s="209" t="str">
        <f t="shared" si="125"/>
        <v/>
      </c>
      <c r="Y72" s="237"/>
      <c r="Z72" s="237"/>
      <c r="AA72" s="237"/>
      <c r="AB72" s="210" t="str">
        <f t="shared" si="122"/>
        <v/>
      </c>
      <c r="AC72" s="211" t="str">
        <f t="shared" si="119"/>
        <v/>
      </c>
      <c r="AD72" s="209" t="str">
        <f t="shared" si="123"/>
        <v/>
      </c>
      <c r="AE72" s="211" t="str">
        <f t="shared" si="120"/>
        <v/>
      </c>
      <c r="AF72" s="209" t="str">
        <f>IFERROR(IF(AND(U71="Impacto",U72="Impacto"),(AF71-(+AF71*X72)),IF(U72="Impacto",($P$31-(+$P$31*X72)),IF(U72="Probabilidad",AF71,""))),"")</f>
        <v/>
      </c>
      <c r="AG72" s="212" t="str">
        <f t="shared" si="127"/>
        <v/>
      </c>
      <c r="AH72" s="237"/>
      <c r="AI72" s="318"/>
      <c r="AJ72" s="318"/>
      <c r="AK72" s="318"/>
      <c r="AL72" s="318"/>
      <c r="AM72" s="318"/>
      <c r="AN72" s="300"/>
      <c r="AO72" s="300"/>
      <c r="AP72" s="298"/>
      <c r="AQ72" s="216"/>
      <c r="AR72" s="216"/>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row>
    <row r="73" spans="1:77" s="271" customFormat="1" ht="185.25" x14ac:dyDescent="0.2">
      <c r="A73" s="437" t="s">
        <v>785</v>
      </c>
      <c r="B73" s="438" t="s">
        <v>597</v>
      </c>
      <c r="C73" s="434" t="s">
        <v>619</v>
      </c>
      <c r="D73" s="434" t="s">
        <v>109</v>
      </c>
      <c r="E73" s="434" t="s">
        <v>786</v>
      </c>
      <c r="F73" s="435" t="s">
        <v>685</v>
      </c>
      <c r="G73" s="436" t="s">
        <v>1073</v>
      </c>
      <c r="H73" s="435" t="s">
        <v>655</v>
      </c>
      <c r="I73" s="435" t="s">
        <v>1074</v>
      </c>
      <c r="J73" s="439">
        <v>3</v>
      </c>
      <c r="K73" s="430" t="str">
        <f t="shared" ref="K73" si="128">IF(J73&lt;=0,"",IF(J73&lt;=2,"Muy Baja",IF(J73&lt;=24,"Baja",IF(J73&lt;=500,"Media",IF(J73&lt;=5000,"Alta","Muy Alta")))))</f>
        <v>Baja</v>
      </c>
      <c r="L73" s="431">
        <f>IF(K73="","",IF(K73="Muy Baja",0.2,IF(K73="Baja",0.4,IF(K73="Media",0.6,IF(K73="Alta",0.8,IF(K73="Muy Alta",1,))))))</f>
        <v>0.4</v>
      </c>
      <c r="M73" s="432" t="s">
        <v>112</v>
      </c>
      <c r="N73" s="310" t="str">
        <f ca="1">IF(NOT(ISERROR(MATCH(M73,'Tabla Impacto'!$B$221:$B$223,0))),'Tabla Impacto'!$F$223&amp;"Por favor no seleccionar los criterios de impacto(Afectación Económica o presupuestal y Pérdida Reputacional)",M73)</f>
        <v xml:space="preserve">     Afectación menor a 10 SMLMV .</v>
      </c>
      <c r="O73" s="430" t="str">
        <f ca="1">IF(OR(N73='Tabla Impacto'!$C$11,N73='Tabla Impacto'!$D$11),"Leve",IF(OR(N73='Tabla Impacto'!$C$12,N73='Tabla Impacto'!$D$12),"Menor",IF(OR(N73='Tabla Impacto'!$C$13,N73='Tabla Impacto'!$D$13),"Moderado",IF(OR(N73='Tabla Impacto'!$C$14,N73='Tabla Impacto'!$D$14),"Mayor",IF(OR(N73='Tabla Impacto'!$C$15,N73='Tabla Impacto'!$D$15),"Catastrófico","")))))</f>
        <v>Leve</v>
      </c>
      <c r="P73" s="431">
        <f ca="1">IF(O73="","",IF(O73="Leve",0.2,IF(O73="Menor",0.4,IF(O73="Moderado",0.6,IF(O73="Mayor",0.8,IF(O73="Catastrófico",1,))))))</f>
        <v>0.2</v>
      </c>
      <c r="Q73" s="433" t="str">
        <f ca="1">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Bajo</v>
      </c>
      <c r="R73" s="261">
        <v>1</v>
      </c>
      <c r="S73" s="334" t="s">
        <v>787</v>
      </c>
      <c r="T73" s="272" t="s">
        <v>293</v>
      </c>
      <c r="U73" s="262" t="str">
        <f>IF(OR(V73="Preventivo",V73="Detectivo"),"Probabilidad",IF(V73="Correctivo","Impacto",""))</f>
        <v>Probabilidad</v>
      </c>
      <c r="V73" s="263" t="s">
        <v>14</v>
      </c>
      <c r="W73" s="263" t="s">
        <v>8</v>
      </c>
      <c r="X73" s="264" t="str">
        <f>IF(AND(V73="Preventivo",W73="Automático"),"50%",IF(AND(V73="Preventivo",W73="Manual"),"40%",IF(AND(V73="Detectivo",W73="Automático"),"40%",IF(AND(V73="Detectivo",W73="Manual"),"30%",IF(AND(V73="Correctivo",W73="Automático"),"35%",IF(AND(V73="Correctivo",W73="Manual"),"25%",""))))))</f>
        <v>30%</v>
      </c>
      <c r="Y73" s="263" t="s">
        <v>18</v>
      </c>
      <c r="Z73" s="263" t="s">
        <v>21</v>
      </c>
      <c r="AA73" s="263" t="s">
        <v>103</v>
      </c>
      <c r="AB73" s="265">
        <f t="shared" ref="AB73" si="129">IFERROR(IF(U73="Probabilidad",(L73-(+L73*X73)),IF(U73="Impacto",L73,"")),"")</f>
        <v>0.28000000000000003</v>
      </c>
      <c r="AC73" s="266" t="str">
        <f>IFERROR(IF(AB73="","",IF(AB73&lt;=0.2,"Muy Baja",IF(AB73&lt;=0.4,"Baja",IF(AB73&lt;=0.6,"Media",IF(AB73&lt;=0.8,"Alta","Muy Alta"))))),"")</f>
        <v>Baja</v>
      </c>
      <c r="AD73" s="264">
        <f>+AB73</f>
        <v>0.28000000000000003</v>
      </c>
      <c r="AE73" s="266" t="str">
        <f ca="1">IFERROR(IF(AF73="","",IF(AF73&lt;=0.2,"Leve",IF(AF73&lt;=0.4,"Menor",IF(AF73&lt;=0.6,"Moderado",IF(AF73&lt;=0.8,"Mayor","Catastrófico"))))),"")</f>
        <v>Leve</v>
      </c>
      <c r="AF73" s="264">
        <f ca="1">IFERROR(IF(U73="Impacto",(P73-(+P73*X73)),IF(U73="Probabilidad",P73,"")),"")</f>
        <v>0.2</v>
      </c>
      <c r="AG73" s="267" t="str">
        <f ca="1">IFERROR(IF(OR(AND(AC73="Muy Baja",AE73="Leve"),AND(AC73="Muy Baja",AE73="Menor"),AND(AC73="Baja",AE73="Leve")),"Bajo",IF(OR(AND(AC73="Muy baja",AE73="Moderado"),AND(AC73="Baja",AE73="Menor"),AND(AC73="Baja",AE73="Moderado"),AND(AC73="Media",AE73="Leve"),AND(AC73="Media",AE73="Menor"),AND(AC73="Media",AE73="Moderado"),AND(AC73="Alta",AE73="Leve"),AND(AC73="Alta",AE73="Menor")),"Moderado",IF(OR(AND(AC73="Muy Baja",AE73="Mayor"),AND(AC73="Baja",AE73="Mayor"),AND(AC73="Media",AE73="Mayor"),AND(AC73="Alta",AE73="Moderado"),AND(AC73="Alta",AE73="Mayor"),AND(AC73="Muy Alta",AE73="Leve"),AND(AC73="Muy Alta",AE73="Menor"),AND(AC73="Muy Alta",AE73="Moderado"),AND(AC73="Muy Alta",AE73="Mayor")),"Alto",IF(OR(AND(AC73="Muy Baja",AE73="Catastrófico"),AND(AC73="Baja",AE73="Catastrófico"),AND(AC73="Media",AE73="Catastrófico"),AND(AC73="Alta",AE73="Catastrófico"),AND(AC73="Muy Alta",AE73="Catastrófico")),"Extremo","")))),"")</f>
        <v>Bajo</v>
      </c>
      <c r="AH73" s="263" t="s">
        <v>26</v>
      </c>
      <c r="AI73" s="273">
        <v>2</v>
      </c>
      <c r="AJ73" s="273">
        <v>1</v>
      </c>
      <c r="AK73" s="273">
        <v>0</v>
      </c>
      <c r="AL73" s="273">
        <v>1</v>
      </c>
      <c r="AM73" s="273">
        <v>0</v>
      </c>
      <c r="AN73" s="268"/>
      <c r="AO73" s="268"/>
      <c r="AP73" s="258"/>
      <c r="AQ73" s="269"/>
      <c r="AR73" s="270"/>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row>
    <row r="74" spans="1:77" s="113" customFormat="1" ht="12" hidden="1" customHeight="1" x14ac:dyDescent="0.2">
      <c r="A74" s="437"/>
      <c r="B74" s="438"/>
      <c r="C74" s="434"/>
      <c r="D74" s="434"/>
      <c r="E74" s="434"/>
      <c r="F74" s="435"/>
      <c r="G74" s="436"/>
      <c r="H74" s="435"/>
      <c r="I74" s="435"/>
      <c r="J74" s="439"/>
      <c r="K74" s="430"/>
      <c r="L74" s="431"/>
      <c r="M74" s="432"/>
      <c r="N74" s="310">
        <f ca="1">IF(NOT(ISERROR(MATCH(M74,_xlfn.ANCHORARRAY(G31),0))),L33&amp;"Por favor no seleccionar los criterios de impacto",M74)</f>
        <v>0</v>
      </c>
      <c r="O74" s="430"/>
      <c r="P74" s="431"/>
      <c r="Q74" s="433"/>
      <c r="R74" s="316">
        <v>2</v>
      </c>
      <c r="S74" s="330"/>
      <c r="T74" s="312"/>
      <c r="U74" s="302" t="str">
        <f>IF(OR(V74="Preventivo",V74="Detectivo"),"Probabilidad",IF(V74="Correctivo","Impacto",""))</f>
        <v/>
      </c>
      <c r="V74" s="237"/>
      <c r="W74" s="237"/>
      <c r="X74" s="209" t="str">
        <f>IF(AND(V74="Preventivo",W74="Automático"),"50%",IF(AND(V74="Preventivo",W74="Manual"),"40%",IF(AND(V74="Detectivo",W74="Automático"),"40%",IF(AND(V74="Detectivo",W74="Manual"),"30%",IF(AND(V74="Correctivo",W74="Automático"),"35%",IF(AND(V74="Correctivo",W74="Manual"),"25%",""))))))</f>
        <v/>
      </c>
      <c r="Y74" s="237"/>
      <c r="Z74" s="237"/>
      <c r="AA74" s="237"/>
      <c r="AB74" s="210" t="str">
        <f t="shared" ref="AB74" si="130">IFERROR(IF(AND(U73="Probabilidad",U74="Probabilidad"),(AD73-(+AD73*X74)),IF(U74="Probabilidad",(L73-(+L73*X74)),IF(U74="Impacto",AD73,""))),"")</f>
        <v/>
      </c>
      <c r="AC74" s="211" t="str">
        <f t="shared" ref="AC74:AC78" si="131">IFERROR(IF(AB74="","",IF(AB74&lt;=0.2,"Muy Baja",IF(AB74&lt;=0.4,"Baja",IF(AB74&lt;=0.6,"Media",IF(AB74&lt;=0.8,"Alta","Muy Alta"))))),"")</f>
        <v/>
      </c>
      <c r="AD74" s="209" t="str">
        <f>+AB74</f>
        <v/>
      </c>
      <c r="AE74" s="211" t="str">
        <f t="shared" ref="AE74:AE78" si="132">IFERROR(IF(AF74="","",IF(AF74&lt;=0.2,"Leve",IF(AF74&lt;=0.4,"Menor",IF(AF74&lt;=0.6,"Moderado",IF(AF74&lt;=0.8,"Mayor","Catastrófico"))))),"")</f>
        <v/>
      </c>
      <c r="AF74" s="209" t="str">
        <f>IFERROR(IF(AND(U73="Impacto",U74="Impacto"),(AF73-(+AF73*X74)),IF(U74="Impacto",($P$37-(+$P$37*X74)),IF(U74="Probabilidad",AF73,""))),"")</f>
        <v/>
      </c>
      <c r="AG74" s="212" t="str">
        <f t="shared" ref="AG74:AG75" si="133">IFERROR(IF(OR(AND(AC74="Muy Baja",AE74="Leve"),AND(AC74="Muy Baja",AE74="Menor"),AND(AC74="Baja",AE74="Leve")),"Bajo",IF(OR(AND(AC74="Muy baja",AE74="Moderado"),AND(AC74="Baja",AE74="Menor"),AND(AC74="Baja",AE74="Moderado"),AND(AC74="Media",AE74="Leve"),AND(AC74="Media",AE74="Menor"),AND(AC74="Media",AE74="Moderado"),AND(AC74="Alta",AE74="Leve"),AND(AC74="Alta",AE74="Menor")),"Moderado",IF(OR(AND(AC74="Muy Baja",AE74="Mayor"),AND(AC74="Baja",AE74="Mayor"),AND(AC74="Media",AE74="Mayor"),AND(AC74="Alta",AE74="Moderado"),AND(AC74="Alta",AE74="Mayor"),AND(AC74="Muy Alta",AE74="Leve"),AND(AC74="Muy Alta",AE74="Menor"),AND(AC74="Muy Alta",AE74="Moderado"),AND(AC74="Muy Alta",AE74="Mayor")),"Alto",IF(OR(AND(AC74="Muy Baja",AE74="Catastrófico"),AND(AC74="Baja",AE74="Catastrófico"),AND(AC74="Media",AE74="Catastrófico"),AND(AC74="Alta",AE74="Catastrófico"),AND(AC74="Muy Alta",AE74="Catastrófico")),"Extremo","")))),"")</f>
        <v/>
      </c>
      <c r="AH74" s="237"/>
      <c r="AI74" s="318"/>
      <c r="AJ74" s="318"/>
      <c r="AK74" s="318"/>
      <c r="AL74" s="318"/>
      <c r="AM74" s="318"/>
      <c r="AN74" s="299"/>
      <c r="AO74" s="299"/>
      <c r="AP74" s="259"/>
      <c r="AQ74" s="220"/>
      <c r="AR74" s="299"/>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row>
    <row r="75" spans="1:77" s="113" customFormat="1" ht="12" hidden="1" customHeight="1" x14ac:dyDescent="0.2">
      <c r="A75" s="437"/>
      <c r="B75" s="438"/>
      <c r="C75" s="434"/>
      <c r="D75" s="434"/>
      <c r="E75" s="434"/>
      <c r="F75" s="435"/>
      <c r="G75" s="436"/>
      <c r="H75" s="435"/>
      <c r="I75" s="435"/>
      <c r="J75" s="439"/>
      <c r="K75" s="430"/>
      <c r="L75" s="431"/>
      <c r="M75" s="432"/>
      <c r="N75" s="310">
        <f ca="1">IF(NOT(ISERROR(MATCH(M75,_xlfn.ANCHORARRAY(G32),0))),L34&amp;"Por favor no seleccionar los criterios de impacto",M75)</f>
        <v>0</v>
      </c>
      <c r="O75" s="430"/>
      <c r="P75" s="431"/>
      <c r="Q75" s="433"/>
      <c r="R75" s="316">
        <v>3</v>
      </c>
      <c r="S75" s="330"/>
      <c r="T75" s="312"/>
      <c r="U75" s="302" t="str">
        <f>IF(OR(V75="Preventivo",V75="Detectivo"),"Probabilidad",IF(V75="Correctivo","Impacto",""))</f>
        <v/>
      </c>
      <c r="V75" s="237"/>
      <c r="W75" s="237"/>
      <c r="X75" s="209" t="str">
        <f>IF(AND(V75="Preventivo",W75="Automático"),"50%",IF(AND(V75="Preventivo",W75="Manual"),"40%",IF(AND(V75="Detectivo",W75="Automático"),"40%",IF(AND(V75="Detectivo",W75="Manual"),"30%",IF(AND(V75="Correctivo",W75="Automático"),"35%",IF(AND(V75="Correctivo",W75="Manual"),"25%",""))))))</f>
        <v/>
      </c>
      <c r="Y75" s="237"/>
      <c r="Z75" s="237"/>
      <c r="AA75" s="237"/>
      <c r="AB75" s="210" t="str">
        <f t="shared" ref="AB75:AB78" si="134">IFERROR(IF(AND(U74="Probabilidad",U75="Probabilidad"),(AD74-(+AD74*X75)),IF(AND(U74="Impacto",U75="Probabilidad"),(AD73-(+AD73*X75)),IF(U75="Impacto",AD74,""))),"")</f>
        <v/>
      </c>
      <c r="AC75" s="211" t="str">
        <f t="shared" si="131"/>
        <v/>
      </c>
      <c r="AD75" s="209" t="str">
        <f t="shared" ref="AD75:AD78" si="135">+AB75</f>
        <v/>
      </c>
      <c r="AE75" s="211" t="str">
        <f t="shared" si="132"/>
        <v/>
      </c>
      <c r="AF75" s="209" t="str">
        <f>IFERROR(IF(AND(U74="Impacto",U75="Impacto"),(AF74-(+AF74*X75)),IF(U75="Impacto",($P$31-(+$P$31*X75)),IF(U75="Probabilidad",AF74,""))),"")</f>
        <v/>
      </c>
      <c r="AG75" s="212" t="str">
        <f t="shared" si="133"/>
        <v/>
      </c>
      <c r="AH75" s="237"/>
      <c r="AI75" s="318"/>
      <c r="AJ75" s="318"/>
      <c r="AK75" s="318"/>
      <c r="AL75" s="318"/>
      <c r="AM75" s="318"/>
      <c r="AN75" s="299"/>
      <c r="AO75" s="299"/>
      <c r="AP75" s="259"/>
      <c r="AQ75" s="220"/>
      <c r="AR75" s="299"/>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row>
    <row r="76" spans="1:77" s="113" customFormat="1" ht="12" hidden="1" customHeight="1" x14ac:dyDescent="0.2">
      <c r="A76" s="437"/>
      <c r="B76" s="438"/>
      <c r="C76" s="434"/>
      <c r="D76" s="434"/>
      <c r="E76" s="434"/>
      <c r="F76" s="435"/>
      <c r="G76" s="436"/>
      <c r="H76" s="435"/>
      <c r="I76" s="435"/>
      <c r="J76" s="439"/>
      <c r="K76" s="430"/>
      <c r="L76" s="431"/>
      <c r="M76" s="432"/>
      <c r="N76" s="310">
        <f ca="1">IF(NOT(ISERROR(MATCH(M76,_xlfn.ANCHORARRAY(G33),0))),L35&amp;"Por favor no seleccionar los criterios de impacto",M76)</f>
        <v>0</v>
      </c>
      <c r="O76" s="430"/>
      <c r="P76" s="431"/>
      <c r="Q76" s="433"/>
      <c r="R76" s="316">
        <v>4</v>
      </c>
      <c r="S76" s="330"/>
      <c r="T76" s="312"/>
      <c r="U76" s="208" t="str">
        <f t="shared" ref="U76:U78" si="136">IF(OR(V76="Preventivo",V76="Detectivo"),"Probabilidad",IF(V76="Correctivo","Impacto",""))</f>
        <v/>
      </c>
      <c r="V76" s="237"/>
      <c r="W76" s="237"/>
      <c r="X76" s="209" t="str">
        <f t="shared" ref="X76:X78" si="137">IF(AND(V76="Preventivo",W76="Automático"),"50%",IF(AND(V76="Preventivo",W76="Manual"),"40%",IF(AND(V76="Detectivo",W76="Automático"),"40%",IF(AND(V76="Detectivo",W76="Manual"),"30%",IF(AND(V76="Correctivo",W76="Automático"),"35%",IF(AND(V76="Correctivo",W76="Manual"),"25%",""))))))</f>
        <v/>
      </c>
      <c r="Y76" s="237"/>
      <c r="Z76" s="237"/>
      <c r="AA76" s="237"/>
      <c r="AB76" s="210" t="str">
        <f t="shared" si="134"/>
        <v/>
      </c>
      <c r="AC76" s="211" t="str">
        <f t="shared" si="131"/>
        <v/>
      </c>
      <c r="AD76" s="209" t="str">
        <f t="shared" si="135"/>
        <v/>
      </c>
      <c r="AE76" s="211" t="str">
        <f t="shared" si="132"/>
        <v/>
      </c>
      <c r="AF76" s="209" t="str">
        <f t="shared" ref="AF76:AF77" si="138">IFERROR(IF(AND(U75="Impacto",U76="Impacto"),(AF75-(+AF75*X76)),IF(U76="Impacto",($P$31-(+$P$31*X76)),IF(U76="Probabilidad",AF75,""))),"")</f>
        <v/>
      </c>
      <c r="AG76" s="212" t="str">
        <f>IFERROR(IF(OR(AND(AC76="Muy Baja",AE76="Leve"),AND(AC76="Muy Baja",AE76="Menor"),AND(AC76="Baja",AE76="Leve")),"Bajo",IF(OR(AND(AC76="Muy baja",AE76="Moderado"),AND(AC76="Baja",AE76="Menor"),AND(AC76="Baja",AE76="Moderado"),AND(AC76="Media",AE76="Leve"),AND(AC76="Media",AE76="Menor"),AND(AC76="Media",AE76="Moderado"),AND(AC76="Alta",AE76="Leve"),AND(AC76="Alta",AE76="Menor")),"Moderado",IF(OR(AND(AC76="Muy Baja",AE76="Mayor"),AND(AC76="Baja",AE76="Mayor"),AND(AC76="Media",AE76="Mayor"),AND(AC76="Alta",AE76="Moderado"),AND(AC76="Alta",AE76="Mayor"),AND(AC76="Muy Alta",AE76="Leve"),AND(AC76="Muy Alta",AE76="Menor"),AND(AC76="Muy Alta",AE76="Moderado"),AND(AC76="Muy Alta",AE76="Mayor")),"Alto",IF(OR(AND(AC76="Muy Baja",AE76="Catastrófico"),AND(AC76="Baja",AE76="Catastrófico"),AND(AC76="Media",AE76="Catastrófico"),AND(AC76="Alta",AE76="Catastrófico"),AND(AC76="Muy Alta",AE76="Catastrófico")),"Extremo","")))),"")</f>
        <v/>
      </c>
      <c r="AH76" s="237"/>
      <c r="AI76" s="318"/>
      <c r="AJ76" s="318"/>
      <c r="AK76" s="318"/>
      <c r="AL76" s="318"/>
      <c r="AM76" s="318"/>
      <c r="AN76" s="213"/>
      <c r="AO76" s="213"/>
      <c r="AP76" s="301"/>
      <c r="AQ76" s="220"/>
      <c r="AR76" s="21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row>
    <row r="77" spans="1:77" s="113" customFormat="1" ht="12" hidden="1" customHeight="1" x14ac:dyDescent="0.2">
      <c r="A77" s="437"/>
      <c r="B77" s="438"/>
      <c r="C77" s="434"/>
      <c r="D77" s="434"/>
      <c r="E77" s="434"/>
      <c r="F77" s="435"/>
      <c r="G77" s="436"/>
      <c r="H77" s="435"/>
      <c r="I77" s="435"/>
      <c r="J77" s="439"/>
      <c r="K77" s="430"/>
      <c r="L77" s="431"/>
      <c r="M77" s="432"/>
      <c r="N77" s="310">
        <f ca="1">IF(NOT(ISERROR(MATCH(M77,_xlfn.ANCHORARRAY(G34),0))),L36&amp;"Por favor no seleccionar los criterios de impacto",M77)</f>
        <v>0</v>
      </c>
      <c r="O77" s="430"/>
      <c r="P77" s="431"/>
      <c r="Q77" s="433"/>
      <c r="R77" s="316">
        <v>5</v>
      </c>
      <c r="S77" s="330"/>
      <c r="T77" s="312"/>
      <c r="U77" s="208" t="str">
        <f t="shared" si="136"/>
        <v/>
      </c>
      <c r="V77" s="237"/>
      <c r="W77" s="237"/>
      <c r="X77" s="209" t="str">
        <f t="shared" si="137"/>
        <v/>
      </c>
      <c r="Y77" s="237"/>
      <c r="Z77" s="237"/>
      <c r="AA77" s="237"/>
      <c r="AB77" s="210" t="str">
        <f t="shared" si="134"/>
        <v/>
      </c>
      <c r="AC77" s="211" t="str">
        <f t="shared" si="131"/>
        <v/>
      </c>
      <c r="AD77" s="209" t="str">
        <f t="shared" si="135"/>
        <v/>
      </c>
      <c r="AE77" s="211" t="str">
        <f t="shared" si="132"/>
        <v/>
      </c>
      <c r="AF77" s="209" t="str">
        <f t="shared" si="138"/>
        <v/>
      </c>
      <c r="AG77" s="212" t="str">
        <f t="shared" ref="AG77:AG78" si="139">IFERROR(IF(OR(AND(AC77="Muy Baja",AE77="Leve"),AND(AC77="Muy Baja",AE77="Menor"),AND(AC77="Baja",AE77="Leve")),"Bajo",IF(OR(AND(AC77="Muy baja",AE77="Moderado"),AND(AC77="Baja",AE77="Menor"),AND(AC77="Baja",AE77="Moderado"),AND(AC77="Media",AE77="Leve"),AND(AC77="Media",AE77="Menor"),AND(AC77="Media",AE77="Moderado"),AND(AC77="Alta",AE77="Leve"),AND(AC77="Alta",AE77="Menor")),"Moderado",IF(OR(AND(AC77="Muy Baja",AE77="Mayor"),AND(AC77="Baja",AE77="Mayor"),AND(AC77="Media",AE77="Mayor"),AND(AC77="Alta",AE77="Moderado"),AND(AC77="Alta",AE77="Mayor"),AND(AC77="Muy Alta",AE77="Leve"),AND(AC77="Muy Alta",AE77="Menor"),AND(AC77="Muy Alta",AE77="Moderado"),AND(AC77="Muy Alta",AE77="Mayor")),"Alto",IF(OR(AND(AC77="Muy Baja",AE77="Catastrófico"),AND(AC77="Baja",AE77="Catastrófico"),AND(AC77="Media",AE77="Catastrófico"),AND(AC77="Alta",AE77="Catastrófico"),AND(AC77="Muy Alta",AE77="Catastrófico")),"Extremo","")))),"")</f>
        <v/>
      </c>
      <c r="AH77" s="237"/>
      <c r="AI77" s="318"/>
      <c r="AJ77" s="318"/>
      <c r="AK77" s="318"/>
      <c r="AL77" s="318"/>
      <c r="AM77" s="318"/>
      <c r="AN77" s="300"/>
      <c r="AO77" s="300"/>
      <c r="AP77" s="298"/>
      <c r="AQ77" s="216"/>
      <c r="AR77" s="216"/>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row>
    <row r="78" spans="1:77" s="113" customFormat="1" ht="12" hidden="1" customHeight="1" x14ac:dyDescent="0.2">
      <c r="A78" s="437"/>
      <c r="B78" s="438"/>
      <c r="C78" s="434"/>
      <c r="D78" s="434"/>
      <c r="E78" s="434"/>
      <c r="F78" s="435"/>
      <c r="G78" s="436"/>
      <c r="H78" s="435"/>
      <c r="I78" s="435"/>
      <c r="J78" s="439"/>
      <c r="K78" s="430"/>
      <c r="L78" s="431"/>
      <c r="M78" s="432"/>
      <c r="N78" s="310">
        <f ca="1">IF(NOT(ISERROR(MATCH(M78,_xlfn.ANCHORARRAY(G35),0))),L37&amp;"Por favor no seleccionar los criterios de impacto",M78)</f>
        <v>0</v>
      </c>
      <c r="O78" s="430"/>
      <c r="P78" s="431"/>
      <c r="Q78" s="433"/>
      <c r="R78" s="316">
        <v>6</v>
      </c>
      <c r="S78" s="330"/>
      <c r="T78" s="312"/>
      <c r="U78" s="208" t="str">
        <f t="shared" si="136"/>
        <v/>
      </c>
      <c r="V78" s="237"/>
      <c r="W78" s="237"/>
      <c r="X78" s="209" t="str">
        <f t="shared" si="137"/>
        <v/>
      </c>
      <c r="Y78" s="237"/>
      <c r="Z78" s="237"/>
      <c r="AA78" s="237"/>
      <c r="AB78" s="210" t="str">
        <f t="shared" si="134"/>
        <v/>
      </c>
      <c r="AC78" s="211" t="str">
        <f t="shared" si="131"/>
        <v/>
      </c>
      <c r="AD78" s="209" t="str">
        <f t="shared" si="135"/>
        <v/>
      </c>
      <c r="AE78" s="211" t="str">
        <f t="shared" si="132"/>
        <v/>
      </c>
      <c r="AF78" s="209" t="str">
        <f>IFERROR(IF(AND(U77="Impacto",U78="Impacto"),(AF77-(+AF77*X78)),IF(U78="Impacto",($P$31-(+$P$31*X78)),IF(U78="Probabilidad",AF77,""))),"")</f>
        <v/>
      </c>
      <c r="AG78" s="212" t="str">
        <f t="shared" si="139"/>
        <v/>
      </c>
      <c r="AH78" s="237"/>
      <c r="AI78" s="318"/>
      <c r="AJ78" s="318"/>
      <c r="AK78" s="318"/>
      <c r="AL78" s="318"/>
      <c r="AM78" s="318"/>
      <c r="AN78" s="300"/>
      <c r="AO78" s="300"/>
      <c r="AP78" s="298"/>
      <c r="AQ78" s="216"/>
      <c r="AR78" s="216"/>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row>
    <row r="79" spans="1:77" s="271" customFormat="1" ht="156.75" x14ac:dyDescent="0.2">
      <c r="A79" s="437" t="s">
        <v>788</v>
      </c>
      <c r="B79" s="438" t="s">
        <v>597</v>
      </c>
      <c r="C79" s="434" t="s">
        <v>619</v>
      </c>
      <c r="D79" s="434" t="s">
        <v>109</v>
      </c>
      <c r="E79" s="434" t="s">
        <v>793</v>
      </c>
      <c r="F79" s="435" t="s">
        <v>685</v>
      </c>
      <c r="G79" s="436" t="s">
        <v>792</v>
      </c>
      <c r="H79" s="435" t="s">
        <v>655</v>
      </c>
      <c r="I79" s="435" t="s">
        <v>1070</v>
      </c>
      <c r="J79" s="439">
        <v>1000</v>
      </c>
      <c r="K79" s="430" t="str">
        <f t="shared" ref="K79" si="140">IF(J79&lt;=0,"",IF(J79&lt;=2,"Muy Baja",IF(J79&lt;=24,"Baja",IF(J79&lt;=500,"Media",IF(J79&lt;=5000,"Alta","Muy Alta")))))</f>
        <v>Alta</v>
      </c>
      <c r="L79" s="431">
        <f>IF(K79="","",IF(K79="Muy Baja",0.2,IF(K79="Baja",0.4,IF(K79="Media",0.6,IF(K79="Alta",0.8,IF(K79="Muy Alta",1,))))))</f>
        <v>0.8</v>
      </c>
      <c r="M79" s="432" t="s">
        <v>117</v>
      </c>
      <c r="N79" s="310" t="str">
        <f ca="1">IF(NOT(ISERROR(MATCH(M79,'Tabla Impacto'!$B$221:$B$223,0))),'Tabla Impacto'!$F$223&amp;"Por favor no seleccionar los criterios de impacto(Afectación Económica o presupuestal y Pérdida Reputacional)",M79)</f>
        <v xml:space="preserve">     Entre 100 y 500 SMLMV </v>
      </c>
      <c r="O79" s="430" t="str">
        <f ca="1">IF(OR(N79='Tabla Impacto'!$C$11,N79='Tabla Impacto'!$D$11),"Leve",IF(OR(N79='Tabla Impacto'!$C$12,N79='Tabla Impacto'!$D$12),"Menor",IF(OR(N79='Tabla Impacto'!$C$13,N79='Tabla Impacto'!$D$13),"Moderado",IF(OR(N79='Tabla Impacto'!$C$14,N79='Tabla Impacto'!$D$14),"Mayor",IF(OR(N79='Tabla Impacto'!$C$15,N79='Tabla Impacto'!$D$15),"Catastrófico","")))))</f>
        <v>Mayor</v>
      </c>
      <c r="P79" s="431">
        <f ca="1">IF(O79="","",IF(O79="Leve",0.2,IF(O79="Menor",0.4,IF(O79="Moderado",0.6,IF(O79="Mayor",0.8,IF(O79="Catastrófico",1,))))))</f>
        <v>0.8</v>
      </c>
      <c r="Q79" s="433" t="str">
        <f ca="1">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Alto</v>
      </c>
      <c r="R79" s="261">
        <v>1</v>
      </c>
      <c r="S79" s="334" t="s">
        <v>794</v>
      </c>
      <c r="T79" s="272" t="s">
        <v>293</v>
      </c>
      <c r="U79" s="262" t="str">
        <f>IF(OR(V79="Preventivo",V79="Detectivo"),"Probabilidad",IF(V79="Correctivo","Impacto",""))</f>
        <v>Probabilidad</v>
      </c>
      <c r="V79" s="263" t="s">
        <v>13</v>
      </c>
      <c r="W79" s="263" t="s">
        <v>8</v>
      </c>
      <c r="X79" s="264" t="str">
        <f>IF(AND(V79="Preventivo",W79="Automático"),"50%",IF(AND(V79="Preventivo",W79="Manual"),"40%",IF(AND(V79="Detectivo",W79="Automático"),"40%",IF(AND(V79="Detectivo",W79="Manual"),"30%",IF(AND(V79="Correctivo",W79="Automático"),"35%",IF(AND(V79="Correctivo",W79="Manual"),"25%",""))))))</f>
        <v>40%</v>
      </c>
      <c r="Y79" s="263" t="s">
        <v>19</v>
      </c>
      <c r="Z79" s="263" t="s">
        <v>21</v>
      </c>
      <c r="AA79" s="263"/>
      <c r="AB79" s="265">
        <f t="shared" ref="AB79" si="141">IFERROR(IF(U79="Probabilidad",(L79-(+L79*X79)),IF(U79="Impacto",L79,"")),"")</f>
        <v>0.48</v>
      </c>
      <c r="AC79" s="266" t="str">
        <f>IFERROR(IF(AB79="","",IF(AB79&lt;=0.2,"Muy Baja",IF(AB79&lt;=0.4,"Baja",IF(AB79&lt;=0.6,"Media",IF(AB79&lt;=0.8,"Alta","Muy Alta"))))),"")</f>
        <v>Media</v>
      </c>
      <c r="AD79" s="264">
        <f>+AB79</f>
        <v>0.48</v>
      </c>
      <c r="AE79" s="266" t="str">
        <f ca="1">IFERROR(IF(AF79="","",IF(AF79&lt;=0.2,"Leve",IF(AF79&lt;=0.4,"Menor",IF(AF79&lt;=0.6,"Moderado",IF(AF79&lt;=0.8,"Mayor","Catastrófico"))))),"")</f>
        <v>Mayor</v>
      </c>
      <c r="AF79" s="264">
        <f ca="1">IFERROR(IF(U79="Impacto",(P79-(+P79*X79)),IF(U79="Probabilidad",P79,"")),"")</f>
        <v>0.8</v>
      </c>
      <c r="AG79" s="267" t="str">
        <f ca="1">IFERROR(IF(OR(AND(AC79="Muy Baja",AE79="Leve"),AND(AC79="Muy Baja",AE79="Menor"),AND(AC79="Baja",AE79="Leve")),"Bajo",IF(OR(AND(AC79="Muy baja",AE79="Moderado"),AND(AC79="Baja",AE79="Menor"),AND(AC79="Baja",AE79="Moderado"),AND(AC79="Media",AE79="Leve"),AND(AC79="Media",AE79="Menor"),AND(AC79="Media",AE79="Moderado"),AND(AC79="Alta",AE79="Leve"),AND(AC79="Alta",AE79="Menor")),"Moderado",IF(OR(AND(AC79="Muy Baja",AE79="Mayor"),AND(AC79="Baja",AE79="Mayor"),AND(AC79="Media",AE79="Mayor"),AND(AC79="Alta",AE79="Moderado"),AND(AC79="Alta",AE79="Mayor"),AND(AC79="Muy Alta",AE79="Leve"),AND(AC79="Muy Alta",AE79="Menor"),AND(AC79="Muy Alta",AE79="Moderado"),AND(AC79="Muy Alta",AE79="Mayor")),"Alto",IF(OR(AND(AC79="Muy Baja",AE79="Catastrófico"),AND(AC79="Baja",AE79="Catastrófico"),AND(AC79="Media",AE79="Catastrófico"),AND(AC79="Alta",AE79="Catastrófico"),AND(AC79="Muy Alta",AE79="Catastrófico")),"Extremo","")))),"")</f>
        <v>Alto</v>
      </c>
      <c r="AH79" s="263" t="s">
        <v>26</v>
      </c>
      <c r="AI79" s="273">
        <v>4</v>
      </c>
      <c r="AJ79" s="273">
        <v>1</v>
      </c>
      <c r="AK79" s="273">
        <v>1</v>
      </c>
      <c r="AL79" s="273">
        <v>1</v>
      </c>
      <c r="AM79" s="273">
        <v>1</v>
      </c>
      <c r="AN79" s="268"/>
      <c r="AO79" s="268"/>
      <c r="AP79" s="258"/>
      <c r="AQ79" s="269"/>
      <c r="AR79" s="270"/>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row>
    <row r="80" spans="1:77" s="113" customFormat="1" ht="8.25" hidden="1" customHeight="1" x14ac:dyDescent="0.2">
      <c r="A80" s="437"/>
      <c r="B80" s="438"/>
      <c r="C80" s="434"/>
      <c r="D80" s="434"/>
      <c r="E80" s="434"/>
      <c r="F80" s="435"/>
      <c r="G80" s="436"/>
      <c r="H80" s="435"/>
      <c r="I80" s="435"/>
      <c r="J80" s="439"/>
      <c r="K80" s="430"/>
      <c r="L80" s="431"/>
      <c r="M80" s="432"/>
      <c r="N80" s="310">
        <f ca="1">IF(NOT(ISERROR(MATCH(M80,_xlfn.ANCHORARRAY(G37),0))),L39&amp;"Por favor no seleccionar los criterios de impacto",M80)</f>
        <v>0</v>
      </c>
      <c r="O80" s="430"/>
      <c r="P80" s="431"/>
      <c r="Q80" s="433"/>
      <c r="R80" s="316">
        <v>2</v>
      </c>
      <c r="S80" s="330"/>
      <c r="T80" s="312"/>
      <c r="U80" s="302" t="str">
        <f>IF(OR(V80="Preventivo",V80="Detectivo"),"Probabilidad",IF(V80="Correctivo","Impacto",""))</f>
        <v/>
      </c>
      <c r="V80" s="237"/>
      <c r="W80" s="237"/>
      <c r="X80" s="209" t="str">
        <f>IF(AND(V80="Preventivo",W80="Automático"),"50%",IF(AND(V80="Preventivo",W80="Manual"),"40%",IF(AND(V80="Detectivo",W80="Automático"),"40%",IF(AND(V80="Detectivo",W80="Manual"),"30%",IF(AND(V80="Correctivo",W80="Automático"),"35%",IF(AND(V80="Correctivo",W80="Manual"),"25%",""))))))</f>
        <v/>
      </c>
      <c r="Y80" s="237"/>
      <c r="Z80" s="237"/>
      <c r="AA80" s="237"/>
      <c r="AB80" s="210" t="str">
        <f t="shared" ref="AB80" si="142">IFERROR(IF(AND(U79="Probabilidad",U80="Probabilidad"),(AD79-(+AD79*X80)),IF(U80="Probabilidad",(L79-(+L79*X80)),IF(U80="Impacto",AD79,""))),"")</f>
        <v/>
      </c>
      <c r="AC80" s="211" t="str">
        <f t="shared" ref="AC80:AC84" si="143">IFERROR(IF(AB80="","",IF(AB80&lt;=0.2,"Muy Baja",IF(AB80&lt;=0.4,"Baja",IF(AB80&lt;=0.6,"Media",IF(AB80&lt;=0.8,"Alta","Muy Alta"))))),"")</f>
        <v/>
      </c>
      <c r="AD80" s="209" t="str">
        <f>+AB80</f>
        <v/>
      </c>
      <c r="AE80" s="211" t="str">
        <f t="shared" ref="AE80:AE84" si="144">IFERROR(IF(AF80="","",IF(AF80&lt;=0.2,"Leve",IF(AF80&lt;=0.4,"Menor",IF(AF80&lt;=0.6,"Moderado",IF(AF80&lt;=0.8,"Mayor","Catastrófico"))))),"")</f>
        <v/>
      </c>
      <c r="AF80" s="209" t="str">
        <f>IFERROR(IF(AND(U79="Impacto",U80="Impacto"),(AF79-(+AF79*X80)),IF(U80="Impacto",($P$37-(+$P$37*X80)),IF(U80="Probabilidad",AF79,""))),"")</f>
        <v/>
      </c>
      <c r="AG80" s="212" t="str">
        <f t="shared" ref="AG80:AG81" si="145">IFERROR(IF(OR(AND(AC80="Muy Baja",AE80="Leve"),AND(AC80="Muy Baja",AE80="Menor"),AND(AC80="Baja",AE80="Leve")),"Bajo",IF(OR(AND(AC80="Muy baja",AE80="Moderado"),AND(AC80="Baja",AE80="Menor"),AND(AC80="Baja",AE80="Moderado"),AND(AC80="Media",AE80="Leve"),AND(AC80="Media",AE80="Menor"),AND(AC80="Media",AE80="Moderado"),AND(AC80="Alta",AE80="Leve"),AND(AC80="Alta",AE80="Menor")),"Moderado",IF(OR(AND(AC80="Muy Baja",AE80="Mayor"),AND(AC80="Baja",AE80="Mayor"),AND(AC80="Media",AE80="Mayor"),AND(AC80="Alta",AE80="Moderado"),AND(AC80="Alta",AE80="Mayor"),AND(AC80="Muy Alta",AE80="Leve"),AND(AC80="Muy Alta",AE80="Menor"),AND(AC80="Muy Alta",AE80="Moderado"),AND(AC80="Muy Alta",AE80="Mayor")),"Alto",IF(OR(AND(AC80="Muy Baja",AE80="Catastrófico"),AND(AC80="Baja",AE80="Catastrófico"),AND(AC80="Media",AE80="Catastrófico"),AND(AC80="Alta",AE80="Catastrófico"),AND(AC80="Muy Alta",AE80="Catastrófico")),"Extremo","")))),"")</f>
        <v/>
      </c>
      <c r="AH80" s="237"/>
      <c r="AI80" s="318"/>
      <c r="AJ80" s="318"/>
      <c r="AK80" s="318"/>
      <c r="AL80" s="318"/>
      <c r="AM80" s="318"/>
      <c r="AN80" s="299"/>
      <c r="AO80" s="299"/>
      <c r="AP80" s="259"/>
      <c r="AQ80" s="220"/>
      <c r="AR80" s="299"/>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3"/>
    </row>
    <row r="81" spans="1:77" s="113" customFormat="1" ht="8.25" hidden="1" customHeight="1" x14ac:dyDescent="0.2">
      <c r="A81" s="437"/>
      <c r="B81" s="438"/>
      <c r="C81" s="434"/>
      <c r="D81" s="434"/>
      <c r="E81" s="434"/>
      <c r="F81" s="435"/>
      <c r="G81" s="436"/>
      <c r="H81" s="435"/>
      <c r="I81" s="435"/>
      <c r="J81" s="439"/>
      <c r="K81" s="430"/>
      <c r="L81" s="431"/>
      <c r="M81" s="432"/>
      <c r="N81" s="310">
        <f ca="1">IF(NOT(ISERROR(MATCH(M81,_xlfn.ANCHORARRAY(G38),0))),L40&amp;"Por favor no seleccionar los criterios de impacto",M81)</f>
        <v>0</v>
      </c>
      <c r="O81" s="430"/>
      <c r="P81" s="431"/>
      <c r="Q81" s="433"/>
      <c r="R81" s="316">
        <v>3</v>
      </c>
      <c r="S81" s="330"/>
      <c r="T81" s="312"/>
      <c r="U81" s="302" t="str">
        <f>IF(OR(V81="Preventivo",V81="Detectivo"),"Probabilidad",IF(V81="Correctivo","Impacto",""))</f>
        <v/>
      </c>
      <c r="V81" s="237"/>
      <c r="W81" s="237"/>
      <c r="X81" s="209" t="str">
        <f>IF(AND(V81="Preventivo",W81="Automático"),"50%",IF(AND(V81="Preventivo",W81="Manual"),"40%",IF(AND(V81="Detectivo",W81="Automático"),"40%",IF(AND(V81="Detectivo",W81="Manual"),"30%",IF(AND(V81="Correctivo",W81="Automático"),"35%",IF(AND(V81="Correctivo",W81="Manual"),"25%",""))))))</f>
        <v/>
      </c>
      <c r="Y81" s="237"/>
      <c r="Z81" s="237"/>
      <c r="AA81" s="237"/>
      <c r="AB81" s="210" t="str">
        <f t="shared" ref="AB81:AB84" si="146">IFERROR(IF(AND(U80="Probabilidad",U81="Probabilidad"),(AD80-(+AD80*X81)),IF(AND(U80="Impacto",U81="Probabilidad"),(AD79-(+AD79*X81)),IF(U81="Impacto",AD80,""))),"")</f>
        <v/>
      </c>
      <c r="AC81" s="211" t="str">
        <f t="shared" si="143"/>
        <v/>
      </c>
      <c r="AD81" s="209" t="str">
        <f t="shared" ref="AD81:AD84" si="147">+AB81</f>
        <v/>
      </c>
      <c r="AE81" s="211" t="str">
        <f t="shared" si="144"/>
        <v/>
      </c>
      <c r="AF81" s="209" t="str">
        <f>IFERROR(IF(AND(U80="Impacto",U81="Impacto"),(AF80-(+AF80*X81)),IF(U81="Impacto",($P$31-(+$P$31*X81)),IF(U81="Probabilidad",AF80,""))),"")</f>
        <v/>
      </c>
      <c r="AG81" s="212" t="str">
        <f t="shared" si="145"/>
        <v/>
      </c>
      <c r="AH81" s="237"/>
      <c r="AI81" s="318"/>
      <c r="AJ81" s="318"/>
      <c r="AK81" s="318"/>
      <c r="AL81" s="318"/>
      <c r="AM81" s="318"/>
      <c r="AN81" s="299"/>
      <c r="AO81" s="299"/>
      <c r="AP81" s="259"/>
      <c r="AQ81" s="220"/>
      <c r="AR81" s="299"/>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row>
    <row r="82" spans="1:77" s="113" customFormat="1" ht="8.25" hidden="1" customHeight="1" x14ac:dyDescent="0.2">
      <c r="A82" s="437"/>
      <c r="B82" s="438"/>
      <c r="C82" s="434"/>
      <c r="D82" s="434"/>
      <c r="E82" s="434"/>
      <c r="F82" s="435"/>
      <c r="G82" s="436"/>
      <c r="H82" s="435"/>
      <c r="I82" s="435"/>
      <c r="J82" s="439"/>
      <c r="K82" s="430"/>
      <c r="L82" s="431"/>
      <c r="M82" s="432"/>
      <c r="N82" s="310">
        <f ca="1">IF(NOT(ISERROR(MATCH(M82,_xlfn.ANCHORARRAY(G39),0))),L41&amp;"Por favor no seleccionar los criterios de impacto",M82)</f>
        <v>0</v>
      </c>
      <c r="O82" s="430"/>
      <c r="P82" s="431"/>
      <c r="Q82" s="433"/>
      <c r="R82" s="316">
        <v>4</v>
      </c>
      <c r="S82" s="330"/>
      <c r="T82" s="312"/>
      <c r="U82" s="208" t="str">
        <f t="shared" ref="U82:U84" si="148">IF(OR(V82="Preventivo",V82="Detectivo"),"Probabilidad",IF(V82="Correctivo","Impacto",""))</f>
        <v/>
      </c>
      <c r="V82" s="237"/>
      <c r="W82" s="237"/>
      <c r="X82" s="209" t="str">
        <f t="shared" ref="X82:X84" si="149">IF(AND(V82="Preventivo",W82="Automático"),"50%",IF(AND(V82="Preventivo",W82="Manual"),"40%",IF(AND(V82="Detectivo",W82="Automático"),"40%",IF(AND(V82="Detectivo",W82="Manual"),"30%",IF(AND(V82="Correctivo",W82="Automático"),"35%",IF(AND(V82="Correctivo",W82="Manual"),"25%",""))))))</f>
        <v/>
      </c>
      <c r="Y82" s="237"/>
      <c r="Z82" s="237"/>
      <c r="AA82" s="237"/>
      <c r="AB82" s="210" t="str">
        <f t="shared" si="146"/>
        <v/>
      </c>
      <c r="AC82" s="211" t="str">
        <f t="shared" si="143"/>
        <v/>
      </c>
      <c r="AD82" s="209" t="str">
        <f t="shared" si="147"/>
        <v/>
      </c>
      <c r="AE82" s="211" t="str">
        <f t="shared" si="144"/>
        <v/>
      </c>
      <c r="AF82" s="209" t="str">
        <f t="shared" ref="AF82:AF83" si="150">IFERROR(IF(AND(U81="Impacto",U82="Impacto"),(AF81-(+AF81*X82)),IF(U82="Impacto",($P$31-(+$P$31*X82)),IF(U82="Probabilidad",AF81,""))),"")</f>
        <v/>
      </c>
      <c r="AG82" s="212" t="str">
        <f>IFERROR(IF(OR(AND(AC82="Muy Baja",AE82="Leve"),AND(AC82="Muy Baja",AE82="Menor"),AND(AC82="Baja",AE82="Leve")),"Bajo",IF(OR(AND(AC82="Muy baja",AE82="Moderado"),AND(AC82="Baja",AE82="Menor"),AND(AC82="Baja",AE82="Moderado"),AND(AC82="Media",AE82="Leve"),AND(AC82="Media",AE82="Menor"),AND(AC82="Media",AE82="Moderado"),AND(AC82="Alta",AE82="Leve"),AND(AC82="Alta",AE82="Menor")),"Moderado",IF(OR(AND(AC82="Muy Baja",AE82="Mayor"),AND(AC82="Baja",AE82="Mayor"),AND(AC82="Media",AE82="Mayor"),AND(AC82="Alta",AE82="Moderado"),AND(AC82="Alta",AE82="Mayor"),AND(AC82="Muy Alta",AE82="Leve"),AND(AC82="Muy Alta",AE82="Menor"),AND(AC82="Muy Alta",AE82="Moderado"),AND(AC82="Muy Alta",AE82="Mayor")),"Alto",IF(OR(AND(AC82="Muy Baja",AE82="Catastrófico"),AND(AC82="Baja",AE82="Catastrófico"),AND(AC82="Media",AE82="Catastrófico"),AND(AC82="Alta",AE82="Catastrófico"),AND(AC82="Muy Alta",AE82="Catastrófico")),"Extremo","")))),"")</f>
        <v/>
      </c>
      <c r="AH82" s="237"/>
      <c r="AI82" s="318"/>
      <c r="AJ82" s="318"/>
      <c r="AK82" s="318"/>
      <c r="AL82" s="318"/>
      <c r="AM82" s="318"/>
      <c r="AN82" s="213"/>
      <c r="AO82" s="213"/>
      <c r="AP82" s="301"/>
      <c r="AQ82" s="220"/>
      <c r="AR82" s="21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row>
    <row r="83" spans="1:77" s="113" customFormat="1" ht="8.25" hidden="1" customHeight="1" x14ac:dyDescent="0.2">
      <c r="A83" s="437"/>
      <c r="B83" s="438"/>
      <c r="C83" s="434"/>
      <c r="D83" s="434"/>
      <c r="E83" s="434"/>
      <c r="F83" s="435"/>
      <c r="G83" s="436"/>
      <c r="H83" s="435"/>
      <c r="I83" s="435"/>
      <c r="J83" s="439"/>
      <c r="K83" s="430"/>
      <c r="L83" s="431"/>
      <c r="M83" s="432"/>
      <c r="N83" s="310">
        <f ca="1">IF(NOT(ISERROR(MATCH(M83,_xlfn.ANCHORARRAY(G40),0))),L42&amp;"Por favor no seleccionar los criterios de impacto",M83)</f>
        <v>0</v>
      </c>
      <c r="O83" s="430"/>
      <c r="P83" s="431"/>
      <c r="Q83" s="433"/>
      <c r="R83" s="316">
        <v>5</v>
      </c>
      <c r="S83" s="330"/>
      <c r="T83" s="312"/>
      <c r="U83" s="208" t="str">
        <f t="shared" si="148"/>
        <v/>
      </c>
      <c r="V83" s="237"/>
      <c r="W83" s="237"/>
      <c r="X83" s="209" t="str">
        <f t="shared" si="149"/>
        <v/>
      </c>
      <c r="Y83" s="237"/>
      <c r="Z83" s="237"/>
      <c r="AA83" s="237"/>
      <c r="AB83" s="210" t="str">
        <f t="shared" si="146"/>
        <v/>
      </c>
      <c r="AC83" s="211" t="str">
        <f t="shared" si="143"/>
        <v/>
      </c>
      <c r="AD83" s="209" t="str">
        <f t="shared" si="147"/>
        <v/>
      </c>
      <c r="AE83" s="211" t="str">
        <f t="shared" si="144"/>
        <v/>
      </c>
      <c r="AF83" s="209" t="str">
        <f t="shared" si="150"/>
        <v/>
      </c>
      <c r="AG83" s="212" t="str">
        <f t="shared" ref="AG83:AG84" si="151">IFERROR(IF(OR(AND(AC83="Muy Baja",AE83="Leve"),AND(AC83="Muy Baja",AE83="Menor"),AND(AC83="Baja",AE83="Leve")),"Bajo",IF(OR(AND(AC83="Muy baja",AE83="Moderado"),AND(AC83="Baja",AE83="Menor"),AND(AC83="Baja",AE83="Moderado"),AND(AC83="Media",AE83="Leve"),AND(AC83="Media",AE83="Menor"),AND(AC83="Media",AE83="Moderado"),AND(AC83="Alta",AE83="Leve"),AND(AC83="Alta",AE83="Menor")),"Moderado",IF(OR(AND(AC83="Muy Baja",AE83="Mayor"),AND(AC83="Baja",AE83="Mayor"),AND(AC83="Media",AE83="Mayor"),AND(AC83="Alta",AE83="Moderado"),AND(AC83="Alta",AE83="Mayor"),AND(AC83="Muy Alta",AE83="Leve"),AND(AC83="Muy Alta",AE83="Menor"),AND(AC83="Muy Alta",AE83="Moderado"),AND(AC83="Muy Alta",AE83="Mayor")),"Alto",IF(OR(AND(AC83="Muy Baja",AE83="Catastrófico"),AND(AC83="Baja",AE83="Catastrófico"),AND(AC83="Media",AE83="Catastrófico"),AND(AC83="Alta",AE83="Catastrófico"),AND(AC83="Muy Alta",AE83="Catastrófico")),"Extremo","")))),"")</f>
        <v/>
      </c>
      <c r="AH83" s="237"/>
      <c r="AI83" s="318"/>
      <c r="AJ83" s="318"/>
      <c r="AK83" s="318"/>
      <c r="AL83" s="318"/>
      <c r="AM83" s="318"/>
      <c r="AN83" s="300"/>
      <c r="AO83" s="300"/>
      <c r="AP83" s="298"/>
      <c r="AQ83" s="216"/>
      <c r="AR83" s="216"/>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row>
    <row r="84" spans="1:77" s="113" customFormat="1" ht="8.25" hidden="1" customHeight="1" x14ac:dyDescent="0.2">
      <c r="A84" s="437"/>
      <c r="B84" s="438"/>
      <c r="C84" s="434"/>
      <c r="D84" s="434"/>
      <c r="E84" s="434"/>
      <c r="F84" s="435"/>
      <c r="G84" s="436"/>
      <c r="H84" s="435"/>
      <c r="I84" s="435"/>
      <c r="J84" s="439"/>
      <c r="K84" s="430"/>
      <c r="L84" s="431"/>
      <c r="M84" s="432"/>
      <c r="N84" s="310">
        <f ca="1">IF(NOT(ISERROR(MATCH(M84,_xlfn.ANCHORARRAY(G41),0))),L43&amp;"Por favor no seleccionar los criterios de impacto",M84)</f>
        <v>0</v>
      </c>
      <c r="O84" s="430"/>
      <c r="P84" s="431"/>
      <c r="Q84" s="433"/>
      <c r="R84" s="316">
        <v>6</v>
      </c>
      <c r="S84" s="330"/>
      <c r="T84" s="312"/>
      <c r="U84" s="208" t="str">
        <f t="shared" si="148"/>
        <v/>
      </c>
      <c r="V84" s="237"/>
      <c r="W84" s="237"/>
      <c r="X84" s="209" t="str">
        <f t="shared" si="149"/>
        <v/>
      </c>
      <c r="Y84" s="237"/>
      <c r="Z84" s="237"/>
      <c r="AA84" s="237"/>
      <c r="AB84" s="210" t="str">
        <f t="shared" si="146"/>
        <v/>
      </c>
      <c r="AC84" s="211" t="str">
        <f t="shared" si="143"/>
        <v/>
      </c>
      <c r="AD84" s="209" t="str">
        <f t="shared" si="147"/>
        <v/>
      </c>
      <c r="AE84" s="211" t="str">
        <f t="shared" si="144"/>
        <v/>
      </c>
      <c r="AF84" s="209" t="str">
        <f>IFERROR(IF(AND(U83="Impacto",U84="Impacto"),(AF83-(+AF83*X84)),IF(U84="Impacto",($P$31-(+$P$31*X84)),IF(U84="Probabilidad",AF83,""))),"")</f>
        <v/>
      </c>
      <c r="AG84" s="212" t="str">
        <f t="shared" si="151"/>
        <v/>
      </c>
      <c r="AH84" s="237"/>
      <c r="AI84" s="318"/>
      <c r="AJ84" s="318"/>
      <c r="AK84" s="318"/>
      <c r="AL84" s="318"/>
      <c r="AM84" s="318"/>
      <c r="AN84" s="300"/>
      <c r="AO84" s="300"/>
      <c r="AP84" s="298"/>
      <c r="AQ84" s="216"/>
      <c r="AR84" s="216"/>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row>
    <row r="85" spans="1:77" s="271" customFormat="1" ht="142.5" x14ac:dyDescent="0.2">
      <c r="A85" s="437" t="s">
        <v>789</v>
      </c>
      <c r="B85" s="438" t="s">
        <v>597</v>
      </c>
      <c r="C85" s="434" t="s">
        <v>619</v>
      </c>
      <c r="D85" s="434" t="s">
        <v>109</v>
      </c>
      <c r="E85" s="434" t="s">
        <v>795</v>
      </c>
      <c r="F85" s="435" t="s">
        <v>685</v>
      </c>
      <c r="G85" s="436" t="s">
        <v>1075</v>
      </c>
      <c r="H85" s="435" t="s">
        <v>655</v>
      </c>
      <c r="I85" s="435" t="s">
        <v>1076</v>
      </c>
      <c r="J85" s="439">
        <v>400</v>
      </c>
      <c r="K85" s="430" t="str">
        <f t="shared" ref="K85" si="152">IF(J85&lt;=0,"",IF(J85&lt;=2,"Muy Baja",IF(J85&lt;=24,"Baja",IF(J85&lt;=500,"Media",IF(J85&lt;=5000,"Alta","Muy Alta")))))</f>
        <v>Media</v>
      </c>
      <c r="L85" s="431">
        <f>IF(K85="","",IF(K85="Muy Baja",0.2,IF(K85="Baja",0.4,IF(K85="Media",0.6,IF(K85="Alta",0.8,IF(K85="Muy Alta",1,))))))</f>
        <v>0.6</v>
      </c>
      <c r="M85" s="432" t="s">
        <v>122</v>
      </c>
      <c r="N85" s="310" t="str">
        <f ca="1">IF(NOT(ISERROR(MATCH(M85,'Tabla Impacto'!$B$221:$B$223,0))),'Tabla Impacto'!$F$223&amp;"Por favor no seleccionar los criterios de impacto(Afectación Económica o presupuestal y Pérdida Reputacional)",M85)</f>
        <v xml:space="preserve">     El riesgo afecta la imagen de de la entidad con efecto publicitario sostenido a nivel de sector administrativo, nivel departamental o municipal</v>
      </c>
      <c r="O85" s="430" t="str">
        <f ca="1">IF(OR(N85='Tabla Impacto'!$C$11,N85='Tabla Impacto'!$D$11),"Leve",IF(OR(N85='Tabla Impacto'!$C$12,N85='Tabla Impacto'!$D$12),"Menor",IF(OR(N85='Tabla Impacto'!$C$13,N85='Tabla Impacto'!$D$13),"Moderado",IF(OR(N85='Tabla Impacto'!$C$14,N85='Tabla Impacto'!$D$14),"Mayor",IF(OR(N85='Tabla Impacto'!$C$15,N85='Tabla Impacto'!$D$15),"Catastrófico","")))))</f>
        <v>Mayor</v>
      </c>
      <c r="P85" s="431">
        <f ca="1">IF(O85="","",IF(O85="Leve",0.2,IF(O85="Menor",0.4,IF(O85="Moderado",0.6,IF(O85="Mayor",0.8,IF(O85="Catastrófico",1,))))))</f>
        <v>0.8</v>
      </c>
      <c r="Q85" s="433" t="str">
        <f ca="1">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261">
        <v>1</v>
      </c>
      <c r="S85" s="334" t="s">
        <v>796</v>
      </c>
      <c r="T85" s="272" t="s">
        <v>293</v>
      </c>
      <c r="U85" s="262" t="str">
        <f>IF(OR(V85="Preventivo",V85="Detectivo"),"Probabilidad",IF(V85="Correctivo","Impacto",""))</f>
        <v>Probabilidad</v>
      </c>
      <c r="V85" s="263" t="s">
        <v>13</v>
      </c>
      <c r="W85" s="263" t="s">
        <v>8</v>
      </c>
      <c r="X85" s="264" t="str">
        <f>IF(AND(V85="Preventivo",W85="Automático"),"50%",IF(AND(V85="Preventivo",W85="Manual"),"40%",IF(AND(V85="Detectivo",W85="Automático"),"40%",IF(AND(V85="Detectivo",W85="Manual"),"30%",IF(AND(V85="Correctivo",W85="Automático"),"35%",IF(AND(V85="Correctivo",W85="Manual"),"25%",""))))))</f>
        <v>40%</v>
      </c>
      <c r="Y85" s="263" t="s">
        <v>19</v>
      </c>
      <c r="Z85" s="263" t="s">
        <v>21</v>
      </c>
      <c r="AA85" s="263" t="s">
        <v>103</v>
      </c>
      <c r="AB85" s="265">
        <f t="shared" ref="AB85" si="153">IFERROR(IF(U85="Probabilidad",(L85-(+L85*X85)),IF(U85="Impacto",L85,"")),"")</f>
        <v>0.36</v>
      </c>
      <c r="AC85" s="266" t="str">
        <f>IFERROR(IF(AB85="","",IF(AB85&lt;=0.2,"Muy Baja",IF(AB85&lt;=0.4,"Baja",IF(AB85&lt;=0.6,"Media",IF(AB85&lt;=0.8,"Alta","Muy Alta"))))),"")</f>
        <v>Baja</v>
      </c>
      <c r="AD85" s="264">
        <f>+AB85</f>
        <v>0.36</v>
      </c>
      <c r="AE85" s="266" t="str">
        <f ca="1">IFERROR(IF(AF85="","",IF(AF85&lt;=0.2,"Leve",IF(AF85&lt;=0.4,"Menor",IF(AF85&lt;=0.6,"Moderado",IF(AF85&lt;=0.8,"Mayor","Catastrófico"))))),"")</f>
        <v>Mayor</v>
      </c>
      <c r="AF85" s="264">
        <f ca="1">IFERROR(IF(U85="Impacto",(P85-(+P85*X85)),IF(U85="Probabilidad",P85,"")),"")</f>
        <v>0.8</v>
      </c>
      <c r="AG85" s="267" t="str">
        <f ca="1">IFERROR(IF(OR(AND(AC85="Muy Baja",AE85="Leve"),AND(AC85="Muy Baja",AE85="Menor"),AND(AC85="Baja",AE85="Leve")),"Bajo",IF(OR(AND(AC85="Muy baja",AE85="Moderado"),AND(AC85="Baja",AE85="Menor"),AND(AC85="Baja",AE85="Moderado"),AND(AC85="Media",AE85="Leve"),AND(AC85="Media",AE85="Menor"),AND(AC85="Media",AE85="Moderado"),AND(AC85="Alta",AE85="Leve"),AND(AC85="Alta",AE85="Menor")),"Moderado",IF(OR(AND(AC85="Muy Baja",AE85="Mayor"),AND(AC85="Baja",AE85="Mayor"),AND(AC85="Media",AE85="Mayor"),AND(AC85="Alta",AE85="Moderado"),AND(AC85="Alta",AE85="Mayor"),AND(AC85="Muy Alta",AE85="Leve"),AND(AC85="Muy Alta",AE85="Menor"),AND(AC85="Muy Alta",AE85="Moderado"),AND(AC85="Muy Alta",AE85="Mayor")),"Alto",IF(OR(AND(AC85="Muy Baja",AE85="Catastrófico"),AND(AC85="Baja",AE85="Catastrófico"),AND(AC85="Media",AE85="Catastrófico"),AND(AC85="Alta",AE85="Catastrófico"),AND(AC85="Muy Alta",AE85="Catastrófico")),"Extremo","")))),"")</f>
        <v>Alto</v>
      </c>
      <c r="AH85" s="263" t="s">
        <v>26</v>
      </c>
      <c r="AI85" s="273">
        <v>12</v>
      </c>
      <c r="AJ85" s="273">
        <v>3</v>
      </c>
      <c r="AK85" s="273">
        <v>3</v>
      </c>
      <c r="AL85" s="273">
        <v>3</v>
      </c>
      <c r="AM85" s="273">
        <v>3</v>
      </c>
      <c r="AN85" s="268"/>
      <c r="AO85" s="268"/>
      <c r="AP85" s="258"/>
      <c r="AQ85" s="269"/>
      <c r="AR85" s="270"/>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row>
    <row r="86" spans="1:77" s="113" customFormat="1" ht="43.5" hidden="1" customHeight="1" x14ac:dyDescent="0.2">
      <c r="A86" s="437"/>
      <c r="B86" s="438"/>
      <c r="C86" s="434"/>
      <c r="D86" s="434"/>
      <c r="E86" s="434"/>
      <c r="F86" s="435"/>
      <c r="G86" s="436"/>
      <c r="H86" s="435"/>
      <c r="I86" s="435"/>
      <c r="J86" s="439"/>
      <c r="K86" s="430"/>
      <c r="L86" s="431"/>
      <c r="M86" s="432"/>
      <c r="N86" s="310">
        <f ca="1">IF(NOT(ISERROR(MATCH(M86,_xlfn.ANCHORARRAY(G43),0))),L45&amp;"Por favor no seleccionar los criterios de impacto",M86)</f>
        <v>0</v>
      </c>
      <c r="O86" s="430"/>
      <c r="P86" s="431"/>
      <c r="Q86" s="433"/>
      <c r="R86" s="316">
        <v>2</v>
      </c>
      <c r="S86" s="330"/>
      <c r="T86" s="312"/>
      <c r="U86" s="302" t="str">
        <f>IF(OR(V86="Preventivo",V86="Detectivo"),"Probabilidad",IF(V86="Correctivo","Impacto",""))</f>
        <v/>
      </c>
      <c r="V86" s="237"/>
      <c r="W86" s="237"/>
      <c r="X86" s="209" t="str">
        <f>IF(AND(V86="Preventivo",W86="Automático"),"50%",IF(AND(V86="Preventivo",W86="Manual"),"40%",IF(AND(V86="Detectivo",W86="Automático"),"40%",IF(AND(V86="Detectivo",W86="Manual"),"30%",IF(AND(V86="Correctivo",W86="Automático"),"35%",IF(AND(V86="Correctivo",W86="Manual"),"25%",""))))))</f>
        <v/>
      </c>
      <c r="Y86" s="237"/>
      <c r="Z86" s="237"/>
      <c r="AA86" s="237"/>
      <c r="AB86" s="210" t="str">
        <f t="shared" ref="AB86" si="154">IFERROR(IF(AND(U85="Probabilidad",U86="Probabilidad"),(AD85-(+AD85*X86)),IF(U86="Probabilidad",(L85-(+L85*X86)),IF(U86="Impacto",AD85,""))),"")</f>
        <v/>
      </c>
      <c r="AC86" s="211" t="str">
        <f t="shared" ref="AC86:AC90" si="155">IFERROR(IF(AB86="","",IF(AB86&lt;=0.2,"Muy Baja",IF(AB86&lt;=0.4,"Baja",IF(AB86&lt;=0.6,"Media",IF(AB86&lt;=0.8,"Alta","Muy Alta"))))),"")</f>
        <v/>
      </c>
      <c r="AD86" s="209" t="str">
        <f>+AB86</f>
        <v/>
      </c>
      <c r="AE86" s="211" t="str">
        <f t="shared" ref="AE86:AE90" si="156">IFERROR(IF(AF86="","",IF(AF86&lt;=0.2,"Leve",IF(AF86&lt;=0.4,"Menor",IF(AF86&lt;=0.6,"Moderado",IF(AF86&lt;=0.8,"Mayor","Catastrófico"))))),"")</f>
        <v/>
      </c>
      <c r="AF86" s="209" t="str">
        <f>IFERROR(IF(AND(U85="Impacto",U86="Impacto"),(AF85-(+AF85*X86)),IF(U86="Impacto",($P$37-(+$P$37*X86)),IF(U86="Probabilidad",AF85,""))),"")</f>
        <v/>
      </c>
      <c r="AG86" s="212" t="str">
        <f t="shared" ref="AG86:AG87" si="157">IFERROR(IF(OR(AND(AC86="Muy Baja",AE86="Leve"),AND(AC86="Muy Baja",AE86="Menor"),AND(AC86="Baja",AE86="Leve")),"Bajo",IF(OR(AND(AC86="Muy baja",AE86="Moderado"),AND(AC86="Baja",AE86="Menor"),AND(AC86="Baja",AE86="Moderado"),AND(AC86="Media",AE86="Leve"),AND(AC86="Media",AE86="Menor"),AND(AC86="Media",AE86="Moderado"),AND(AC86="Alta",AE86="Leve"),AND(AC86="Alta",AE86="Menor")),"Moderado",IF(OR(AND(AC86="Muy Baja",AE86="Mayor"),AND(AC86="Baja",AE86="Mayor"),AND(AC86="Media",AE86="Mayor"),AND(AC86="Alta",AE86="Moderado"),AND(AC86="Alta",AE86="Mayor"),AND(AC86="Muy Alta",AE86="Leve"),AND(AC86="Muy Alta",AE86="Menor"),AND(AC86="Muy Alta",AE86="Moderado"),AND(AC86="Muy Alta",AE86="Mayor")),"Alto",IF(OR(AND(AC86="Muy Baja",AE86="Catastrófico"),AND(AC86="Baja",AE86="Catastrófico"),AND(AC86="Media",AE86="Catastrófico"),AND(AC86="Alta",AE86="Catastrófico"),AND(AC86="Muy Alta",AE86="Catastrófico")),"Extremo","")))),"")</f>
        <v/>
      </c>
      <c r="AH86" s="237"/>
      <c r="AI86" s="318"/>
      <c r="AJ86" s="318"/>
      <c r="AK86" s="318"/>
      <c r="AL86" s="318"/>
      <c r="AM86" s="318"/>
      <c r="AN86" s="299"/>
      <c r="AO86" s="299"/>
      <c r="AP86" s="259"/>
      <c r="AQ86" s="220"/>
      <c r="AR86" s="299"/>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3"/>
    </row>
    <row r="87" spans="1:77" s="113" customFormat="1" ht="43.5" hidden="1" customHeight="1" x14ac:dyDescent="0.2">
      <c r="A87" s="437"/>
      <c r="B87" s="438"/>
      <c r="C87" s="434"/>
      <c r="D87" s="434"/>
      <c r="E87" s="434"/>
      <c r="F87" s="435"/>
      <c r="G87" s="436"/>
      <c r="H87" s="435"/>
      <c r="I87" s="435"/>
      <c r="J87" s="439"/>
      <c r="K87" s="430"/>
      <c r="L87" s="431"/>
      <c r="M87" s="432"/>
      <c r="N87" s="310">
        <f ca="1">IF(NOT(ISERROR(MATCH(M87,_xlfn.ANCHORARRAY(G44),0))),L46&amp;"Por favor no seleccionar los criterios de impacto",M87)</f>
        <v>0</v>
      </c>
      <c r="O87" s="430"/>
      <c r="P87" s="431"/>
      <c r="Q87" s="433"/>
      <c r="R87" s="316">
        <v>3</v>
      </c>
      <c r="S87" s="330"/>
      <c r="T87" s="312"/>
      <c r="U87" s="302" t="str">
        <f>IF(OR(V87="Preventivo",V87="Detectivo"),"Probabilidad",IF(V87="Correctivo","Impacto",""))</f>
        <v/>
      </c>
      <c r="V87" s="237"/>
      <c r="W87" s="237"/>
      <c r="X87" s="209" t="str">
        <f>IF(AND(V87="Preventivo",W87="Automático"),"50%",IF(AND(V87="Preventivo",W87="Manual"),"40%",IF(AND(V87="Detectivo",W87="Automático"),"40%",IF(AND(V87="Detectivo",W87="Manual"),"30%",IF(AND(V87="Correctivo",W87="Automático"),"35%",IF(AND(V87="Correctivo",W87="Manual"),"25%",""))))))</f>
        <v/>
      </c>
      <c r="Y87" s="237"/>
      <c r="Z87" s="237"/>
      <c r="AA87" s="237"/>
      <c r="AB87" s="210" t="str">
        <f t="shared" ref="AB87:AB90" si="158">IFERROR(IF(AND(U86="Probabilidad",U87="Probabilidad"),(AD86-(+AD86*X87)),IF(AND(U86="Impacto",U87="Probabilidad"),(AD85-(+AD85*X87)),IF(U87="Impacto",AD86,""))),"")</f>
        <v/>
      </c>
      <c r="AC87" s="211" t="str">
        <f t="shared" si="155"/>
        <v/>
      </c>
      <c r="AD87" s="209" t="str">
        <f t="shared" ref="AD87:AD90" si="159">+AB87</f>
        <v/>
      </c>
      <c r="AE87" s="211" t="str">
        <f t="shared" si="156"/>
        <v/>
      </c>
      <c r="AF87" s="209" t="str">
        <f>IFERROR(IF(AND(U86="Impacto",U87="Impacto"),(AF86-(+AF86*X87)),IF(U87="Impacto",($P$31-(+$P$31*X87)),IF(U87="Probabilidad",AF86,""))),"")</f>
        <v/>
      </c>
      <c r="AG87" s="212" t="str">
        <f t="shared" si="157"/>
        <v/>
      </c>
      <c r="AH87" s="237"/>
      <c r="AI87" s="318"/>
      <c r="AJ87" s="318"/>
      <c r="AK87" s="318"/>
      <c r="AL87" s="318"/>
      <c r="AM87" s="318"/>
      <c r="AN87" s="299"/>
      <c r="AO87" s="299"/>
      <c r="AP87" s="259"/>
      <c r="AQ87" s="220"/>
      <c r="AR87" s="299"/>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row>
    <row r="88" spans="1:77" s="113" customFormat="1" ht="43.5" hidden="1" customHeight="1" x14ac:dyDescent="0.2">
      <c r="A88" s="437"/>
      <c r="B88" s="438"/>
      <c r="C88" s="434"/>
      <c r="D88" s="434"/>
      <c r="E88" s="434"/>
      <c r="F88" s="435"/>
      <c r="G88" s="436"/>
      <c r="H88" s="435"/>
      <c r="I88" s="435"/>
      <c r="J88" s="439"/>
      <c r="K88" s="430"/>
      <c r="L88" s="431"/>
      <c r="M88" s="432"/>
      <c r="N88" s="310">
        <f ca="1">IF(NOT(ISERROR(MATCH(M88,_xlfn.ANCHORARRAY(G45),0))),L47&amp;"Por favor no seleccionar los criterios de impacto",M88)</f>
        <v>0</v>
      </c>
      <c r="O88" s="430"/>
      <c r="P88" s="431"/>
      <c r="Q88" s="433"/>
      <c r="R88" s="316">
        <v>4</v>
      </c>
      <c r="S88" s="330"/>
      <c r="T88" s="312"/>
      <c r="U88" s="208" t="str">
        <f t="shared" ref="U88:U90" si="160">IF(OR(V88="Preventivo",V88="Detectivo"),"Probabilidad",IF(V88="Correctivo","Impacto",""))</f>
        <v/>
      </c>
      <c r="V88" s="237"/>
      <c r="W88" s="237"/>
      <c r="X88" s="209" t="str">
        <f t="shared" ref="X88:X90" si="161">IF(AND(V88="Preventivo",W88="Automático"),"50%",IF(AND(V88="Preventivo",W88="Manual"),"40%",IF(AND(V88="Detectivo",W88="Automático"),"40%",IF(AND(V88="Detectivo",W88="Manual"),"30%",IF(AND(V88="Correctivo",W88="Automático"),"35%",IF(AND(V88="Correctivo",W88="Manual"),"25%",""))))))</f>
        <v/>
      </c>
      <c r="Y88" s="237"/>
      <c r="Z88" s="237"/>
      <c r="AA88" s="237"/>
      <c r="AB88" s="210" t="str">
        <f t="shared" si="158"/>
        <v/>
      </c>
      <c r="AC88" s="211" t="str">
        <f t="shared" si="155"/>
        <v/>
      </c>
      <c r="AD88" s="209" t="str">
        <f t="shared" si="159"/>
        <v/>
      </c>
      <c r="AE88" s="211" t="str">
        <f t="shared" si="156"/>
        <v/>
      </c>
      <c r="AF88" s="209" t="str">
        <f t="shared" ref="AF88:AF89" si="162">IFERROR(IF(AND(U87="Impacto",U88="Impacto"),(AF87-(+AF87*X88)),IF(U88="Impacto",($P$31-(+$P$31*X88)),IF(U88="Probabilidad",AF87,""))),"")</f>
        <v/>
      </c>
      <c r="AG88" s="212" t="str">
        <f>IFERROR(IF(OR(AND(AC88="Muy Baja",AE88="Leve"),AND(AC88="Muy Baja",AE88="Menor"),AND(AC88="Baja",AE88="Leve")),"Bajo",IF(OR(AND(AC88="Muy baja",AE88="Moderado"),AND(AC88="Baja",AE88="Menor"),AND(AC88="Baja",AE88="Moderado"),AND(AC88="Media",AE88="Leve"),AND(AC88="Media",AE88="Menor"),AND(AC88="Media",AE88="Moderado"),AND(AC88="Alta",AE88="Leve"),AND(AC88="Alta",AE88="Menor")),"Moderado",IF(OR(AND(AC88="Muy Baja",AE88="Mayor"),AND(AC88="Baja",AE88="Mayor"),AND(AC88="Media",AE88="Mayor"),AND(AC88="Alta",AE88="Moderado"),AND(AC88="Alta",AE88="Mayor"),AND(AC88="Muy Alta",AE88="Leve"),AND(AC88="Muy Alta",AE88="Menor"),AND(AC88="Muy Alta",AE88="Moderado"),AND(AC88="Muy Alta",AE88="Mayor")),"Alto",IF(OR(AND(AC88="Muy Baja",AE88="Catastrófico"),AND(AC88="Baja",AE88="Catastrófico"),AND(AC88="Media",AE88="Catastrófico"),AND(AC88="Alta",AE88="Catastrófico"),AND(AC88="Muy Alta",AE88="Catastrófico")),"Extremo","")))),"")</f>
        <v/>
      </c>
      <c r="AH88" s="237"/>
      <c r="AI88" s="318"/>
      <c r="AJ88" s="318"/>
      <c r="AK88" s="318"/>
      <c r="AL88" s="318"/>
      <c r="AM88" s="318"/>
      <c r="AN88" s="213"/>
      <c r="AO88" s="213"/>
      <c r="AP88" s="301"/>
      <c r="AQ88" s="220"/>
      <c r="AR88" s="21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row>
    <row r="89" spans="1:77" s="113" customFormat="1" ht="43.5" hidden="1" customHeight="1" x14ac:dyDescent="0.2">
      <c r="A89" s="437"/>
      <c r="B89" s="438"/>
      <c r="C89" s="434"/>
      <c r="D89" s="434"/>
      <c r="E89" s="434"/>
      <c r="F89" s="435"/>
      <c r="G89" s="436"/>
      <c r="H89" s="435"/>
      <c r="I89" s="435"/>
      <c r="J89" s="439"/>
      <c r="K89" s="430"/>
      <c r="L89" s="431"/>
      <c r="M89" s="432"/>
      <c r="N89" s="310">
        <f ca="1">IF(NOT(ISERROR(MATCH(M89,_xlfn.ANCHORARRAY(G46),0))),L48&amp;"Por favor no seleccionar los criterios de impacto",M89)</f>
        <v>0</v>
      </c>
      <c r="O89" s="430"/>
      <c r="P89" s="431"/>
      <c r="Q89" s="433"/>
      <c r="R89" s="316">
        <v>5</v>
      </c>
      <c r="S89" s="330"/>
      <c r="T89" s="312"/>
      <c r="U89" s="208" t="str">
        <f t="shared" si="160"/>
        <v/>
      </c>
      <c r="V89" s="237"/>
      <c r="W89" s="237"/>
      <c r="X89" s="209" t="str">
        <f t="shared" si="161"/>
        <v/>
      </c>
      <c r="Y89" s="237"/>
      <c r="Z89" s="237"/>
      <c r="AA89" s="237"/>
      <c r="AB89" s="210" t="str">
        <f t="shared" si="158"/>
        <v/>
      </c>
      <c r="AC89" s="211" t="str">
        <f t="shared" si="155"/>
        <v/>
      </c>
      <c r="AD89" s="209" t="str">
        <f t="shared" si="159"/>
        <v/>
      </c>
      <c r="AE89" s="211" t="str">
        <f t="shared" si="156"/>
        <v/>
      </c>
      <c r="AF89" s="209" t="str">
        <f t="shared" si="162"/>
        <v/>
      </c>
      <c r="AG89" s="212" t="str">
        <f t="shared" ref="AG89:AG90" si="163">IFERROR(IF(OR(AND(AC89="Muy Baja",AE89="Leve"),AND(AC89="Muy Baja",AE89="Menor"),AND(AC89="Baja",AE89="Leve")),"Bajo",IF(OR(AND(AC89="Muy baja",AE89="Moderado"),AND(AC89="Baja",AE89="Menor"),AND(AC89="Baja",AE89="Moderado"),AND(AC89="Media",AE89="Leve"),AND(AC89="Media",AE89="Menor"),AND(AC89="Media",AE89="Moderado"),AND(AC89="Alta",AE89="Leve"),AND(AC89="Alta",AE89="Menor")),"Moderado",IF(OR(AND(AC89="Muy Baja",AE89="Mayor"),AND(AC89="Baja",AE89="Mayor"),AND(AC89="Media",AE89="Mayor"),AND(AC89="Alta",AE89="Moderado"),AND(AC89="Alta",AE89="Mayor"),AND(AC89="Muy Alta",AE89="Leve"),AND(AC89="Muy Alta",AE89="Menor"),AND(AC89="Muy Alta",AE89="Moderado"),AND(AC89="Muy Alta",AE89="Mayor")),"Alto",IF(OR(AND(AC89="Muy Baja",AE89="Catastrófico"),AND(AC89="Baja",AE89="Catastrófico"),AND(AC89="Media",AE89="Catastrófico"),AND(AC89="Alta",AE89="Catastrófico"),AND(AC89="Muy Alta",AE89="Catastrófico")),"Extremo","")))),"")</f>
        <v/>
      </c>
      <c r="AH89" s="237"/>
      <c r="AI89" s="318"/>
      <c r="AJ89" s="318"/>
      <c r="AK89" s="318"/>
      <c r="AL89" s="318"/>
      <c r="AM89" s="318"/>
      <c r="AN89" s="300"/>
      <c r="AO89" s="300"/>
      <c r="AP89" s="298"/>
      <c r="AQ89" s="216"/>
      <c r="AR89" s="216"/>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row>
    <row r="90" spans="1:77" s="113" customFormat="1" ht="43.5" hidden="1" customHeight="1" x14ac:dyDescent="0.2">
      <c r="A90" s="437"/>
      <c r="B90" s="438"/>
      <c r="C90" s="434"/>
      <c r="D90" s="434"/>
      <c r="E90" s="434"/>
      <c r="F90" s="435"/>
      <c r="G90" s="436"/>
      <c r="H90" s="435"/>
      <c r="I90" s="435"/>
      <c r="J90" s="439"/>
      <c r="K90" s="430"/>
      <c r="L90" s="431"/>
      <c r="M90" s="432"/>
      <c r="N90" s="310">
        <f ca="1">IF(NOT(ISERROR(MATCH(M90,_xlfn.ANCHORARRAY(G47),0))),L49&amp;"Por favor no seleccionar los criterios de impacto",M90)</f>
        <v>0</v>
      </c>
      <c r="O90" s="430"/>
      <c r="P90" s="431"/>
      <c r="Q90" s="433"/>
      <c r="R90" s="316">
        <v>6</v>
      </c>
      <c r="S90" s="330"/>
      <c r="T90" s="312"/>
      <c r="U90" s="208" t="str">
        <f t="shared" si="160"/>
        <v/>
      </c>
      <c r="V90" s="237"/>
      <c r="W90" s="237"/>
      <c r="X90" s="209" t="str">
        <f t="shared" si="161"/>
        <v/>
      </c>
      <c r="Y90" s="237"/>
      <c r="Z90" s="237"/>
      <c r="AA90" s="237"/>
      <c r="AB90" s="210" t="str">
        <f t="shared" si="158"/>
        <v/>
      </c>
      <c r="AC90" s="211" t="str">
        <f t="shared" si="155"/>
        <v/>
      </c>
      <c r="AD90" s="209" t="str">
        <f t="shared" si="159"/>
        <v/>
      </c>
      <c r="AE90" s="211" t="str">
        <f t="shared" si="156"/>
        <v/>
      </c>
      <c r="AF90" s="209" t="str">
        <f>IFERROR(IF(AND(U89="Impacto",U90="Impacto"),(AF89-(+AF89*X90)),IF(U90="Impacto",($P$31-(+$P$31*X90)),IF(U90="Probabilidad",AF89,""))),"")</f>
        <v/>
      </c>
      <c r="AG90" s="212" t="str">
        <f t="shared" si="163"/>
        <v/>
      </c>
      <c r="AH90" s="237"/>
      <c r="AI90" s="318"/>
      <c r="AJ90" s="318"/>
      <c r="AK90" s="318"/>
      <c r="AL90" s="318"/>
      <c r="AM90" s="318"/>
      <c r="AN90" s="300"/>
      <c r="AO90" s="300"/>
      <c r="AP90" s="298"/>
      <c r="AQ90" s="216"/>
      <c r="AR90" s="216"/>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row>
    <row r="91" spans="1:77" s="271" customFormat="1" ht="152.44999999999999" customHeight="1" x14ac:dyDescent="0.2">
      <c r="A91" s="437" t="s">
        <v>790</v>
      </c>
      <c r="B91" s="438" t="s">
        <v>597</v>
      </c>
      <c r="C91" s="434" t="s">
        <v>619</v>
      </c>
      <c r="D91" s="434" t="s">
        <v>107</v>
      </c>
      <c r="E91" s="434" t="s">
        <v>797</v>
      </c>
      <c r="F91" s="435" t="s">
        <v>685</v>
      </c>
      <c r="G91" s="436" t="s">
        <v>1077</v>
      </c>
      <c r="H91" s="435" t="s">
        <v>655</v>
      </c>
      <c r="I91" s="435" t="s">
        <v>798</v>
      </c>
      <c r="J91" s="439">
        <v>365</v>
      </c>
      <c r="K91" s="430" t="str">
        <f t="shared" ref="K91" si="164">IF(J91&lt;=0,"",IF(J91&lt;=2,"Muy Baja",IF(J91&lt;=24,"Baja",IF(J91&lt;=500,"Media",IF(J91&lt;=5000,"Alta","Muy Alta")))))</f>
        <v>Media</v>
      </c>
      <c r="L91" s="431">
        <f>IF(K91="","",IF(K91="Muy Baja",0.2,IF(K91="Baja",0.4,IF(K91="Media",0.6,IF(K91="Alta",0.8,IF(K91="Muy Alta",1,))))))</f>
        <v>0.6</v>
      </c>
      <c r="M91" s="432" t="s">
        <v>121</v>
      </c>
      <c r="N91" s="310" t="str">
        <f ca="1">IF(NOT(ISERROR(MATCH(M91,'Tabla Impacto'!$B$221:$B$223,0))),'Tabla Impacto'!$F$223&amp;"Por favor no seleccionar los criterios de impacto(Afectación Económica o presupuestal y Pérdida Reputacional)",M91)</f>
        <v xml:space="preserve">     El riesgo afecta la imagen de la entidad con algunos usuarios de relevancia frente al logro de los objetivos</v>
      </c>
      <c r="O91" s="430" t="str">
        <f ca="1">IF(OR(N91='Tabla Impacto'!$C$11,N91='Tabla Impacto'!$D$11),"Leve",IF(OR(N91='Tabla Impacto'!$C$12,N91='Tabla Impacto'!$D$12),"Menor",IF(OR(N91='Tabla Impacto'!$C$13,N91='Tabla Impacto'!$D$13),"Moderado",IF(OR(N91='Tabla Impacto'!$C$14,N91='Tabla Impacto'!$D$14),"Mayor",IF(OR(N91='Tabla Impacto'!$C$15,N91='Tabla Impacto'!$D$15),"Catastrófico","")))))</f>
        <v>Moderado</v>
      </c>
      <c r="P91" s="431">
        <f ca="1">IF(O91="","",IF(O91="Leve",0.2,IF(O91="Menor",0.4,IF(O91="Moderado",0.6,IF(O91="Mayor",0.8,IF(O91="Catastrófico",1,))))))</f>
        <v>0.6</v>
      </c>
      <c r="Q91" s="433" t="str">
        <f ca="1">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Moderado</v>
      </c>
      <c r="R91" s="261">
        <v>1</v>
      </c>
      <c r="S91" s="334" t="s">
        <v>799</v>
      </c>
      <c r="T91" s="272" t="s">
        <v>293</v>
      </c>
      <c r="U91" s="262" t="str">
        <f>IF(OR(V91="Preventivo",V91="Detectivo"),"Probabilidad",IF(V91="Correctivo","Impacto",""))</f>
        <v>Probabilidad</v>
      </c>
      <c r="V91" s="263" t="s">
        <v>13</v>
      </c>
      <c r="W91" s="263" t="s">
        <v>8</v>
      </c>
      <c r="X91" s="264" t="str">
        <f>IF(AND(V91="Preventivo",W91="Automático"),"50%",IF(AND(V91="Preventivo",W91="Manual"),"40%",IF(AND(V91="Detectivo",W91="Automático"),"40%",IF(AND(V91="Detectivo",W91="Manual"),"30%",IF(AND(V91="Correctivo",W91="Automático"),"35%",IF(AND(V91="Correctivo",W91="Manual"),"25%",""))))))</f>
        <v>40%</v>
      </c>
      <c r="Y91" s="263" t="s">
        <v>19</v>
      </c>
      <c r="Z91" s="263" t="s">
        <v>21</v>
      </c>
      <c r="AA91" s="263" t="s">
        <v>103</v>
      </c>
      <c r="AB91" s="265">
        <f t="shared" ref="AB91" si="165">IFERROR(IF(U91="Probabilidad",(L91-(+L91*X91)),IF(U91="Impacto",L91,"")),"")</f>
        <v>0.36</v>
      </c>
      <c r="AC91" s="266" t="str">
        <f>IFERROR(IF(AB91="","",IF(AB91&lt;=0.2,"Muy Baja",IF(AB91&lt;=0.4,"Baja",IF(AB91&lt;=0.6,"Media",IF(AB91&lt;=0.8,"Alta","Muy Alta"))))),"")</f>
        <v>Baja</v>
      </c>
      <c r="AD91" s="264">
        <f>+AB91</f>
        <v>0.36</v>
      </c>
      <c r="AE91" s="266" t="str">
        <f ca="1">IFERROR(IF(AF91="","",IF(AF91&lt;=0.2,"Leve",IF(AF91&lt;=0.4,"Menor",IF(AF91&lt;=0.6,"Moderado",IF(AF91&lt;=0.8,"Mayor","Catastrófico"))))),"")</f>
        <v>Moderado</v>
      </c>
      <c r="AF91" s="264">
        <f ca="1">IFERROR(IF(U91="Impacto",(P91-(+P91*X91)),IF(U91="Probabilidad",P91,"")),"")</f>
        <v>0.6</v>
      </c>
      <c r="AG91" s="267" t="str">
        <f ca="1">IFERROR(IF(OR(AND(AC91="Muy Baja",AE91="Leve"),AND(AC91="Muy Baja",AE91="Menor"),AND(AC91="Baja",AE91="Leve")),"Bajo",IF(OR(AND(AC91="Muy baja",AE91="Moderado"),AND(AC91="Baja",AE91="Menor"),AND(AC91="Baja",AE91="Moderado"),AND(AC91="Media",AE91="Leve"),AND(AC91="Media",AE91="Menor"),AND(AC91="Media",AE91="Moderado"),AND(AC91="Alta",AE91="Leve"),AND(AC91="Alta",AE91="Menor")),"Moderado",IF(OR(AND(AC91="Muy Baja",AE91="Mayor"),AND(AC91="Baja",AE91="Mayor"),AND(AC91="Media",AE91="Mayor"),AND(AC91="Alta",AE91="Moderado"),AND(AC91="Alta",AE91="Mayor"),AND(AC91="Muy Alta",AE91="Leve"),AND(AC91="Muy Alta",AE91="Menor"),AND(AC91="Muy Alta",AE91="Moderado"),AND(AC91="Muy Alta",AE91="Mayor")),"Alto",IF(OR(AND(AC91="Muy Baja",AE91="Catastrófico"),AND(AC91="Baja",AE91="Catastrófico"),AND(AC91="Media",AE91="Catastrófico"),AND(AC91="Alta",AE91="Catastrófico"),AND(AC91="Muy Alta",AE91="Catastrófico")),"Extremo","")))),"")</f>
        <v>Moderado</v>
      </c>
      <c r="AH91" s="263" t="s">
        <v>26</v>
      </c>
      <c r="AI91" s="273">
        <v>4</v>
      </c>
      <c r="AJ91" s="273">
        <v>1</v>
      </c>
      <c r="AK91" s="273">
        <v>1</v>
      </c>
      <c r="AL91" s="273">
        <v>1</v>
      </c>
      <c r="AM91" s="273">
        <v>1</v>
      </c>
      <c r="AN91" s="268"/>
      <c r="AO91" s="268"/>
      <c r="AP91" s="258"/>
      <c r="AQ91" s="269"/>
      <c r="AR91" s="270"/>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c r="BY91" s="323"/>
    </row>
    <row r="92" spans="1:77" s="113" customFormat="1" ht="9.75" hidden="1" customHeight="1" x14ac:dyDescent="0.2">
      <c r="A92" s="437"/>
      <c r="B92" s="438"/>
      <c r="C92" s="434"/>
      <c r="D92" s="434"/>
      <c r="E92" s="434"/>
      <c r="F92" s="435"/>
      <c r="G92" s="436"/>
      <c r="H92" s="435"/>
      <c r="I92" s="435"/>
      <c r="J92" s="439"/>
      <c r="K92" s="430"/>
      <c r="L92" s="431"/>
      <c r="M92" s="432"/>
      <c r="N92" s="310">
        <f ca="1">IF(NOT(ISERROR(MATCH(M92,_xlfn.ANCHORARRAY(G49),0))),L51&amp;"Por favor no seleccionar los criterios de impacto",M92)</f>
        <v>0</v>
      </c>
      <c r="O92" s="430"/>
      <c r="P92" s="431"/>
      <c r="Q92" s="433"/>
      <c r="R92" s="316">
        <v>2</v>
      </c>
      <c r="S92" s="330"/>
      <c r="T92" s="312"/>
      <c r="U92" s="302" t="str">
        <f>IF(OR(V92="Preventivo",V92="Detectivo"),"Probabilidad",IF(V92="Correctivo","Impacto",""))</f>
        <v/>
      </c>
      <c r="V92" s="237"/>
      <c r="W92" s="237"/>
      <c r="X92" s="209" t="str">
        <f>IF(AND(V92="Preventivo",W92="Automático"),"50%",IF(AND(V92="Preventivo",W92="Manual"),"40%",IF(AND(V92="Detectivo",W92="Automático"),"40%",IF(AND(V92="Detectivo",W92="Manual"),"30%",IF(AND(V92="Correctivo",W92="Automático"),"35%",IF(AND(V92="Correctivo",W92="Manual"),"25%",""))))))</f>
        <v/>
      </c>
      <c r="Y92" s="237"/>
      <c r="Z92" s="237"/>
      <c r="AA92" s="237"/>
      <c r="AB92" s="210" t="str">
        <f t="shared" ref="AB92" si="166">IFERROR(IF(AND(U91="Probabilidad",U92="Probabilidad"),(AD91-(+AD91*X92)),IF(U92="Probabilidad",(L91-(+L91*X92)),IF(U92="Impacto",AD91,""))),"")</f>
        <v/>
      </c>
      <c r="AC92" s="211" t="str">
        <f t="shared" ref="AC92:AC96" si="167">IFERROR(IF(AB92="","",IF(AB92&lt;=0.2,"Muy Baja",IF(AB92&lt;=0.4,"Baja",IF(AB92&lt;=0.6,"Media",IF(AB92&lt;=0.8,"Alta","Muy Alta"))))),"")</f>
        <v/>
      </c>
      <c r="AD92" s="209" t="str">
        <f>+AB92</f>
        <v/>
      </c>
      <c r="AE92" s="211" t="str">
        <f t="shared" ref="AE92:AE96" si="168">IFERROR(IF(AF92="","",IF(AF92&lt;=0.2,"Leve",IF(AF92&lt;=0.4,"Menor",IF(AF92&lt;=0.6,"Moderado",IF(AF92&lt;=0.8,"Mayor","Catastrófico"))))),"")</f>
        <v/>
      </c>
      <c r="AF92" s="209" t="str">
        <f>IFERROR(IF(AND(U91="Impacto",U92="Impacto"),(AF91-(+AF91*X92)),IF(U92="Impacto",($P$37-(+$P$37*X92)),IF(U92="Probabilidad",AF91,""))),"")</f>
        <v/>
      </c>
      <c r="AG92" s="212" t="str">
        <f t="shared" ref="AG92:AG93" si="169">IFERROR(IF(OR(AND(AC92="Muy Baja",AE92="Leve"),AND(AC92="Muy Baja",AE92="Menor"),AND(AC92="Baja",AE92="Leve")),"Bajo",IF(OR(AND(AC92="Muy baja",AE92="Moderado"),AND(AC92="Baja",AE92="Menor"),AND(AC92="Baja",AE92="Moderado"),AND(AC92="Media",AE92="Leve"),AND(AC92="Media",AE92="Menor"),AND(AC92="Media",AE92="Moderado"),AND(AC92="Alta",AE92="Leve"),AND(AC92="Alta",AE92="Menor")),"Moderado",IF(OR(AND(AC92="Muy Baja",AE92="Mayor"),AND(AC92="Baja",AE92="Mayor"),AND(AC92="Media",AE92="Mayor"),AND(AC92="Alta",AE92="Moderado"),AND(AC92="Alta",AE92="Mayor"),AND(AC92="Muy Alta",AE92="Leve"),AND(AC92="Muy Alta",AE92="Menor"),AND(AC92="Muy Alta",AE92="Moderado"),AND(AC92="Muy Alta",AE92="Mayor")),"Alto",IF(OR(AND(AC92="Muy Baja",AE92="Catastrófico"),AND(AC92="Baja",AE92="Catastrófico"),AND(AC92="Media",AE92="Catastrófico"),AND(AC92="Alta",AE92="Catastrófico"),AND(AC92="Muy Alta",AE92="Catastrófico")),"Extremo","")))),"")</f>
        <v/>
      </c>
      <c r="AH92" s="237"/>
      <c r="AI92" s="318"/>
      <c r="AJ92" s="318"/>
      <c r="AK92" s="318"/>
      <c r="AL92" s="318"/>
      <c r="AM92" s="318"/>
      <c r="AN92" s="299"/>
      <c r="AO92" s="299"/>
      <c r="AP92" s="259"/>
      <c r="AQ92" s="220"/>
      <c r="AR92" s="299"/>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row>
    <row r="93" spans="1:77" s="113" customFormat="1" ht="9.75" hidden="1" customHeight="1" x14ac:dyDescent="0.2">
      <c r="A93" s="437"/>
      <c r="B93" s="438"/>
      <c r="C93" s="434"/>
      <c r="D93" s="434"/>
      <c r="E93" s="434"/>
      <c r="F93" s="435"/>
      <c r="G93" s="436"/>
      <c r="H93" s="435"/>
      <c r="I93" s="435"/>
      <c r="J93" s="439"/>
      <c r="K93" s="430"/>
      <c r="L93" s="431"/>
      <c r="M93" s="432"/>
      <c r="N93" s="310">
        <f ca="1">IF(NOT(ISERROR(MATCH(M93,_xlfn.ANCHORARRAY(G50),0))),L52&amp;"Por favor no seleccionar los criterios de impacto",M93)</f>
        <v>0</v>
      </c>
      <c r="O93" s="430"/>
      <c r="P93" s="431"/>
      <c r="Q93" s="433"/>
      <c r="R93" s="316">
        <v>3</v>
      </c>
      <c r="S93" s="330"/>
      <c r="T93" s="312"/>
      <c r="U93" s="302" t="str">
        <f>IF(OR(V93="Preventivo",V93="Detectivo"),"Probabilidad",IF(V93="Correctivo","Impacto",""))</f>
        <v/>
      </c>
      <c r="V93" s="237"/>
      <c r="W93" s="237"/>
      <c r="X93" s="209" t="str">
        <f>IF(AND(V93="Preventivo",W93="Automático"),"50%",IF(AND(V93="Preventivo",W93="Manual"),"40%",IF(AND(V93="Detectivo",W93="Automático"),"40%",IF(AND(V93="Detectivo",W93="Manual"),"30%",IF(AND(V93="Correctivo",W93="Automático"),"35%",IF(AND(V93="Correctivo",W93="Manual"),"25%",""))))))</f>
        <v/>
      </c>
      <c r="Y93" s="237"/>
      <c r="Z93" s="237"/>
      <c r="AA93" s="237"/>
      <c r="AB93" s="210" t="str">
        <f t="shared" ref="AB93:AB96" si="170">IFERROR(IF(AND(U92="Probabilidad",U93="Probabilidad"),(AD92-(+AD92*X93)),IF(AND(U92="Impacto",U93="Probabilidad"),(AD91-(+AD91*X93)),IF(U93="Impacto",AD92,""))),"")</f>
        <v/>
      </c>
      <c r="AC93" s="211" t="str">
        <f t="shared" si="167"/>
        <v/>
      </c>
      <c r="AD93" s="209" t="str">
        <f t="shared" ref="AD93:AD96" si="171">+AB93</f>
        <v/>
      </c>
      <c r="AE93" s="211" t="str">
        <f t="shared" si="168"/>
        <v/>
      </c>
      <c r="AF93" s="209" t="str">
        <f>IFERROR(IF(AND(U92="Impacto",U93="Impacto"),(AF92-(+AF92*X93)),IF(U93="Impacto",($P$31-(+$P$31*X93)),IF(U93="Probabilidad",AF92,""))),"")</f>
        <v/>
      </c>
      <c r="AG93" s="212" t="str">
        <f t="shared" si="169"/>
        <v/>
      </c>
      <c r="AH93" s="237"/>
      <c r="AI93" s="318"/>
      <c r="AJ93" s="318"/>
      <c r="AK93" s="318"/>
      <c r="AL93" s="318"/>
      <c r="AM93" s="318"/>
      <c r="AN93" s="299"/>
      <c r="AO93" s="299"/>
      <c r="AP93" s="259"/>
      <c r="AQ93" s="220"/>
      <c r="AR93" s="299"/>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row>
    <row r="94" spans="1:77" s="113" customFormat="1" ht="9.75" hidden="1" customHeight="1" x14ac:dyDescent="0.2">
      <c r="A94" s="437"/>
      <c r="B94" s="438"/>
      <c r="C94" s="434"/>
      <c r="D94" s="434"/>
      <c r="E94" s="434"/>
      <c r="F94" s="435"/>
      <c r="G94" s="436"/>
      <c r="H94" s="435"/>
      <c r="I94" s="435"/>
      <c r="J94" s="439"/>
      <c r="K94" s="430"/>
      <c r="L94" s="431"/>
      <c r="M94" s="432"/>
      <c r="N94" s="310">
        <f ca="1">IF(NOT(ISERROR(MATCH(M94,_xlfn.ANCHORARRAY(G51),0))),L53&amp;"Por favor no seleccionar los criterios de impacto",M94)</f>
        <v>0</v>
      </c>
      <c r="O94" s="430"/>
      <c r="P94" s="431"/>
      <c r="Q94" s="433"/>
      <c r="R94" s="316">
        <v>4</v>
      </c>
      <c r="S94" s="330"/>
      <c r="T94" s="312"/>
      <c r="U94" s="208" t="str">
        <f t="shared" ref="U94:U96" si="172">IF(OR(V94="Preventivo",V94="Detectivo"),"Probabilidad",IF(V94="Correctivo","Impacto",""))</f>
        <v/>
      </c>
      <c r="V94" s="237"/>
      <c r="W94" s="237"/>
      <c r="X94" s="209" t="str">
        <f t="shared" ref="X94:X96" si="173">IF(AND(V94="Preventivo",W94="Automático"),"50%",IF(AND(V94="Preventivo",W94="Manual"),"40%",IF(AND(V94="Detectivo",W94="Automático"),"40%",IF(AND(V94="Detectivo",W94="Manual"),"30%",IF(AND(V94="Correctivo",W94="Automático"),"35%",IF(AND(V94="Correctivo",W94="Manual"),"25%",""))))))</f>
        <v/>
      </c>
      <c r="Y94" s="237"/>
      <c r="Z94" s="237"/>
      <c r="AA94" s="237"/>
      <c r="AB94" s="210" t="str">
        <f t="shared" si="170"/>
        <v/>
      </c>
      <c r="AC94" s="211" t="str">
        <f t="shared" si="167"/>
        <v/>
      </c>
      <c r="AD94" s="209" t="str">
        <f t="shared" si="171"/>
        <v/>
      </c>
      <c r="AE94" s="211" t="str">
        <f t="shared" si="168"/>
        <v/>
      </c>
      <c r="AF94" s="209" t="str">
        <f t="shared" ref="AF94:AF95" si="174">IFERROR(IF(AND(U93="Impacto",U94="Impacto"),(AF93-(+AF93*X94)),IF(U94="Impacto",($P$31-(+$P$31*X94)),IF(U94="Probabilidad",AF93,""))),"")</f>
        <v/>
      </c>
      <c r="AG94" s="212" t="str">
        <f>IFERROR(IF(OR(AND(AC94="Muy Baja",AE94="Leve"),AND(AC94="Muy Baja",AE94="Menor"),AND(AC94="Baja",AE94="Leve")),"Bajo",IF(OR(AND(AC94="Muy baja",AE94="Moderado"),AND(AC94="Baja",AE94="Menor"),AND(AC94="Baja",AE94="Moderado"),AND(AC94="Media",AE94="Leve"),AND(AC94="Media",AE94="Menor"),AND(AC94="Media",AE94="Moderado"),AND(AC94="Alta",AE94="Leve"),AND(AC94="Alta",AE94="Menor")),"Moderado",IF(OR(AND(AC94="Muy Baja",AE94="Mayor"),AND(AC94="Baja",AE94="Mayor"),AND(AC94="Media",AE94="Mayor"),AND(AC94="Alta",AE94="Moderado"),AND(AC94="Alta",AE94="Mayor"),AND(AC94="Muy Alta",AE94="Leve"),AND(AC94="Muy Alta",AE94="Menor"),AND(AC94="Muy Alta",AE94="Moderado"),AND(AC94="Muy Alta",AE94="Mayor")),"Alto",IF(OR(AND(AC94="Muy Baja",AE94="Catastrófico"),AND(AC94="Baja",AE94="Catastrófico"),AND(AC94="Media",AE94="Catastrófico"),AND(AC94="Alta",AE94="Catastrófico"),AND(AC94="Muy Alta",AE94="Catastrófico")),"Extremo","")))),"")</f>
        <v/>
      </c>
      <c r="AH94" s="237"/>
      <c r="AI94" s="318"/>
      <c r="AJ94" s="318"/>
      <c r="AK94" s="318"/>
      <c r="AL94" s="318"/>
      <c r="AM94" s="318"/>
      <c r="AN94" s="213"/>
      <c r="AO94" s="213"/>
      <c r="AP94" s="301"/>
      <c r="AQ94" s="220"/>
      <c r="AR94" s="21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row>
    <row r="95" spans="1:77" s="113" customFormat="1" ht="9.75" hidden="1" customHeight="1" x14ac:dyDescent="0.2">
      <c r="A95" s="437"/>
      <c r="B95" s="438"/>
      <c r="C95" s="434"/>
      <c r="D95" s="434"/>
      <c r="E95" s="434"/>
      <c r="F95" s="435"/>
      <c r="G95" s="436"/>
      <c r="H95" s="435"/>
      <c r="I95" s="435"/>
      <c r="J95" s="439"/>
      <c r="K95" s="430"/>
      <c r="L95" s="431"/>
      <c r="M95" s="432"/>
      <c r="N95" s="310">
        <f ca="1">IF(NOT(ISERROR(MATCH(M95,_xlfn.ANCHORARRAY(G52),0))),L54&amp;"Por favor no seleccionar los criterios de impacto",M95)</f>
        <v>0</v>
      </c>
      <c r="O95" s="430"/>
      <c r="P95" s="431"/>
      <c r="Q95" s="433"/>
      <c r="R95" s="316">
        <v>5</v>
      </c>
      <c r="S95" s="330"/>
      <c r="T95" s="312"/>
      <c r="U95" s="208" t="str">
        <f t="shared" si="172"/>
        <v/>
      </c>
      <c r="V95" s="237"/>
      <c r="W95" s="237"/>
      <c r="X95" s="209" t="str">
        <f t="shared" si="173"/>
        <v/>
      </c>
      <c r="Y95" s="237"/>
      <c r="Z95" s="237"/>
      <c r="AA95" s="237"/>
      <c r="AB95" s="210" t="str">
        <f t="shared" si="170"/>
        <v/>
      </c>
      <c r="AC95" s="211" t="str">
        <f t="shared" si="167"/>
        <v/>
      </c>
      <c r="AD95" s="209" t="str">
        <f t="shared" si="171"/>
        <v/>
      </c>
      <c r="AE95" s="211" t="str">
        <f t="shared" si="168"/>
        <v/>
      </c>
      <c r="AF95" s="209" t="str">
        <f t="shared" si="174"/>
        <v/>
      </c>
      <c r="AG95" s="212" t="str">
        <f t="shared" ref="AG95:AG96" si="175">IFERROR(IF(OR(AND(AC95="Muy Baja",AE95="Leve"),AND(AC95="Muy Baja",AE95="Menor"),AND(AC95="Baja",AE95="Leve")),"Bajo",IF(OR(AND(AC95="Muy baja",AE95="Moderado"),AND(AC95="Baja",AE95="Menor"),AND(AC95="Baja",AE95="Moderado"),AND(AC95="Media",AE95="Leve"),AND(AC95="Media",AE95="Menor"),AND(AC95="Media",AE95="Moderado"),AND(AC95="Alta",AE95="Leve"),AND(AC95="Alta",AE95="Menor")),"Moderado",IF(OR(AND(AC95="Muy Baja",AE95="Mayor"),AND(AC95="Baja",AE95="Mayor"),AND(AC95="Media",AE95="Mayor"),AND(AC95="Alta",AE95="Moderado"),AND(AC95="Alta",AE95="Mayor"),AND(AC95="Muy Alta",AE95="Leve"),AND(AC95="Muy Alta",AE95="Menor"),AND(AC95="Muy Alta",AE95="Moderado"),AND(AC95="Muy Alta",AE95="Mayor")),"Alto",IF(OR(AND(AC95="Muy Baja",AE95="Catastrófico"),AND(AC95="Baja",AE95="Catastrófico"),AND(AC95="Media",AE95="Catastrófico"),AND(AC95="Alta",AE95="Catastrófico"),AND(AC95="Muy Alta",AE95="Catastrófico")),"Extremo","")))),"")</f>
        <v/>
      </c>
      <c r="AH95" s="237"/>
      <c r="AI95" s="318"/>
      <c r="AJ95" s="318"/>
      <c r="AK95" s="318"/>
      <c r="AL95" s="318"/>
      <c r="AM95" s="318"/>
      <c r="AN95" s="300"/>
      <c r="AO95" s="300"/>
      <c r="AP95" s="298"/>
      <c r="AQ95" s="216"/>
      <c r="AR95" s="216"/>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row>
    <row r="96" spans="1:77" s="113" customFormat="1" ht="9.75" hidden="1" customHeight="1" x14ac:dyDescent="0.2">
      <c r="A96" s="437"/>
      <c r="B96" s="438"/>
      <c r="C96" s="434"/>
      <c r="D96" s="434"/>
      <c r="E96" s="434"/>
      <c r="F96" s="435"/>
      <c r="G96" s="436"/>
      <c r="H96" s="435"/>
      <c r="I96" s="435"/>
      <c r="J96" s="439"/>
      <c r="K96" s="430"/>
      <c r="L96" s="431"/>
      <c r="M96" s="432"/>
      <c r="N96" s="310">
        <f ca="1">IF(NOT(ISERROR(MATCH(M96,_xlfn.ANCHORARRAY(G53),0))),L55&amp;"Por favor no seleccionar los criterios de impacto",M96)</f>
        <v>0</v>
      </c>
      <c r="O96" s="430"/>
      <c r="P96" s="431"/>
      <c r="Q96" s="433"/>
      <c r="R96" s="316">
        <v>6</v>
      </c>
      <c r="S96" s="330"/>
      <c r="T96" s="312"/>
      <c r="U96" s="208" t="str">
        <f t="shared" si="172"/>
        <v/>
      </c>
      <c r="V96" s="237"/>
      <c r="W96" s="237"/>
      <c r="X96" s="209" t="str">
        <f t="shared" si="173"/>
        <v/>
      </c>
      <c r="Y96" s="237"/>
      <c r="Z96" s="237"/>
      <c r="AA96" s="237"/>
      <c r="AB96" s="210" t="str">
        <f t="shared" si="170"/>
        <v/>
      </c>
      <c r="AC96" s="211" t="str">
        <f t="shared" si="167"/>
        <v/>
      </c>
      <c r="AD96" s="209" t="str">
        <f t="shared" si="171"/>
        <v/>
      </c>
      <c r="AE96" s="211" t="str">
        <f t="shared" si="168"/>
        <v/>
      </c>
      <c r="AF96" s="209" t="str">
        <f>IFERROR(IF(AND(U95="Impacto",U96="Impacto"),(AF95-(+AF95*X96)),IF(U96="Impacto",($P$31-(+$P$31*X96)),IF(U96="Probabilidad",AF95,""))),"")</f>
        <v/>
      </c>
      <c r="AG96" s="212" t="str">
        <f t="shared" si="175"/>
        <v/>
      </c>
      <c r="AH96" s="237"/>
      <c r="AI96" s="318"/>
      <c r="AJ96" s="318"/>
      <c r="AK96" s="318"/>
      <c r="AL96" s="318"/>
      <c r="AM96" s="318"/>
      <c r="AN96" s="300"/>
      <c r="AO96" s="300"/>
      <c r="AP96" s="298"/>
      <c r="AQ96" s="216"/>
      <c r="AR96" s="216"/>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row>
    <row r="97" spans="1:77" s="271" customFormat="1" ht="131.25" customHeight="1" x14ac:dyDescent="0.2">
      <c r="A97" s="437" t="s">
        <v>791</v>
      </c>
      <c r="B97" s="438" t="s">
        <v>597</v>
      </c>
      <c r="C97" s="434" t="s">
        <v>619</v>
      </c>
      <c r="D97" s="434" t="s">
        <v>109</v>
      </c>
      <c r="E97" s="434" t="s">
        <v>801</v>
      </c>
      <c r="F97" s="435" t="s">
        <v>685</v>
      </c>
      <c r="G97" s="436" t="s">
        <v>800</v>
      </c>
      <c r="H97" s="435" t="s">
        <v>655</v>
      </c>
      <c r="I97" s="435" t="s">
        <v>802</v>
      </c>
      <c r="J97" s="439">
        <v>1125</v>
      </c>
      <c r="K97" s="430" t="str">
        <f t="shared" ref="K97" si="176">IF(J97&lt;=0,"",IF(J97&lt;=2,"Muy Baja",IF(J97&lt;=24,"Baja",IF(J97&lt;=500,"Media",IF(J97&lt;=5000,"Alta","Muy Alta")))))</f>
        <v>Alta</v>
      </c>
      <c r="L97" s="431">
        <f>IF(K97="","",IF(K97="Muy Baja",0.2,IF(K97="Baja",0.4,IF(K97="Media",0.6,IF(K97="Alta",0.8,IF(K97="Muy Alta",1,))))))</f>
        <v>0.8</v>
      </c>
      <c r="M97" s="432" t="s">
        <v>122</v>
      </c>
      <c r="N97" s="310" t="str">
        <f ca="1">IF(NOT(ISERROR(MATCH(M97,'Tabla Impacto'!$B$221:$B$223,0))),'Tabla Impacto'!$F$223&amp;"Por favor no seleccionar los criterios de impacto(Afectación Económica o presupuestal y Pérdida Reputacional)",M97)</f>
        <v xml:space="preserve">     El riesgo afecta la imagen de de la entidad con efecto publicitario sostenido a nivel de sector administrativo, nivel departamental o municipal</v>
      </c>
      <c r="O97" s="430" t="str">
        <f ca="1">IF(OR(N97='Tabla Impacto'!$C$11,N97='Tabla Impacto'!$D$11),"Leve",IF(OR(N97='Tabla Impacto'!$C$12,N97='Tabla Impacto'!$D$12),"Menor",IF(OR(N97='Tabla Impacto'!$C$13,N97='Tabla Impacto'!$D$13),"Moderado",IF(OR(N97='Tabla Impacto'!$C$14,N97='Tabla Impacto'!$D$14),"Mayor",IF(OR(N97='Tabla Impacto'!$C$15,N97='Tabla Impacto'!$D$15),"Catastrófico","")))))</f>
        <v>Mayor</v>
      </c>
      <c r="P97" s="431">
        <f ca="1">IF(O97="","",IF(O97="Leve",0.2,IF(O97="Menor",0.4,IF(O97="Moderado",0.6,IF(O97="Mayor",0.8,IF(O97="Catastrófico",1,))))))</f>
        <v>0.8</v>
      </c>
      <c r="Q97" s="433" t="str">
        <f ca="1">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261">
        <v>1</v>
      </c>
      <c r="S97" s="334" t="s">
        <v>803</v>
      </c>
      <c r="T97" s="272" t="s">
        <v>292</v>
      </c>
      <c r="U97" s="262" t="str">
        <f>IF(OR(V97="Preventivo",V97="Detectivo"),"Probabilidad",IF(V97="Correctivo","Impacto",""))</f>
        <v>Probabilidad</v>
      </c>
      <c r="V97" s="263" t="s">
        <v>14</v>
      </c>
      <c r="W97" s="263" t="s">
        <v>8</v>
      </c>
      <c r="X97" s="264" t="str">
        <f>IF(AND(V97="Preventivo",W97="Automático"),"50%",IF(AND(V97="Preventivo",W97="Manual"),"40%",IF(AND(V97="Detectivo",W97="Automático"),"40%",IF(AND(V97="Detectivo",W97="Manual"),"30%",IF(AND(V97="Correctivo",W97="Automático"),"35%",IF(AND(V97="Correctivo",W97="Manual"),"25%",""))))))</f>
        <v>30%</v>
      </c>
      <c r="Y97" s="263" t="s">
        <v>19</v>
      </c>
      <c r="Z97" s="263" t="s">
        <v>21</v>
      </c>
      <c r="AA97" s="263" t="s">
        <v>103</v>
      </c>
      <c r="AB97" s="265">
        <f t="shared" ref="AB97" si="177">IFERROR(IF(U97="Probabilidad",(L97-(+L97*X97)),IF(U97="Impacto",L97,"")),"")</f>
        <v>0.56000000000000005</v>
      </c>
      <c r="AC97" s="266" t="str">
        <f>IFERROR(IF(AB97="","",IF(AB97&lt;=0.2,"Muy Baja",IF(AB97&lt;=0.4,"Baja",IF(AB97&lt;=0.6,"Media",IF(AB97&lt;=0.8,"Alta","Muy Alta"))))),"")</f>
        <v>Media</v>
      </c>
      <c r="AD97" s="264">
        <f>+AB97</f>
        <v>0.56000000000000005</v>
      </c>
      <c r="AE97" s="266" t="str">
        <f ca="1">IFERROR(IF(AF97="","",IF(AF97&lt;=0.2,"Leve",IF(AF97&lt;=0.4,"Menor",IF(AF97&lt;=0.6,"Moderado",IF(AF97&lt;=0.8,"Mayor","Catastrófico"))))),"")</f>
        <v>Mayor</v>
      </c>
      <c r="AF97" s="264">
        <f ca="1">IFERROR(IF(U97="Impacto",(P97-(+P97*X97)),IF(U97="Probabilidad",P97,"")),"")</f>
        <v>0.8</v>
      </c>
      <c r="AG97" s="267" t="str">
        <f ca="1">IFERROR(IF(OR(AND(AC97="Muy Baja",AE97="Leve"),AND(AC97="Muy Baja",AE97="Menor"),AND(AC97="Baja",AE97="Leve")),"Bajo",IF(OR(AND(AC97="Muy baja",AE97="Moderado"),AND(AC97="Baja",AE97="Menor"),AND(AC97="Baja",AE97="Moderado"),AND(AC97="Media",AE97="Leve"),AND(AC97="Media",AE97="Menor"),AND(AC97="Media",AE97="Moderado"),AND(AC97="Alta",AE97="Leve"),AND(AC97="Alta",AE97="Menor")),"Moderado",IF(OR(AND(AC97="Muy Baja",AE97="Mayor"),AND(AC97="Baja",AE97="Mayor"),AND(AC97="Media",AE97="Mayor"),AND(AC97="Alta",AE97="Moderado"),AND(AC97="Alta",AE97="Mayor"),AND(AC97="Muy Alta",AE97="Leve"),AND(AC97="Muy Alta",AE97="Menor"),AND(AC97="Muy Alta",AE97="Moderado"),AND(AC97="Muy Alta",AE97="Mayor")),"Alto",IF(OR(AND(AC97="Muy Baja",AE97="Catastrófico"),AND(AC97="Baja",AE97="Catastrófico"),AND(AC97="Media",AE97="Catastrófico"),AND(AC97="Alta",AE97="Catastrófico"),AND(AC97="Muy Alta",AE97="Catastrófico")),"Extremo","")))),"")</f>
        <v>Alto</v>
      </c>
      <c r="AH97" s="263" t="s">
        <v>26</v>
      </c>
      <c r="AI97" s="273">
        <v>12</v>
      </c>
      <c r="AJ97" s="273">
        <v>3</v>
      </c>
      <c r="AK97" s="273">
        <v>3</v>
      </c>
      <c r="AL97" s="273">
        <v>3</v>
      </c>
      <c r="AM97" s="273">
        <v>3</v>
      </c>
      <c r="AN97" s="268"/>
      <c r="AO97" s="268"/>
      <c r="AP97" s="258"/>
      <c r="AQ97" s="269"/>
      <c r="AR97" s="270"/>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row>
    <row r="98" spans="1:77" s="113" customFormat="1" ht="156.75" x14ac:dyDescent="0.2">
      <c r="A98" s="437"/>
      <c r="B98" s="438"/>
      <c r="C98" s="434"/>
      <c r="D98" s="434"/>
      <c r="E98" s="434"/>
      <c r="F98" s="435"/>
      <c r="G98" s="436"/>
      <c r="H98" s="435"/>
      <c r="I98" s="435"/>
      <c r="J98" s="439"/>
      <c r="K98" s="430"/>
      <c r="L98" s="431"/>
      <c r="M98" s="432"/>
      <c r="N98" s="310">
        <f ca="1">IF(NOT(ISERROR(MATCH(M98,_xlfn.ANCHORARRAY(G37),0))),L39&amp;"Por favor no seleccionar los criterios de impacto",M98)</f>
        <v>0</v>
      </c>
      <c r="O98" s="430"/>
      <c r="P98" s="431"/>
      <c r="Q98" s="433"/>
      <c r="R98" s="316">
        <v>2</v>
      </c>
      <c r="S98" s="330" t="s">
        <v>804</v>
      </c>
      <c r="T98" s="312" t="s">
        <v>292</v>
      </c>
      <c r="U98" s="302" t="str">
        <f>IF(OR(V98="Preventivo",V98="Detectivo"),"Probabilidad",IF(V98="Correctivo","Impacto",""))</f>
        <v>Probabilidad</v>
      </c>
      <c r="V98" s="237" t="s">
        <v>13</v>
      </c>
      <c r="W98" s="237" t="s">
        <v>8</v>
      </c>
      <c r="X98" s="209" t="str">
        <f>IF(AND(V98="Preventivo",W98="Automático"),"50%",IF(AND(V98="Preventivo",W98="Manual"),"40%",IF(AND(V98="Detectivo",W98="Automático"),"40%",IF(AND(V98="Detectivo",W98="Manual"),"30%",IF(AND(V98="Correctivo",W98="Automático"),"35%",IF(AND(V98="Correctivo",W98="Manual"),"25%",""))))))</f>
        <v>40%</v>
      </c>
      <c r="Y98" s="237" t="s">
        <v>18</v>
      </c>
      <c r="Z98" s="237" t="s">
        <v>21</v>
      </c>
      <c r="AA98" s="237" t="s">
        <v>103</v>
      </c>
      <c r="AB98" s="210">
        <f t="shared" ref="AB98" si="178">IFERROR(IF(AND(U97="Probabilidad",U98="Probabilidad"),(AD97-(+AD97*X98)),IF(U98="Probabilidad",(L97-(+L97*X98)),IF(U98="Impacto",AD97,""))),"")</f>
        <v>0.33600000000000002</v>
      </c>
      <c r="AC98" s="211" t="str">
        <f t="shared" ref="AC98:AC102" si="179">IFERROR(IF(AB98="","",IF(AB98&lt;=0.2,"Muy Baja",IF(AB98&lt;=0.4,"Baja",IF(AB98&lt;=0.6,"Media",IF(AB98&lt;=0.8,"Alta","Muy Alta"))))),"")</f>
        <v>Baja</v>
      </c>
      <c r="AD98" s="209">
        <f>+AB98</f>
        <v>0.33600000000000002</v>
      </c>
      <c r="AE98" s="211" t="str">
        <f t="shared" ref="AE98:AE102" ca="1" si="180">IFERROR(IF(AF98="","",IF(AF98&lt;=0.2,"Leve",IF(AF98&lt;=0.4,"Menor",IF(AF98&lt;=0.6,"Moderado",IF(AF98&lt;=0.8,"Mayor","Catastrófico"))))),"")</f>
        <v>Mayor</v>
      </c>
      <c r="AF98" s="209">
        <f ca="1">IFERROR(IF(AND(U97="Impacto",U98="Impacto"),(AF97-(+AF97*X98)),IF(U98="Impacto",($P$37-(+$P$37*X98)),IF(U98="Probabilidad",AF97,""))),"")</f>
        <v>0.8</v>
      </c>
      <c r="AG98" s="212" t="str">
        <f t="shared" ref="AG98:AG99" ca="1" si="181">IFERROR(IF(OR(AND(AC98="Muy Baja",AE98="Leve"),AND(AC98="Muy Baja",AE98="Menor"),AND(AC98="Baja",AE98="Leve")),"Bajo",IF(OR(AND(AC98="Muy baja",AE98="Moderado"),AND(AC98="Baja",AE98="Menor"),AND(AC98="Baja",AE98="Moderado"),AND(AC98="Media",AE98="Leve"),AND(AC98="Media",AE98="Menor"),AND(AC98="Media",AE98="Moderado"),AND(AC98="Alta",AE98="Leve"),AND(AC98="Alta",AE98="Menor")),"Moderado",IF(OR(AND(AC98="Muy Baja",AE98="Mayor"),AND(AC98="Baja",AE98="Mayor"),AND(AC98="Media",AE98="Mayor"),AND(AC98="Alta",AE98="Moderado"),AND(AC98="Alta",AE98="Mayor"),AND(AC98="Muy Alta",AE98="Leve"),AND(AC98="Muy Alta",AE98="Menor"),AND(AC98="Muy Alta",AE98="Moderado"),AND(AC98="Muy Alta",AE98="Mayor")),"Alto",IF(OR(AND(AC98="Muy Baja",AE98="Catastrófico"),AND(AC98="Baja",AE98="Catastrófico"),AND(AC98="Media",AE98="Catastrófico"),AND(AC98="Alta",AE98="Catastrófico"),AND(AC98="Muy Alta",AE98="Catastrófico")),"Extremo","")))),"")</f>
        <v>Alto</v>
      </c>
      <c r="AH98" s="237" t="s">
        <v>26</v>
      </c>
      <c r="AI98" s="318">
        <v>12</v>
      </c>
      <c r="AJ98" s="318">
        <v>3</v>
      </c>
      <c r="AK98" s="318">
        <v>3</v>
      </c>
      <c r="AL98" s="318">
        <v>3</v>
      </c>
      <c r="AM98" s="318">
        <v>3</v>
      </c>
      <c r="AN98" s="299"/>
      <c r="AO98" s="299"/>
      <c r="AP98" s="259"/>
      <c r="AQ98" s="220"/>
      <c r="AR98" s="299"/>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row>
    <row r="99" spans="1:77" s="113" customFormat="1" ht="45.75" hidden="1" customHeight="1" x14ac:dyDescent="0.2">
      <c r="A99" s="437"/>
      <c r="B99" s="438"/>
      <c r="C99" s="434"/>
      <c r="D99" s="434"/>
      <c r="E99" s="434"/>
      <c r="F99" s="435"/>
      <c r="G99" s="436"/>
      <c r="H99" s="435"/>
      <c r="I99" s="435"/>
      <c r="J99" s="439"/>
      <c r="K99" s="430"/>
      <c r="L99" s="431"/>
      <c r="M99" s="432"/>
      <c r="N99" s="310">
        <f ca="1">IF(NOT(ISERROR(MATCH(M99,_xlfn.ANCHORARRAY(G38),0))),L40&amp;"Por favor no seleccionar los criterios de impacto",M99)</f>
        <v>0</v>
      </c>
      <c r="O99" s="430"/>
      <c r="P99" s="431"/>
      <c r="Q99" s="433"/>
      <c r="R99" s="316">
        <v>3</v>
      </c>
      <c r="S99" s="330"/>
      <c r="T99" s="312"/>
      <c r="U99" s="302" t="str">
        <f>IF(OR(V99="Preventivo",V99="Detectivo"),"Probabilidad",IF(V99="Correctivo","Impacto",""))</f>
        <v/>
      </c>
      <c r="V99" s="237"/>
      <c r="W99" s="237"/>
      <c r="X99" s="209" t="str">
        <f>IF(AND(V99="Preventivo",W99="Automático"),"50%",IF(AND(V99="Preventivo",W99="Manual"),"40%",IF(AND(V99="Detectivo",W99="Automático"),"40%",IF(AND(V99="Detectivo",W99="Manual"),"30%",IF(AND(V99="Correctivo",W99="Automático"),"35%",IF(AND(V99="Correctivo",W99="Manual"),"25%",""))))))</f>
        <v/>
      </c>
      <c r="Y99" s="237"/>
      <c r="Z99" s="237"/>
      <c r="AA99" s="237"/>
      <c r="AB99" s="210" t="str">
        <f t="shared" ref="AB99:AB102" si="182">IFERROR(IF(AND(U98="Probabilidad",U99="Probabilidad"),(AD98-(+AD98*X99)),IF(AND(U98="Impacto",U99="Probabilidad"),(AD97-(+AD97*X99)),IF(U99="Impacto",AD98,""))),"")</f>
        <v/>
      </c>
      <c r="AC99" s="211" t="str">
        <f t="shared" si="179"/>
        <v/>
      </c>
      <c r="AD99" s="209" t="str">
        <f t="shared" ref="AD99:AD102" si="183">+AB99</f>
        <v/>
      </c>
      <c r="AE99" s="211" t="str">
        <f t="shared" si="180"/>
        <v/>
      </c>
      <c r="AF99" s="209" t="str">
        <f>IFERROR(IF(AND(U98="Impacto",U99="Impacto"),(AF98-(+AF98*X99)),IF(U99="Impacto",($P$31-(+$P$31*X99)),IF(U99="Probabilidad",AF98,""))),"")</f>
        <v/>
      </c>
      <c r="AG99" s="212" t="str">
        <f t="shared" si="181"/>
        <v/>
      </c>
      <c r="AH99" s="237"/>
      <c r="AI99" s="318"/>
      <c r="AJ99" s="318"/>
      <c r="AK99" s="318"/>
      <c r="AL99" s="318"/>
      <c r="AM99" s="318"/>
      <c r="AN99" s="299"/>
      <c r="AO99" s="299"/>
      <c r="AP99" s="259"/>
      <c r="AQ99" s="220"/>
      <c r="AR99" s="299"/>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c r="BY99" s="323"/>
    </row>
    <row r="100" spans="1:77" s="113" customFormat="1" ht="45.75" hidden="1" customHeight="1" x14ac:dyDescent="0.2">
      <c r="A100" s="437"/>
      <c r="B100" s="438"/>
      <c r="C100" s="434"/>
      <c r="D100" s="434"/>
      <c r="E100" s="434"/>
      <c r="F100" s="435"/>
      <c r="G100" s="436"/>
      <c r="H100" s="435"/>
      <c r="I100" s="435"/>
      <c r="J100" s="439"/>
      <c r="K100" s="430"/>
      <c r="L100" s="431"/>
      <c r="M100" s="432"/>
      <c r="N100" s="310">
        <f ca="1">IF(NOT(ISERROR(MATCH(M100,_xlfn.ANCHORARRAY(G39),0))),L41&amp;"Por favor no seleccionar los criterios de impacto",M100)</f>
        <v>0</v>
      </c>
      <c r="O100" s="430"/>
      <c r="P100" s="431"/>
      <c r="Q100" s="433"/>
      <c r="R100" s="316">
        <v>4</v>
      </c>
      <c r="S100" s="330"/>
      <c r="T100" s="312"/>
      <c r="U100" s="208" t="str">
        <f t="shared" ref="U100:U102" si="184">IF(OR(V100="Preventivo",V100="Detectivo"),"Probabilidad",IF(V100="Correctivo","Impacto",""))</f>
        <v/>
      </c>
      <c r="V100" s="237"/>
      <c r="W100" s="237"/>
      <c r="X100" s="209" t="str">
        <f t="shared" ref="X100:X102" si="185">IF(AND(V100="Preventivo",W100="Automático"),"50%",IF(AND(V100="Preventivo",W100="Manual"),"40%",IF(AND(V100="Detectivo",W100="Automático"),"40%",IF(AND(V100="Detectivo",W100="Manual"),"30%",IF(AND(V100="Correctivo",W100="Automático"),"35%",IF(AND(V100="Correctivo",W100="Manual"),"25%",""))))))</f>
        <v/>
      </c>
      <c r="Y100" s="237"/>
      <c r="Z100" s="237"/>
      <c r="AA100" s="237"/>
      <c r="AB100" s="210" t="str">
        <f t="shared" si="182"/>
        <v/>
      </c>
      <c r="AC100" s="211" t="str">
        <f t="shared" si="179"/>
        <v/>
      </c>
      <c r="AD100" s="209" t="str">
        <f t="shared" si="183"/>
        <v/>
      </c>
      <c r="AE100" s="211" t="str">
        <f t="shared" si="180"/>
        <v/>
      </c>
      <c r="AF100" s="209" t="str">
        <f t="shared" ref="AF100:AF101" si="186">IFERROR(IF(AND(U99="Impacto",U100="Impacto"),(AF99-(+AF99*X100)),IF(U100="Impacto",($P$31-(+$P$31*X100)),IF(U100="Probabilidad",AF99,""))),"")</f>
        <v/>
      </c>
      <c r="AG100" s="212" t="str">
        <f>IFERROR(IF(OR(AND(AC100="Muy Baja",AE100="Leve"),AND(AC100="Muy Baja",AE100="Menor"),AND(AC100="Baja",AE100="Leve")),"Bajo",IF(OR(AND(AC100="Muy baja",AE100="Moderado"),AND(AC100="Baja",AE100="Menor"),AND(AC100="Baja",AE100="Moderado"),AND(AC100="Media",AE100="Leve"),AND(AC100="Media",AE100="Menor"),AND(AC100="Media",AE100="Moderado"),AND(AC100="Alta",AE100="Leve"),AND(AC100="Alta",AE100="Menor")),"Moderado",IF(OR(AND(AC100="Muy Baja",AE100="Mayor"),AND(AC100="Baja",AE100="Mayor"),AND(AC100="Media",AE100="Mayor"),AND(AC100="Alta",AE100="Moderado"),AND(AC100="Alta",AE100="Mayor"),AND(AC100="Muy Alta",AE100="Leve"),AND(AC100="Muy Alta",AE100="Menor"),AND(AC100="Muy Alta",AE100="Moderado"),AND(AC100="Muy Alta",AE100="Mayor")),"Alto",IF(OR(AND(AC100="Muy Baja",AE100="Catastrófico"),AND(AC100="Baja",AE100="Catastrófico"),AND(AC100="Media",AE100="Catastrófico"),AND(AC100="Alta",AE100="Catastrófico"),AND(AC100="Muy Alta",AE100="Catastrófico")),"Extremo","")))),"")</f>
        <v/>
      </c>
      <c r="AH100" s="237"/>
      <c r="AI100" s="318"/>
      <c r="AJ100" s="318"/>
      <c r="AK100" s="318"/>
      <c r="AL100" s="318"/>
      <c r="AM100" s="318"/>
      <c r="AN100" s="213"/>
      <c r="AO100" s="213"/>
      <c r="AP100" s="301"/>
      <c r="AQ100" s="220"/>
      <c r="AR100" s="21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c r="BY100" s="323"/>
    </row>
    <row r="101" spans="1:77" s="113" customFormat="1" ht="45.75" hidden="1" customHeight="1" x14ac:dyDescent="0.2">
      <c r="A101" s="437"/>
      <c r="B101" s="438"/>
      <c r="C101" s="434"/>
      <c r="D101" s="434"/>
      <c r="E101" s="434"/>
      <c r="F101" s="435"/>
      <c r="G101" s="436"/>
      <c r="H101" s="435"/>
      <c r="I101" s="435"/>
      <c r="J101" s="439"/>
      <c r="K101" s="430"/>
      <c r="L101" s="431"/>
      <c r="M101" s="432"/>
      <c r="N101" s="310">
        <f ca="1">IF(NOT(ISERROR(MATCH(M101,_xlfn.ANCHORARRAY(G40),0))),L42&amp;"Por favor no seleccionar los criterios de impacto",M101)</f>
        <v>0</v>
      </c>
      <c r="O101" s="430"/>
      <c r="P101" s="431"/>
      <c r="Q101" s="433"/>
      <c r="R101" s="316">
        <v>5</v>
      </c>
      <c r="S101" s="330"/>
      <c r="T101" s="312"/>
      <c r="U101" s="208" t="str">
        <f t="shared" si="184"/>
        <v/>
      </c>
      <c r="V101" s="237"/>
      <c r="W101" s="237"/>
      <c r="X101" s="209" t="str">
        <f t="shared" si="185"/>
        <v/>
      </c>
      <c r="Y101" s="237"/>
      <c r="Z101" s="237"/>
      <c r="AA101" s="237"/>
      <c r="AB101" s="210" t="str">
        <f t="shared" si="182"/>
        <v/>
      </c>
      <c r="AC101" s="211" t="str">
        <f t="shared" si="179"/>
        <v/>
      </c>
      <c r="AD101" s="209" t="str">
        <f t="shared" si="183"/>
        <v/>
      </c>
      <c r="AE101" s="211" t="str">
        <f t="shared" si="180"/>
        <v/>
      </c>
      <c r="AF101" s="209" t="str">
        <f t="shared" si="186"/>
        <v/>
      </c>
      <c r="AG101" s="212" t="str">
        <f t="shared" ref="AG101:AG102" si="187">IFERROR(IF(OR(AND(AC101="Muy Baja",AE101="Leve"),AND(AC101="Muy Baja",AE101="Menor"),AND(AC101="Baja",AE101="Leve")),"Bajo",IF(OR(AND(AC101="Muy baja",AE101="Moderado"),AND(AC101="Baja",AE101="Menor"),AND(AC101="Baja",AE101="Moderado"),AND(AC101="Media",AE101="Leve"),AND(AC101="Media",AE101="Menor"),AND(AC101="Media",AE101="Moderado"),AND(AC101="Alta",AE101="Leve"),AND(AC101="Alta",AE101="Menor")),"Moderado",IF(OR(AND(AC101="Muy Baja",AE101="Mayor"),AND(AC101="Baja",AE101="Mayor"),AND(AC101="Media",AE101="Mayor"),AND(AC101="Alta",AE101="Moderado"),AND(AC101="Alta",AE101="Mayor"),AND(AC101="Muy Alta",AE101="Leve"),AND(AC101="Muy Alta",AE101="Menor"),AND(AC101="Muy Alta",AE101="Moderado"),AND(AC101="Muy Alta",AE101="Mayor")),"Alto",IF(OR(AND(AC101="Muy Baja",AE101="Catastrófico"),AND(AC101="Baja",AE101="Catastrófico"),AND(AC101="Media",AE101="Catastrófico"),AND(AC101="Alta",AE101="Catastrófico"),AND(AC101="Muy Alta",AE101="Catastrófico")),"Extremo","")))),"")</f>
        <v/>
      </c>
      <c r="AH101" s="237"/>
      <c r="AI101" s="318"/>
      <c r="AJ101" s="318"/>
      <c r="AK101" s="318"/>
      <c r="AL101" s="318"/>
      <c r="AM101" s="318"/>
      <c r="AN101" s="300"/>
      <c r="AO101" s="300"/>
      <c r="AP101" s="298"/>
      <c r="AQ101" s="216"/>
      <c r="AR101" s="216"/>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c r="BU101" s="323"/>
      <c r="BV101" s="323"/>
      <c r="BW101" s="323"/>
      <c r="BX101" s="323"/>
      <c r="BY101" s="323"/>
    </row>
    <row r="102" spans="1:77" s="113" customFormat="1" ht="45.75" hidden="1" customHeight="1" x14ac:dyDescent="0.2">
      <c r="A102" s="437"/>
      <c r="B102" s="438"/>
      <c r="C102" s="434"/>
      <c r="D102" s="434"/>
      <c r="E102" s="434"/>
      <c r="F102" s="435"/>
      <c r="G102" s="436"/>
      <c r="H102" s="435"/>
      <c r="I102" s="435"/>
      <c r="J102" s="439"/>
      <c r="K102" s="430"/>
      <c r="L102" s="431"/>
      <c r="M102" s="432"/>
      <c r="N102" s="310">
        <f ca="1">IF(NOT(ISERROR(MATCH(M102,_xlfn.ANCHORARRAY(G41),0))),L43&amp;"Por favor no seleccionar los criterios de impacto",M102)</f>
        <v>0</v>
      </c>
      <c r="O102" s="430"/>
      <c r="P102" s="431"/>
      <c r="Q102" s="433"/>
      <c r="R102" s="316">
        <v>6</v>
      </c>
      <c r="S102" s="330"/>
      <c r="T102" s="312"/>
      <c r="U102" s="208" t="str">
        <f t="shared" si="184"/>
        <v/>
      </c>
      <c r="V102" s="237"/>
      <c r="W102" s="237"/>
      <c r="X102" s="209" t="str">
        <f t="shared" si="185"/>
        <v/>
      </c>
      <c r="Y102" s="237"/>
      <c r="Z102" s="237"/>
      <c r="AA102" s="237"/>
      <c r="AB102" s="210" t="str">
        <f t="shared" si="182"/>
        <v/>
      </c>
      <c r="AC102" s="211" t="str">
        <f t="shared" si="179"/>
        <v/>
      </c>
      <c r="AD102" s="209" t="str">
        <f t="shared" si="183"/>
        <v/>
      </c>
      <c r="AE102" s="211" t="str">
        <f t="shared" si="180"/>
        <v/>
      </c>
      <c r="AF102" s="209" t="str">
        <f>IFERROR(IF(AND(U101="Impacto",U102="Impacto"),(AF101-(+AF101*X102)),IF(U102="Impacto",($P$31-(+$P$31*X102)),IF(U102="Probabilidad",AF101,""))),"")</f>
        <v/>
      </c>
      <c r="AG102" s="212" t="str">
        <f t="shared" si="187"/>
        <v/>
      </c>
      <c r="AH102" s="237"/>
      <c r="AI102" s="318"/>
      <c r="AJ102" s="318"/>
      <c r="AK102" s="318"/>
      <c r="AL102" s="318"/>
      <c r="AM102" s="318"/>
      <c r="AN102" s="300"/>
      <c r="AO102" s="300"/>
      <c r="AP102" s="298"/>
      <c r="AQ102" s="216"/>
      <c r="AR102" s="216"/>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c r="BU102" s="323"/>
      <c r="BV102" s="323"/>
      <c r="BW102" s="323"/>
      <c r="BX102" s="323"/>
      <c r="BY102" s="323"/>
    </row>
    <row r="103" spans="1:77" s="271" customFormat="1" ht="128.25" x14ac:dyDescent="0.2">
      <c r="A103" s="437" t="s">
        <v>805</v>
      </c>
      <c r="B103" s="438" t="s">
        <v>598</v>
      </c>
      <c r="C103" s="434" t="s">
        <v>624</v>
      </c>
      <c r="D103" s="434" t="s">
        <v>109</v>
      </c>
      <c r="E103" s="434" t="s">
        <v>807</v>
      </c>
      <c r="F103" s="435" t="s">
        <v>685</v>
      </c>
      <c r="G103" s="436" t="s">
        <v>806</v>
      </c>
      <c r="H103" s="435" t="s">
        <v>655</v>
      </c>
      <c r="I103" s="435" t="s">
        <v>808</v>
      </c>
      <c r="J103" s="439">
        <v>15</v>
      </c>
      <c r="K103" s="430" t="str">
        <f t="shared" ref="K103" si="188">IF(J103&lt;=0,"",IF(J103&lt;=2,"Muy Baja",IF(J103&lt;=24,"Baja",IF(J103&lt;=500,"Media",IF(J103&lt;=5000,"Alta","Muy Alta")))))</f>
        <v>Baja</v>
      </c>
      <c r="L103" s="431">
        <f>IF(K103="","",IF(K103="Muy Baja",0.2,IF(K103="Baja",0.4,IF(K103="Media",0.6,IF(K103="Alta",0.8,IF(K103="Muy Alta",1,))))))</f>
        <v>0.4</v>
      </c>
      <c r="M103" s="432" t="s">
        <v>122</v>
      </c>
      <c r="N103" s="310" t="str">
        <f ca="1">IF(NOT(ISERROR(MATCH(M103,'Tabla Impacto'!$B$221:$B$223,0))),'Tabla Impacto'!$F$223&amp;"Por favor no seleccionar los criterios de impacto(Afectación Económica o presupuestal y Pérdida Reputacional)",M103)</f>
        <v xml:space="preserve">     El riesgo afecta la imagen de de la entidad con efecto publicitario sostenido a nivel de sector administrativo, nivel departamental o municipal</v>
      </c>
      <c r="O103" s="430" t="str">
        <f ca="1">IF(OR(N103='Tabla Impacto'!$C$11,N103='Tabla Impacto'!$D$11),"Leve",IF(OR(N103='Tabla Impacto'!$C$12,N103='Tabla Impacto'!$D$12),"Menor",IF(OR(N103='Tabla Impacto'!$C$13,N103='Tabla Impacto'!$D$13),"Moderado",IF(OR(N103='Tabla Impacto'!$C$14,N103='Tabla Impacto'!$D$14),"Mayor",IF(OR(N103='Tabla Impacto'!$C$15,N103='Tabla Impacto'!$D$15),"Catastrófico","")))))</f>
        <v>Mayor</v>
      </c>
      <c r="P103" s="431">
        <f ca="1">IF(O103="","",IF(O103="Leve",0.2,IF(O103="Menor",0.4,IF(O103="Moderado",0.6,IF(O103="Mayor",0.8,IF(O103="Catastrófico",1,))))))</f>
        <v>0.8</v>
      </c>
      <c r="Q103" s="433" t="str">
        <f ca="1">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Alto</v>
      </c>
      <c r="R103" s="261">
        <v>1</v>
      </c>
      <c r="S103" s="334" t="s">
        <v>809</v>
      </c>
      <c r="T103" s="272" t="s">
        <v>293</v>
      </c>
      <c r="U103" s="262" t="str">
        <f>IF(OR(V103="Preventivo",V103="Detectivo"),"Probabilidad",IF(V103="Correctivo","Impacto",""))</f>
        <v>Probabilidad</v>
      </c>
      <c r="V103" s="263" t="s">
        <v>13</v>
      </c>
      <c r="W103" s="263" t="s">
        <v>8</v>
      </c>
      <c r="X103" s="264" t="str">
        <f>IF(AND(V103="Preventivo",W103="Automático"),"50%",IF(AND(V103="Preventivo",W103="Manual"),"40%",IF(AND(V103="Detectivo",W103="Automático"),"40%",IF(AND(V103="Detectivo",W103="Manual"),"30%",IF(AND(V103="Correctivo",W103="Automático"),"35%",IF(AND(V103="Correctivo",W103="Manual"),"25%",""))))))</f>
        <v>40%</v>
      </c>
      <c r="Y103" s="263" t="s">
        <v>18</v>
      </c>
      <c r="Z103" s="263" t="s">
        <v>21</v>
      </c>
      <c r="AA103" s="263" t="s">
        <v>103</v>
      </c>
      <c r="AB103" s="265">
        <f t="shared" ref="AB103" si="189">IFERROR(IF(U103="Probabilidad",(L103-(+L103*X103)),IF(U103="Impacto",L103,"")),"")</f>
        <v>0.24</v>
      </c>
      <c r="AC103" s="266" t="str">
        <f>IFERROR(IF(AB103="","",IF(AB103&lt;=0.2,"Muy Baja",IF(AB103&lt;=0.4,"Baja",IF(AB103&lt;=0.6,"Media",IF(AB103&lt;=0.8,"Alta","Muy Alta"))))),"")</f>
        <v>Baja</v>
      </c>
      <c r="AD103" s="264">
        <f>+AB103</f>
        <v>0.24</v>
      </c>
      <c r="AE103" s="266" t="str">
        <f ca="1">IFERROR(IF(AF103="","",IF(AF103&lt;=0.2,"Leve",IF(AF103&lt;=0.4,"Menor",IF(AF103&lt;=0.6,"Moderado",IF(AF103&lt;=0.8,"Mayor","Catastrófico"))))),"")</f>
        <v>Mayor</v>
      </c>
      <c r="AF103" s="264">
        <f ca="1">IFERROR(IF(U103="Impacto",(P103-(+P103*X103)),IF(U103="Probabilidad",P103,"")),"")</f>
        <v>0.8</v>
      </c>
      <c r="AG103" s="267" t="str">
        <f ca="1">IFERROR(IF(OR(AND(AC103="Muy Baja",AE103="Leve"),AND(AC103="Muy Baja",AE103="Menor"),AND(AC103="Baja",AE103="Leve")),"Bajo",IF(OR(AND(AC103="Muy baja",AE103="Moderado"),AND(AC103="Baja",AE103="Menor"),AND(AC103="Baja",AE103="Moderado"),AND(AC103="Media",AE103="Leve"),AND(AC103="Media",AE103="Menor"),AND(AC103="Media",AE103="Moderado"),AND(AC103="Alta",AE103="Leve"),AND(AC103="Alta",AE103="Menor")),"Moderado",IF(OR(AND(AC103="Muy Baja",AE103="Mayor"),AND(AC103="Baja",AE103="Mayor"),AND(AC103="Media",AE103="Mayor"),AND(AC103="Alta",AE103="Moderado"),AND(AC103="Alta",AE103="Mayor"),AND(AC103="Muy Alta",AE103="Leve"),AND(AC103="Muy Alta",AE103="Menor"),AND(AC103="Muy Alta",AE103="Moderado"),AND(AC103="Muy Alta",AE103="Mayor")),"Alto",IF(OR(AND(AC103="Muy Baja",AE103="Catastrófico"),AND(AC103="Baja",AE103="Catastrófico"),AND(AC103="Media",AE103="Catastrófico"),AND(AC103="Alta",AE103="Catastrófico"),AND(AC103="Muy Alta",AE103="Catastrófico")),"Extremo","")))),"")</f>
        <v>Alto</v>
      </c>
      <c r="AH103" s="263" t="s">
        <v>26</v>
      </c>
      <c r="AI103" s="273">
        <v>0</v>
      </c>
      <c r="AJ103" s="273">
        <v>0</v>
      </c>
      <c r="AK103" s="273">
        <v>0</v>
      </c>
      <c r="AL103" s="273">
        <v>0</v>
      </c>
      <c r="AM103" s="273">
        <v>0</v>
      </c>
      <c r="AN103" s="268"/>
      <c r="AO103" s="268"/>
      <c r="AP103" s="258"/>
      <c r="AQ103" s="269"/>
      <c r="AR103" s="270"/>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323"/>
      <c r="BV103" s="323"/>
      <c r="BW103" s="323"/>
      <c r="BX103" s="323"/>
      <c r="BY103" s="323"/>
    </row>
    <row r="104" spans="1:77" s="113" customFormat="1" ht="114" x14ac:dyDescent="0.2">
      <c r="A104" s="437"/>
      <c r="B104" s="438"/>
      <c r="C104" s="434"/>
      <c r="D104" s="434"/>
      <c r="E104" s="434"/>
      <c r="F104" s="435"/>
      <c r="G104" s="436"/>
      <c r="H104" s="435"/>
      <c r="I104" s="435"/>
      <c r="J104" s="439"/>
      <c r="K104" s="430"/>
      <c r="L104" s="431"/>
      <c r="M104" s="432"/>
      <c r="N104" s="310">
        <f ca="1">IF(NOT(ISERROR(MATCH(M104,_xlfn.ANCHORARRAY(G43),0))),L45&amp;"Por favor no seleccionar los criterios de impacto",M104)</f>
        <v>0</v>
      </c>
      <c r="O104" s="430"/>
      <c r="P104" s="431"/>
      <c r="Q104" s="433"/>
      <c r="R104" s="316">
        <v>2</v>
      </c>
      <c r="S104" s="330" t="s">
        <v>810</v>
      </c>
      <c r="T104" s="312" t="s">
        <v>293</v>
      </c>
      <c r="U104" s="302" t="str">
        <f>IF(OR(V104="Preventivo",V104="Detectivo"),"Probabilidad",IF(V104="Correctivo","Impacto",""))</f>
        <v>Probabilidad</v>
      </c>
      <c r="V104" s="237" t="s">
        <v>13</v>
      </c>
      <c r="W104" s="237" t="s">
        <v>8</v>
      </c>
      <c r="X104" s="209" t="str">
        <f>IF(AND(V104="Preventivo",W104="Automático"),"50%",IF(AND(V104="Preventivo",W104="Manual"),"40%",IF(AND(V104="Detectivo",W104="Automático"),"40%",IF(AND(V104="Detectivo",W104="Manual"),"30%",IF(AND(V104="Correctivo",W104="Automático"),"35%",IF(AND(V104="Correctivo",W104="Manual"),"25%",""))))))</f>
        <v>40%</v>
      </c>
      <c r="Y104" s="237" t="s">
        <v>18</v>
      </c>
      <c r="Z104" s="237" t="s">
        <v>21</v>
      </c>
      <c r="AA104" s="237" t="s">
        <v>103</v>
      </c>
      <c r="AB104" s="210">
        <f t="shared" ref="AB104" si="190">IFERROR(IF(AND(U103="Probabilidad",U104="Probabilidad"),(AD103-(+AD103*X104)),IF(U104="Probabilidad",(L103-(+L103*X104)),IF(U104="Impacto",AD103,""))),"")</f>
        <v>0.14399999999999999</v>
      </c>
      <c r="AC104" s="211" t="str">
        <f t="shared" ref="AC104:AC108" si="191">IFERROR(IF(AB104="","",IF(AB104&lt;=0.2,"Muy Baja",IF(AB104&lt;=0.4,"Baja",IF(AB104&lt;=0.6,"Media",IF(AB104&lt;=0.8,"Alta","Muy Alta"))))),"")</f>
        <v>Muy Baja</v>
      </c>
      <c r="AD104" s="209">
        <f>+AB104</f>
        <v>0.14399999999999999</v>
      </c>
      <c r="AE104" s="211" t="str">
        <f t="shared" ref="AE104:AE108" ca="1" si="192">IFERROR(IF(AF104="","",IF(AF104&lt;=0.2,"Leve",IF(AF104&lt;=0.4,"Menor",IF(AF104&lt;=0.6,"Moderado",IF(AF104&lt;=0.8,"Mayor","Catastrófico"))))),"")</f>
        <v>Mayor</v>
      </c>
      <c r="AF104" s="209">
        <f ca="1">IFERROR(IF(AND(U103="Impacto",U104="Impacto"),(AF103-(+AF103*X104)),IF(U104="Impacto",($P$37-(+$P$37*X104)),IF(U104="Probabilidad",AF103,""))),"")</f>
        <v>0.8</v>
      </c>
      <c r="AG104" s="212" t="str">
        <f t="shared" ref="AG104:AG105" ca="1" si="193">IFERROR(IF(OR(AND(AC104="Muy Baja",AE104="Leve"),AND(AC104="Muy Baja",AE104="Menor"),AND(AC104="Baja",AE104="Leve")),"Bajo",IF(OR(AND(AC104="Muy baja",AE104="Moderado"),AND(AC104="Baja",AE104="Menor"),AND(AC104="Baja",AE104="Moderado"),AND(AC104="Media",AE104="Leve"),AND(AC104="Media",AE104="Menor"),AND(AC104="Media",AE104="Moderado"),AND(AC104="Alta",AE104="Leve"),AND(AC104="Alta",AE104="Menor")),"Moderado",IF(OR(AND(AC104="Muy Baja",AE104="Mayor"),AND(AC104="Baja",AE104="Mayor"),AND(AC104="Media",AE104="Mayor"),AND(AC104="Alta",AE104="Moderado"),AND(AC104="Alta",AE104="Mayor"),AND(AC104="Muy Alta",AE104="Leve"),AND(AC104="Muy Alta",AE104="Menor"),AND(AC104="Muy Alta",AE104="Moderado"),AND(AC104="Muy Alta",AE104="Mayor")),"Alto",IF(OR(AND(AC104="Muy Baja",AE104="Catastrófico"),AND(AC104="Baja",AE104="Catastrófico"),AND(AC104="Media",AE104="Catastrófico"),AND(AC104="Alta",AE104="Catastrófico"),AND(AC104="Muy Alta",AE104="Catastrófico")),"Extremo","")))),"")</f>
        <v>Alto</v>
      </c>
      <c r="AH104" s="237" t="s">
        <v>26</v>
      </c>
      <c r="AI104" s="318">
        <v>0</v>
      </c>
      <c r="AJ104" s="318">
        <v>0</v>
      </c>
      <c r="AK104" s="318">
        <v>0</v>
      </c>
      <c r="AL104" s="318">
        <v>0</v>
      </c>
      <c r="AM104" s="318">
        <v>0</v>
      </c>
      <c r="AN104" s="299"/>
      <c r="AO104" s="299"/>
      <c r="AP104" s="259"/>
      <c r="AQ104" s="220"/>
      <c r="AR104" s="299"/>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c r="BR104" s="323"/>
      <c r="BS104" s="323"/>
      <c r="BT104" s="323"/>
      <c r="BU104" s="323"/>
      <c r="BV104" s="323"/>
      <c r="BW104" s="323"/>
      <c r="BX104" s="323"/>
      <c r="BY104" s="323"/>
    </row>
    <row r="105" spans="1:77" s="113" customFormat="1" ht="128.25" x14ac:dyDescent="0.2">
      <c r="A105" s="437"/>
      <c r="B105" s="438"/>
      <c r="C105" s="434"/>
      <c r="D105" s="434"/>
      <c r="E105" s="434"/>
      <c r="F105" s="435"/>
      <c r="G105" s="436"/>
      <c r="H105" s="435"/>
      <c r="I105" s="435"/>
      <c r="J105" s="439"/>
      <c r="K105" s="430"/>
      <c r="L105" s="431"/>
      <c r="M105" s="432"/>
      <c r="N105" s="310">
        <f ca="1">IF(NOT(ISERROR(MATCH(M105,_xlfn.ANCHORARRAY(G44),0))),L46&amp;"Por favor no seleccionar los criterios de impacto",M105)</f>
        <v>0</v>
      </c>
      <c r="O105" s="430"/>
      <c r="P105" s="431"/>
      <c r="Q105" s="433"/>
      <c r="R105" s="316">
        <v>3</v>
      </c>
      <c r="S105" s="330" t="s">
        <v>811</v>
      </c>
      <c r="T105" s="312" t="s">
        <v>293</v>
      </c>
      <c r="U105" s="302" t="str">
        <f>IF(OR(V105="Preventivo",V105="Detectivo"),"Probabilidad",IF(V105="Correctivo","Impacto",""))</f>
        <v>Probabilidad</v>
      </c>
      <c r="V105" s="237" t="s">
        <v>13</v>
      </c>
      <c r="W105" s="237" t="s">
        <v>8</v>
      </c>
      <c r="X105" s="209" t="str">
        <f>IF(AND(V105="Preventivo",W105="Automático"),"50%",IF(AND(V105="Preventivo",W105="Manual"),"40%",IF(AND(V105="Detectivo",W105="Automático"),"40%",IF(AND(V105="Detectivo",W105="Manual"),"30%",IF(AND(V105="Correctivo",W105="Automático"),"35%",IF(AND(V105="Correctivo",W105="Manual"),"25%",""))))))</f>
        <v>40%</v>
      </c>
      <c r="Y105" s="237" t="s">
        <v>18</v>
      </c>
      <c r="Z105" s="237" t="s">
        <v>21</v>
      </c>
      <c r="AA105" s="237" t="s">
        <v>103</v>
      </c>
      <c r="AB105" s="210">
        <f t="shared" ref="AB105:AB108" si="194">IFERROR(IF(AND(U104="Probabilidad",U105="Probabilidad"),(AD104-(+AD104*X105)),IF(AND(U104="Impacto",U105="Probabilidad"),(AD103-(+AD103*X105)),IF(U105="Impacto",AD104,""))),"")</f>
        <v>8.6399999999999991E-2</v>
      </c>
      <c r="AC105" s="211" t="str">
        <f t="shared" si="191"/>
        <v>Muy Baja</v>
      </c>
      <c r="AD105" s="209">
        <f t="shared" ref="AD105:AD108" si="195">+AB105</f>
        <v>8.6399999999999991E-2</v>
      </c>
      <c r="AE105" s="211" t="str">
        <f t="shared" ca="1" si="192"/>
        <v>Mayor</v>
      </c>
      <c r="AF105" s="209">
        <f ca="1">IFERROR(IF(AND(U104="Impacto",U105="Impacto"),(AF104-(+AF104*X105)),IF(U105="Impacto",($P$31-(+$P$31*X105)),IF(U105="Probabilidad",AF104,""))),"")</f>
        <v>0.8</v>
      </c>
      <c r="AG105" s="212" t="str">
        <f t="shared" ca="1" si="193"/>
        <v>Alto</v>
      </c>
      <c r="AH105" s="237" t="s">
        <v>26</v>
      </c>
      <c r="AI105" s="318">
        <v>0</v>
      </c>
      <c r="AJ105" s="318">
        <v>0</v>
      </c>
      <c r="AK105" s="318">
        <v>0</v>
      </c>
      <c r="AL105" s="318">
        <v>0</v>
      </c>
      <c r="AM105" s="318">
        <v>0</v>
      </c>
      <c r="AN105" s="299"/>
      <c r="AO105" s="299"/>
      <c r="AP105" s="259"/>
      <c r="AQ105" s="220"/>
      <c r="AR105" s="299"/>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c r="BW105" s="323"/>
      <c r="BX105" s="323"/>
      <c r="BY105" s="323"/>
    </row>
    <row r="106" spans="1:77" s="113" customFormat="1" ht="99.75" x14ac:dyDescent="0.2">
      <c r="A106" s="437"/>
      <c r="B106" s="438"/>
      <c r="C106" s="434"/>
      <c r="D106" s="434"/>
      <c r="E106" s="434"/>
      <c r="F106" s="435"/>
      <c r="G106" s="436"/>
      <c r="H106" s="435"/>
      <c r="I106" s="435"/>
      <c r="J106" s="439"/>
      <c r="K106" s="430"/>
      <c r="L106" s="431"/>
      <c r="M106" s="432"/>
      <c r="N106" s="310">
        <f ca="1">IF(NOT(ISERROR(MATCH(M106,_xlfn.ANCHORARRAY(G45),0))),L47&amp;"Por favor no seleccionar los criterios de impacto",M106)</f>
        <v>0</v>
      </c>
      <c r="O106" s="430"/>
      <c r="P106" s="431"/>
      <c r="Q106" s="433"/>
      <c r="R106" s="316">
        <v>4</v>
      </c>
      <c r="S106" s="330" t="s">
        <v>812</v>
      </c>
      <c r="T106" s="312" t="s">
        <v>293</v>
      </c>
      <c r="U106" s="208" t="str">
        <f t="shared" ref="U106:U108" si="196">IF(OR(V106="Preventivo",V106="Detectivo"),"Probabilidad",IF(V106="Correctivo","Impacto",""))</f>
        <v>Probabilidad</v>
      </c>
      <c r="V106" s="237" t="s">
        <v>13</v>
      </c>
      <c r="W106" s="237" t="s">
        <v>8</v>
      </c>
      <c r="X106" s="209" t="str">
        <f t="shared" ref="X106:X108" si="197">IF(AND(V106="Preventivo",W106="Automático"),"50%",IF(AND(V106="Preventivo",W106="Manual"),"40%",IF(AND(V106="Detectivo",W106="Automático"),"40%",IF(AND(V106="Detectivo",W106="Manual"),"30%",IF(AND(V106="Correctivo",W106="Automático"),"35%",IF(AND(V106="Correctivo",W106="Manual"),"25%",""))))))</f>
        <v>40%</v>
      </c>
      <c r="Y106" s="237" t="s">
        <v>18</v>
      </c>
      <c r="Z106" s="237" t="s">
        <v>21</v>
      </c>
      <c r="AA106" s="237" t="s">
        <v>103</v>
      </c>
      <c r="AB106" s="210">
        <f t="shared" si="194"/>
        <v>5.183999999999999E-2</v>
      </c>
      <c r="AC106" s="211" t="str">
        <f t="shared" si="191"/>
        <v>Muy Baja</v>
      </c>
      <c r="AD106" s="209">
        <f t="shared" si="195"/>
        <v>5.183999999999999E-2</v>
      </c>
      <c r="AE106" s="211" t="str">
        <f t="shared" ca="1" si="192"/>
        <v>Mayor</v>
      </c>
      <c r="AF106" s="209">
        <f t="shared" ref="AF106:AF107" ca="1" si="198">IFERROR(IF(AND(U105="Impacto",U106="Impacto"),(AF105-(+AF105*X106)),IF(U106="Impacto",($P$31-(+$P$31*X106)),IF(U106="Probabilidad",AF105,""))),"")</f>
        <v>0.8</v>
      </c>
      <c r="AG106" s="212" t="str">
        <f ca="1">IFERROR(IF(OR(AND(AC106="Muy Baja",AE106="Leve"),AND(AC106="Muy Baja",AE106="Menor"),AND(AC106="Baja",AE106="Leve")),"Bajo",IF(OR(AND(AC106="Muy baja",AE106="Moderado"),AND(AC106="Baja",AE106="Menor"),AND(AC106="Baja",AE106="Moderado"),AND(AC106="Media",AE106="Leve"),AND(AC106="Media",AE106="Menor"),AND(AC106="Media",AE106="Moderado"),AND(AC106="Alta",AE106="Leve"),AND(AC106="Alta",AE106="Menor")),"Moderado",IF(OR(AND(AC106="Muy Baja",AE106="Mayor"),AND(AC106="Baja",AE106="Mayor"),AND(AC106="Media",AE106="Mayor"),AND(AC106="Alta",AE106="Moderado"),AND(AC106="Alta",AE106="Mayor"),AND(AC106="Muy Alta",AE106="Leve"),AND(AC106="Muy Alta",AE106="Menor"),AND(AC106="Muy Alta",AE106="Moderado"),AND(AC106="Muy Alta",AE106="Mayor")),"Alto",IF(OR(AND(AC106="Muy Baja",AE106="Catastrófico"),AND(AC106="Baja",AE106="Catastrófico"),AND(AC106="Media",AE106="Catastrófico"),AND(AC106="Alta",AE106="Catastrófico"),AND(AC106="Muy Alta",AE106="Catastrófico")),"Extremo","")))),"")</f>
        <v>Alto</v>
      </c>
      <c r="AH106" s="237" t="s">
        <v>26</v>
      </c>
      <c r="AI106" s="318">
        <v>1</v>
      </c>
      <c r="AJ106" s="318">
        <v>0</v>
      </c>
      <c r="AK106" s="318">
        <v>0</v>
      </c>
      <c r="AL106" s="318">
        <v>0</v>
      </c>
      <c r="AM106" s="318">
        <v>1</v>
      </c>
      <c r="AN106" s="213"/>
      <c r="AO106" s="213"/>
      <c r="AP106" s="301"/>
      <c r="AQ106" s="220"/>
      <c r="AR106" s="21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c r="BY106" s="323"/>
    </row>
    <row r="107" spans="1:77" s="113" customFormat="1" ht="9.75" hidden="1" customHeight="1" x14ac:dyDescent="0.2">
      <c r="A107" s="437"/>
      <c r="B107" s="438"/>
      <c r="C107" s="434"/>
      <c r="D107" s="434"/>
      <c r="E107" s="434"/>
      <c r="F107" s="435"/>
      <c r="G107" s="436"/>
      <c r="H107" s="435"/>
      <c r="I107" s="435"/>
      <c r="J107" s="439"/>
      <c r="K107" s="430"/>
      <c r="L107" s="431"/>
      <c r="M107" s="432"/>
      <c r="N107" s="310">
        <f ca="1">IF(NOT(ISERROR(MATCH(M107,_xlfn.ANCHORARRAY(G46),0))),L48&amp;"Por favor no seleccionar los criterios de impacto",M107)</f>
        <v>0</v>
      </c>
      <c r="O107" s="430"/>
      <c r="P107" s="431"/>
      <c r="Q107" s="433"/>
      <c r="R107" s="316">
        <v>5</v>
      </c>
      <c r="S107" s="330"/>
      <c r="T107" s="312"/>
      <c r="U107" s="208" t="str">
        <f t="shared" si="196"/>
        <v/>
      </c>
      <c r="V107" s="237"/>
      <c r="W107" s="237"/>
      <c r="X107" s="209" t="str">
        <f t="shared" si="197"/>
        <v/>
      </c>
      <c r="Y107" s="237"/>
      <c r="Z107" s="237"/>
      <c r="AA107" s="237"/>
      <c r="AB107" s="210" t="str">
        <f t="shared" si="194"/>
        <v/>
      </c>
      <c r="AC107" s="211" t="str">
        <f t="shared" si="191"/>
        <v/>
      </c>
      <c r="AD107" s="209" t="str">
        <f t="shared" si="195"/>
        <v/>
      </c>
      <c r="AE107" s="211" t="str">
        <f t="shared" si="192"/>
        <v/>
      </c>
      <c r="AF107" s="209" t="str">
        <f t="shared" si="198"/>
        <v/>
      </c>
      <c r="AG107" s="212" t="str">
        <f t="shared" ref="AG107:AG108" si="199">IFERROR(IF(OR(AND(AC107="Muy Baja",AE107="Leve"),AND(AC107="Muy Baja",AE107="Menor"),AND(AC107="Baja",AE107="Leve")),"Bajo",IF(OR(AND(AC107="Muy baja",AE107="Moderado"),AND(AC107="Baja",AE107="Menor"),AND(AC107="Baja",AE107="Moderado"),AND(AC107="Media",AE107="Leve"),AND(AC107="Media",AE107="Menor"),AND(AC107="Media",AE107="Moderado"),AND(AC107="Alta",AE107="Leve"),AND(AC107="Alta",AE107="Menor")),"Moderado",IF(OR(AND(AC107="Muy Baja",AE107="Mayor"),AND(AC107="Baja",AE107="Mayor"),AND(AC107="Media",AE107="Mayor"),AND(AC107="Alta",AE107="Moderado"),AND(AC107="Alta",AE107="Mayor"),AND(AC107="Muy Alta",AE107="Leve"),AND(AC107="Muy Alta",AE107="Menor"),AND(AC107="Muy Alta",AE107="Moderado"),AND(AC107="Muy Alta",AE107="Mayor")),"Alto",IF(OR(AND(AC107="Muy Baja",AE107="Catastrófico"),AND(AC107="Baja",AE107="Catastrófico"),AND(AC107="Media",AE107="Catastrófico"),AND(AC107="Alta",AE107="Catastrófico"),AND(AC107="Muy Alta",AE107="Catastrófico")),"Extremo","")))),"")</f>
        <v/>
      </c>
      <c r="AH107" s="237"/>
      <c r="AI107" s="318"/>
      <c r="AJ107" s="318"/>
      <c r="AK107" s="318"/>
      <c r="AL107" s="318"/>
      <c r="AM107" s="318"/>
      <c r="AN107" s="300"/>
      <c r="AO107" s="300"/>
      <c r="AP107" s="298"/>
      <c r="AQ107" s="216"/>
      <c r="AR107" s="216"/>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c r="BR107" s="323"/>
      <c r="BS107" s="323"/>
      <c r="BT107" s="323"/>
      <c r="BU107" s="323"/>
      <c r="BV107" s="323"/>
      <c r="BW107" s="323"/>
      <c r="BX107" s="323"/>
      <c r="BY107" s="323"/>
    </row>
    <row r="108" spans="1:77" s="113" customFormat="1" ht="9.75" hidden="1" customHeight="1" x14ac:dyDescent="0.2">
      <c r="A108" s="437"/>
      <c r="B108" s="438"/>
      <c r="C108" s="434"/>
      <c r="D108" s="434"/>
      <c r="E108" s="434"/>
      <c r="F108" s="435"/>
      <c r="G108" s="436"/>
      <c r="H108" s="435"/>
      <c r="I108" s="435"/>
      <c r="J108" s="439"/>
      <c r="K108" s="430"/>
      <c r="L108" s="431"/>
      <c r="M108" s="432"/>
      <c r="N108" s="310">
        <f ca="1">IF(NOT(ISERROR(MATCH(M108,_xlfn.ANCHORARRAY(G47),0))),L49&amp;"Por favor no seleccionar los criterios de impacto",M108)</f>
        <v>0</v>
      </c>
      <c r="O108" s="430"/>
      <c r="P108" s="431"/>
      <c r="Q108" s="433"/>
      <c r="R108" s="316">
        <v>6</v>
      </c>
      <c r="S108" s="330"/>
      <c r="T108" s="312"/>
      <c r="U108" s="208" t="str">
        <f t="shared" si="196"/>
        <v/>
      </c>
      <c r="V108" s="237"/>
      <c r="W108" s="237"/>
      <c r="X108" s="209" t="str">
        <f t="shared" si="197"/>
        <v/>
      </c>
      <c r="Y108" s="237"/>
      <c r="Z108" s="237"/>
      <c r="AA108" s="237"/>
      <c r="AB108" s="210" t="str">
        <f t="shared" si="194"/>
        <v/>
      </c>
      <c r="AC108" s="211" t="str">
        <f t="shared" si="191"/>
        <v/>
      </c>
      <c r="AD108" s="209" t="str">
        <f t="shared" si="195"/>
        <v/>
      </c>
      <c r="AE108" s="211" t="str">
        <f t="shared" si="192"/>
        <v/>
      </c>
      <c r="AF108" s="209" t="str">
        <f>IFERROR(IF(AND(U107="Impacto",U108="Impacto"),(AF107-(+AF107*X108)),IF(U108="Impacto",($P$31-(+$P$31*X108)),IF(U108="Probabilidad",AF107,""))),"")</f>
        <v/>
      </c>
      <c r="AG108" s="212" t="str">
        <f t="shared" si="199"/>
        <v/>
      </c>
      <c r="AH108" s="237"/>
      <c r="AI108" s="318"/>
      <c r="AJ108" s="318"/>
      <c r="AK108" s="318"/>
      <c r="AL108" s="318"/>
      <c r="AM108" s="318"/>
      <c r="AN108" s="300"/>
      <c r="AO108" s="300"/>
      <c r="AP108" s="298"/>
      <c r="AQ108" s="216"/>
      <c r="AR108" s="216"/>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323"/>
      <c r="BY108" s="323"/>
    </row>
    <row r="109" spans="1:77" s="271" customFormat="1" ht="115.5" customHeight="1" x14ac:dyDescent="0.2">
      <c r="A109" s="437" t="s">
        <v>813</v>
      </c>
      <c r="B109" s="438" t="s">
        <v>613</v>
      </c>
      <c r="C109" s="434" t="s">
        <v>621</v>
      </c>
      <c r="D109" s="434" t="s">
        <v>107</v>
      </c>
      <c r="E109" s="434" t="s">
        <v>815</v>
      </c>
      <c r="F109" s="435" t="s">
        <v>685</v>
      </c>
      <c r="G109" s="436" t="s">
        <v>814</v>
      </c>
      <c r="H109" s="435" t="s">
        <v>655</v>
      </c>
      <c r="I109" s="435" t="s">
        <v>753</v>
      </c>
      <c r="J109" s="439">
        <v>48</v>
      </c>
      <c r="K109" s="430" t="str">
        <f t="shared" ref="K109" si="200">IF(J109&lt;=0,"",IF(J109&lt;=2,"Muy Baja",IF(J109&lt;=24,"Baja",IF(J109&lt;=500,"Media",IF(J109&lt;=5000,"Alta","Muy Alta")))))</f>
        <v>Media</v>
      </c>
      <c r="L109" s="431">
        <f>IF(K109="","",IF(K109="Muy Baja",0.2,IF(K109="Baja",0.4,IF(K109="Media",0.6,IF(K109="Alta",0.8,IF(K109="Muy Alta",1,))))))</f>
        <v>0.6</v>
      </c>
      <c r="M109" s="432" t="s">
        <v>122</v>
      </c>
      <c r="N109" s="310" t="str">
        <f ca="1">IF(NOT(ISERROR(MATCH(M109,'Tabla Impacto'!$B$221:$B$223,0))),'Tabla Impacto'!$F$223&amp;"Por favor no seleccionar los criterios de impacto(Afectación Económica o presupuestal y Pérdida Reputacional)",M109)</f>
        <v xml:space="preserve">     El riesgo afecta la imagen de de la entidad con efecto publicitario sostenido a nivel de sector administrativo, nivel departamental o municipal</v>
      </c>
      <c r="O109" s="430" t="str">
        <f ca="1">IF(OR(N109='Tabla Impacto'!$C$11,N109='Tabla Impacto'!$D$11),"Leve",IF(OR(N109='Tabla Impacto'!$C$12,N109='Tabla Impacto'!$D$12),"Menor",IF(OR(N109='Tabla Impacto'!$C$13,N109='Tabla Impacto'!$D$13),"Moderado",IF(OR(N109='Tabla Impacto'!$C$14,N109='Tabla Impacto'!$D$14),"Mayor",IF(OR(N109='Tabla Impacto'!$C$15,N109='Tabla Impacto'!$D$15),"Catastrófico","")))))</f>
        <v>Mayor</v>
      </c>
      <c r="P109" s="431">
        <f ca="1">IF(O109="","",IF(O109="Leve",0.2,IF(O109="Menor",0.4,IF(O109="Moderado",0.6,IF(O109="Mayor",0.8,IF(O109="Catastrófico",1,))))))</f>
        <v>0.8</v>
      </c>
      <c r="Q109" s="433" t="str">
        <f ca="1">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Alto</v>
      </c>
      <c r="R109" s="261">
        <v>1</v>
      </c>
      <c r="S109" s="334" t="s">
        <v>816</v>
      </c>
      <c r="T109" s="272" t="s">
        <v>293</v>
      </c>
      <c r="U109" s="262" t="str">
        <f>IF(OR(V109="Preventivo",V109="Detectivo"),"Probabilidad",IF(V109="Correctivo","Impacto",""))</f>
        <v>Impacto</v>
      </c>
      <c r="V109" s="263" t="s">
        <v>15</v>
      </c>
      <c r="W109" s="263" t="s">
        <v>8</v>
      </c>
      <c r="X109" s="264" t="str">
        <f>IF(AND(V109="Preventivo",W109="Automático"),"50%",IF(AND(V109="Preventivo",W109="Manual"),"40%",IF(AND(V109="Detectivo",W109="Automático"),"40%",IF(AND(V109="Detectivo",W109="Manual"),"30%",IF(AND(V109="Correctivo",W109="Automático"),"35%",IF(AND(V109="Correctivo",W109="Manual"),"25%",""))))))</f>
        <v>25%</v>
      </c>
      <c r="Y109" s="263" t="s">
        <v>18</v>
      </c>
      <c r="Z109" s="263" t="s">
        <v>21</v>
      </c>
      <c r="AA109" s="263" t="s">
        <v>103</v>
      </c>
      <c r="AB109" s="265">
        <f t="shared" ref="AB109" si="201">IFERROR(IF(U109="Probabilidad",(L109-(+L109*X109)),IF(U109="Impacto",L109,"")),"")</f>
        <v>0.6</v>
      </c>
      <c r="AC109" s="266" t="str">
        <f>IFERROR(IF(AB109="","",IF(AB109&lt;=0.2,"Muy Baja",IF(AB109&lt;=0.4,"Baja",IF(AB109&lt;=0.6,"Media",IF(AB109&lt;=0.8,"Alta","Muy Alta"))))),"")</f>
        <v>Media</v>
      </c>
      <c r="AD109" s="264">
        <f>+AB109</f>
        <v>0.6</v>
      </c>
      <c r="AE109" s="266" t="str">
        <f ca="1">IFERROR(IF(AF109="","",IF(AF109&lt;=0.2,"Leve",IF(AF109&lt;=0.4,"Menor",IF(AF109&lt;=0.6,"Moderado",IF(AF109&lt;=0.8,"Mayor","Catastrófico"))))),"")</f>
        <v>Moderado</v>
      </c>
      <c r="AF109" s="264">
        <f ca="1">IFERROR(IF(U109="Impacto",(P109-(+P109*X109)),IF(U109="Probabilidad",P109,"")),"")</f>
        <v>0.60000000000000009</v>
      </c>
      <c r="AG109" s="267" t="str">
        <f ca="1">IFERROR(IF(OR(AND(AC109="Muy Baja",AE109="Leve"),AND(AC109="Muy Baja",AE109="Menor"),AND(AC109="Baja",AE109="Leve")),"Bajo",IF(OR(AND(AC109="Muy baja",AE109="Moderado"),AND(AC109="Baja",AE109="Menor"),AND(AC109="Baja",AE109="Moderado"),AND(AC109="Media",AE109="Leve"),AND(AC109="Media",AE109="Menor"),AND(AC109="Media",AE109="Moderado"),AND(AC109="Alta",AE109="Leve"),AND(AC109="Alta",AE109="Menor")),"Moderado",IF(OR(AND(AC109="Muy Baja",AE109="Mayor"),AND(AC109="Baja",AE109="Mayor"),AND(AC109="Media",AE109="Mayor"),AND(AC109="Alta",AE109="Moderado"),AND(AC109="Alta",AE109="Mayor"),AND(AC109="Muy Alta",AE109="Leve"),AND(AC109="Muy Alta",AE109="Menor"),AND(AC109="Muy Alta",AE109="Moderado"),AND(AC109="Muy Alta",AE109="Mayor")),"Alto",IF(OR(AND(AC109="Muy Baja",AE109="Catastrófico"),AND(AC109="Baja",AE109="Catastrófico"),AND(AC109="Media",AE109="Catastrófico"),AND(AC109="Alta",AE109="Catastrófico"),AND(AC109="Muy Alta",AE109="Catastrófico")),"Extremo","")))),"")</f>
        <v>Moderado</v>
      </c>
      <c r="AH109" s="263" t="s">
        <v>26</v>
      </c>
      <c r="AI109" s="273">
        <v>0</v>
      </c>
      <c r="AJ109" s="273">
        <v>0</v>
      </c>
      <c r="AK109" s="273">
        <v>0</v>
      </c>
      <c r="AL109" s="273">
        <v>0</v>
      </c>
      <c r="AM109" s="273">
        <v>0</v>
      </c>
      <c r="AN109" s="268"/>
      <c r="AO109" s="268"/>
      <c r="AP109" s="258"/>
      <c r="AQ109" s="269"/>
      <c r="AR109" s="270"/>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c r="BU109" s="323"/>
      <c r="BV109" s="323"/>
      <c r="BW109" s="323"/>
      <c r="BX109" s="323"/>
      <c r="BY109" s="323"/>
    </row>
    <row r="110" spans="1:77" s="113" customFormat="1" ht="19.5" hidden="1" customHeight="1" x14ac:dyDescent="0.2">
      <c r="A110" s="437"/>
      <c r="B110" s="438"/>
      <c r="C110" s="434"/>
      <c r="D110" s="434"/>
      <c r="E110" s="434"/>
      <c r="F110" s="435"/>
      <c r="G110" s="436"/>
      <c r="H110" s="435"/>
      <c r="I110" s="435"/>
      <c r="J110" s="439"/>
      <c r="K110" s="430"/>
      <c r="L110" s="431"/>
      <c r="M110" s="432"/>
      <c r="N110" s="310">
        <f ca="1">IF(NOT(ISERROR(MATCH(M110,_xlfn.ANCHORARRAY(G49),0))),L51&amp;"Por favor no seleccionar los criterios de impacto",M110)</f>
        <v>0</v>
      </c>
      <c r="O110" s="430"/>
      <c r="P110" s="431"/>
      <c r="Q110" s="433"/>
      <c r="R110" s="316">
        <v>2</v>
      </c>
      <c r="S110" s="330"/>
      <c r="T110" s="312"/>
      <c r="U110" s="302" t="str">
        <f>IF(OR(V110="Preventivo",V110="Detectivo"),"Probabilidad",IF(V110="Correctivo","Impacto",""))</f>
        <v/>
      </c>
      <c r="V110" s="237"/>
      <c r="W110" s="237"/>
      <c r="X110" s="209" t="str">
        <f>IF(AND(V110="Preventivo",W110="Automático"),"50%",IF(AND(V110="Preventivo",W110="Manual"),"40%",IF(AND(V110="Detectivo",W110="Automático"),"40%",IF(AND(V110="Detectivo",W110="Manual"),"30%",IF(AND(V110="Correctivo",W110="Automático"),"35%",IF(AND(V110="Correctivo",W110="Manual"),"25%",""))))))</f>
        <v/>
      </c>
      <c r="Y110" s="237"/>
      <c r="Z110" s="237"/>
      <c r="AA110" s="237"/>
      <c r="AB110" s="210" t="str">
        <f t="shared" ref="AB110" si="202">IFERROR(IF(AND(U109="Probabilidad",U110="Probabilidad"),(AD109-(+AD109*X110)),IF(U110="Probabilidad",(L109-(+L109*X110)),IF(U110="Impacto",AD109,""))),"")</f>
        <v/>
      </c>
      <c r="AC110" s="211" t="str">
        <f t="shared" ref="AC110:AC114" si="203">IFERROR(IF(AB110="","",IF(AB110&lt;=0.2,"Muy Baja",IF(AB110&lt;=0.4,"Baja",IF(AB110&lt;=0.6,"Media",IF(AB110&lt;=0.8,"Alta","Muy Alta"))))),"")</f>
        <v/>
      </c>
      <c r="AD110" s="209" t="str">
        <f>+AB110</f>
        <v/>
      </c>
      <c r="AE110" s="211" t="str">
        <f t="shared" ref="AE110:AE114" si="204">IFERROR(IF(AF110="","",IF(AF110&lt;=0.2,"Leve",IF(AF110&lt;=0.4,"Menor",IF(AF110&lt;=0.6,"Moderado",IF(AF110&lt;=0.8,"Mayor","Catastrófico"))))),"")</f>
        <v/>
      </c>
      <c r="AF110" s="209" t="str">
        <f>IFERROR(IF(AND(U109="Impacto",U110="Impacto"),(AF109-(+AF109*X110)),IF(U110="Impacto",($P$37-(+$P$37*X110)),IF(U110="Probabilidad",AF109,""))),"")</f>
        <v/>
      </c>
      <c r="AG110" s="212" t="str">
        <f t="shared" ref="AG110:AG111" si="205">IFERROR(IF(OR(AND(AC110="Muy Baja",AE110="Leve"),AND(AC110="Muy Baja",AE110="Menor"),AND(AC110="Baja",AE110="Leve")),"Bajo",IF(OR(AND(AC110="Muy baja",AE110="Moderado"),AND(AC110="Baja",AE110="Menor"),AND(AC110="Baja",AE110="Moderado"),AND(AC110="Media",AE110="Leve"),AND(AC110="Media",AE110="Menor"),AND(AC110="Media",AE110="Moderado"),AND(AC110="Alta",AE110="Leve"),AND(AC110="Alta",AE110="Menor")),"Moderado",IF(OR(AND(AC110="Muy Baja",AE110="Mayor"),AND(AC110="Baja",AE110="Mayor"),AND(AC110="Media",AE110="Mayor"),AND(AC110="Alta",AE110="Moderado"),AND(AC110="Alta",AE110="Mayor"),AND(AC110="Muy Alta",AE110="Leve"),AND(AC110="Muy Alta",AE110="Menor"),AND(AC110="Muy Alta",AE110="Moderado"),AND(AC110="Muy Alta",AE110="Mayor")),"Alto",IF(OR(AND(AC110="Muy Baja",AE110="Catastrófico"),AND(AC110="Baja",AE110="Catastrófico"),AND(AC110="Media",AE110="Catastrófico"),AND(AC110="Alta",AE110="Catastrófico"),AND(AC110="Muy Alta",AE110="Catastrófico")),"Extremo","")))),"")</f>
        <v/>
      </c>
      <c r="AH110" s="237"/>
      <c r="AI110" s="318"/>
      <c r="AJ110" s="318"/>
      <c r="AK110" s="318"/>
      <c r="AL110" s="318"/>
      <c r="AM110" s="318"/>
      <c r="AN110" s="299"/>
      <c r="AO110" s="299"/>
      <c r="AP110" s="259"/>
      <c r="AQ110" s="220"/>
      <c r="AR110" s="299"/>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323"/>
      <c r="BS110" s="323"/>
      <c r="BT110" s="323"/>
      <c r="BU110" s="323"/>
      <c r="BV110" s="323"/>
      <c r="BW110" s="323"/>
      <c r="BX110" s="323"/>
      <c r="BY110" s="323"/>
    </row>
    <row r="111" spans="1:77" s="113" customFormat="1" ht="19.5" hidden="1" customHeight="1" x14ac:dyDescent="0.2">
      <c r="A111" s="437"/>
      <c r="B111" s="438"/>
      <c r="C111" s="434"/>
      <c r="D111" s="434"/>
      <c r="E111" s="434"/>
      <c r="F111" s="435"/>
      <c r="G111" s="436"/>
      <c r="H111" s="435"/>
      <c r="I111" s="435"/>
      <c r="J111" s="439"/>
      <c r="K111" s="430"/>
      <c r="L111" s="431"/>
      <c r="M111" s="432"/>
      <c r="N111" s="310">
        <f ca="1">IF(NOT(ISERROR(MATCH(M111,_xlfn.ANCHORARRAY(G50),0))),L52&amp;"Por favor no seleccionar los criterios de impacto",M111)</f>
        <v>0</v>
      </c>
      <c r="O111" s="430"/>
      <c r="P111" s="431"/>
      <c r="Q111" s="433"/>
      <c r="R111" s="316">
        <v>3</v>
      </c>
      <c r="S111" s="330"/>
      <c r="T111" s="312"/>
      <c r="U111" s="302" t="str">
        <f>IF(OR(V111="Preventivo",V111="Detectivo"),"Probabilidad",IF(V111="Correctivo","Impacto",""))</f>
        <v/>
      </c>
      <c r="V111" s="237"/>
      <c r="W111" s="237"/>
      <c r="X111" s="209" t="str">
        <f>IF(AND(V111="Preventivo",W111="Automático"),"50%",IF(AND(V111="Preventivo",W111="Manual"),"40%",IF(AND(V111="Detectivo",W111="Automático"),"40%",IF(AND(V111="Detectivo",W111="Manual"),"30%",IF(AND(V111="Correctivo",W111="Automático"),"35%",IF(AND(V111="Correctivo",W111="Manual"),"25%",""))))))</f>
        <v/>
      </c>
      <c r="Y111" s="237"/>
      <c r="Z111" s="237"/>
      <c r="AA111" s="237"/>
      <c r="AB111" s="210" t="str">
        <f t="shared" ref="AB111:AB114" si="206">IFERROR(IF(AND(U110="Probabilidad",U111="Probabilidad"),(AD110-(+AD110*X111)),IF(AND(U110="Impacto",U111="Probabilidad"),(AD109-(+AD109*X111)),IF(U111="Impacto",AD110,""))),"")</f>
        <v/>
      </c>
      <c r="AC111" s="211" t="str">
        <f t="shared" si="203"/>
        <v/>
      </c>
      <c r="AD111" s="209" t="str">
        <f t="shared" ref="AD111:AD114" si="207">+AB111</f>
        <v/>
      </c>
      <c r="AE111" s="211" t="str">
        <f t="shared" si="204"/>
        <v/>
      </c>
      <c r="AF111" s="209" t="str">
        <f>IFERROR(IF(AND(U110="Impacto",U111="Impacto"),(AF110-(+AF110*X111)),IF(U111="Impacto",($P$31-(+$P$31*X111)),IF(U111="Probabilidad",AF110,""))),"")</f>
        <v/>
      </c>
      <c r="AG111" s="212" t="str">
        <f t="shared" si="205"/>
        <v/>
      </c>
      <c r="AH111" s="237"/>
      <c r="AI111" s="318"/>
      <c r="AJ111" s="318"/>
      <c r="AK111" s="318"/>
      <c r="AL111" s="318"/>
      <c r="AM111" s="318"/>
      <c r="AN111" s="299"/>
      <c r="AO111" s="299"/>
      <c r="AP111" s="259"/>
      <c r="AQ111" s="220"/>
      <c r="AR111" s="299"/>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c r="BU111" s="323"/>
      <c r="BV111" s="323"/>
      <c r="BW111" s="323"/>
      <c r="BX111" s="323"/>
      <c r="BY111" s="323"/>
    </row>
    <row r="112" spans="1:77" s="113" customFormat="1" ht="19.5" hidden="1" customHeight="1" x14ac:dyDescent="0.2">
      <c r="A112" s="437"/>
      <c r="B112" s="438"/>
      <c r="C112" s="434"/>
      <c r="D112" s="434"/>
      <c r="E112" s="434"/>
      <c r="F112" s="435"/>
      <c r="G112" s="436"/>
      <c r="H112" s="435"/>
      <c r="I112" s="435"/>
      <c r="J112" s="439"/>
      <c r="K112" s="430"/>
      <c r="L112" s="431"/>
      <c r="M112" s="432"/>
      <c r="N112" s="310">
        <f ca="1">IF(NOT(ISERROR(MATCH(M112,_xlfn.ANCHORARRAY(G51),0))),L53&amp;"Por favor no seleccionar los criterios de impacto",M112)</f>
        <v>0</v>
      </c>
      <c r="O112" s="430"/>
      <c r="P112" s="431"/>
      <c r="Q112" s="433"/>
      <c r="R112" s="316">
        <v>4</v>
      </c>
      <c r="S112" s="330"/>
      <c r="T112" s="312"/>
      <c r="U112" s="208" t="str">
        <f t="shared" ref="U112:U114" si="208">IF(OR(V112="Preventivo",V112="Detectivo"),"Probabilidad",IF(V112="Correctivo","Impacto",""))</f>
        <v/>
      </c>
      <c r="V112" s="237"/>
      <c r="W112" s="237"/>
      <c r="X112" s="209" t="str">
        <f t="shared" ref="X112:X114" si="209">IF(AND(V112="Preventivo",W112="Automático"),"50%",IF(AND(V112="Preventivo",W112="Manual"),"40%",IF(AND(V112="Detectivo",W112="Automático"),"40%",IF(AND(V112="Detectivo",W112="Manual"),"30%",IF(AND(V112="Correctivo",W112="Automático"),"35%",IF(AND(V112="Correctivo",W112="Manual"),"25%",""))))))</f>
        <v/>
      </c>
      <c r="Y112" s="237"/>
      <c r="Z112" s="237"/>
      <c r="AA112" s="237"/>
      <c r="AB112" s="210" t="str">
        <f t="shared" si="206"/>
        <v/>
      </c>
      <c r="AC112" s="211" t="str">
        <f t="shared" si="203"/>
        <v/>
      </c>
      <c r="AD112" s="209" t="str">
        <f t="shared" si="207"/>
        <v/>
      </c>
      <c r="AE112" s="211" t="str">
        <f t="shared" si="204"/>
        <v/>
      </c>
      <c r="AF112" s="209" t="str">
        <f t="shared" ref="AF112:AF113" si="210">IFERROR(IF(AND(U111="Impacto",U112="Impacto"),(AF111-(+AF111*X112)),IF(U112="Impacto",($P$31-(+$P$31*X112)),IF(U112="Probabilidad",AF111,""))),"")</f>
        <v/>
      </c>
      <c r="AG112" s="212" t="str">
        <f>IFERROR(IF(OR(AND(AC112="Muy Baja",AE112="Leve"),AND(AC112="Muy Baja",AE112="Menor"),AND(AC112="Baja",AE112="Leve")),"Bajo",IF(OR(AND(AC112="Muy baja",AE112="Moderado"),AND(AC112="Baja",AE112="Menor"),AND(AC112="Baja",AE112="Moderado"),AND(AC112="Media",AE112="Leve"),AND(AC112="Media",AE112="Menor"),AND(AC112="Media",AE112="Moderado"),AND(AC112="Alta",AE112="Leve"),AND(AC112="Alta",AE112="Menor")),"Moderado",IF(OR(AND(AC112="Muy Baja",AE112="Mayor"),AND(AC112="Baja",AE112="Mayor"),AND(AC112="Media",AE112="Mayor"),AND(AC112="Alta",AE112="Moderado"),AND(AC112="Alta",AE112="Mayor"),AND(AC112="Muy Alta",AE112="Leve"),AND(AC112="Muy Alta",AE112="Menor"),AND(AC112="Muy Alta",AE112="Moderado"),AND(AC112="Muy Alta",AE112="Mayor")),"Alto",IF(OR(AND(AC112="Muy Baja",AE112="Catastrófico"),AND(AC112="Baja",AE112="Catastrófico"),AND(AC112="Media",AE112="Catastrófico"),AND(AC112="Alta",AE112="Catastrófico"),AND(AC112="Muy Alta",AE112="Catastrófico")),"Extremo","")))),"")</f>
        <v/>
      </c>
      <c r="AH112" s="237"/>
      <c r="AI112" s="318"/>
      <c r="AJ112" s="318"/>
      <c r="AK112" s="318"/>
      <c r="AL112" s="318"/>
      <c r="AM112" s="318"/>
      <c r="AN112" s="213"/>
      <c r="AO112" s="213"/>
      <c r="AP112" s="301"/>
      <c r="AQ112" s="220"/>
      <c r="AR112" s="21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row>
    <row r="113" spans="1:77" s="113" customFormat="1" ht="19.5" hidden="1" customHeight="1" x14ac:dyDescent="0.2">
      <c r="A113" s="437"/>
      <c r="B113" s="438"/>
      <c r="C113" s="434"/>
      <c r="D113" s="434"/>
      <c r="E113" s="434"/>
      <c r="F113" s="435"/>
      <c r="G113" s="436"/>
      <c r="H113" s="435"/>
      <c r="I113" s="435"/>
      <c r="J113" s="439"/>
      <c r="K113" s="430"/>
      <c r="L113" s="431"/>
      <c r="M113" s="432"/>
      <c r="N113" s="310">
        <f ca="1">IF(NOT(ISERROR(MATCH(M113,_xlfn.ANCHORARRAY(G52),0))),L54&amp;"Por favor no seleccionar los criterios de impacto",M113)</f>
        <v>0</v>
      </c>
      <c r="O113" s="430"/>
      <c r="P113" s="431"/>
      <c r="Q113" s="433"/>
      <c r="R113" s="316">
        <v>5</v>
      </c>
      <c r="S113" s="330"/>
      <c r="T113" s="312"/>
      <c r="U113" s="208" t="str">
        <f t="shared" si="208"/>
        <v/>
      </c>
      <c r="V113" s="237"/>
      <c r="W113" s="237"/>
      <c r="X113" s="209" t="str">
        <f t="shared" si="209"/>
        <v/>
      </c>
      <c r="Y113" s="237"/>
      <c r="Z113" s="237"/>
      <c r="AA113" s="237"/>
      <c r="AB113" s="210" t="str">
        <f t="shared" si="206"/>
        <v/>
      </c>
      <c r="AC113" s="211" t="str">
        <f t="shared" si="203"/>
        <v/>
      </c>
      <c r="AD113" s="209" t="str">
        <f t="shared" si="207"/>
        <v/>
      </c>
      <c r="AE113" s="211" t="str">
        <f t="shared" si="204"/>
        <v/>
      </c>
      <c r="AF113" s="209" t="str">
        <f t="shared" si="210"/>
        <v/>
      </c>
      <c r="AG113" s="212" t="str">
        <f t="shared" ref="AG113:AG114" si="211">IFERROR(IF(OR(AND(AC113="Muy Baja",AE113="Leve"),AND(AC113="Muy Baja",AE113="Menor"),AND(AC113="Baja",AE113="Leve")),"Bajo",IF(OR(AND(AC113="Muy baja",AE113="Moderado"),AND(AC113="Baja",AE113="Menor"),AND(AC113="Baja",AE113="Moderado"),AND(AC113="Media",AE113="Leve"),AND(AC113="Media",AE113="Menor"),AND(AC113="Media",AE113="Moderado"),AND(AC113="Alta",AE113="Leve"),AND(AC113="Alta",AE113="Menor")),"Moderado",IF(OR(AND(AC113="Muy Baja",AE113="Mayor"),AND(AC113="Baja",AE113="Mayor"),AND(AC113="Media",AE113="Mayor"),AND(AC113="Alta",AE113="Moderado"),AND(AC113="Alta",AE113="Mayor"),AND(AC113="Muy Alta",AE113="Leve"),AND(AC113="Muy Alta",AE113="Menor"),AND(AC113="Muy Alta",AE113="Moderado"),AND(AC113="Muy Alta",AE113="Mayor")),"Alto",IF(OR(AND(AC113="Muy Baja",AE113="Catastrófico"),AND(AC113="Baja",AE113="Catastrófico"),AND(AC113="Media",AE113="Catastrófico"),AND(AC113="Alta",AE113="Catastrófico"),AND(AC113="Muy Alta",AE113="Catastrófico")),"Extremo","")))),"")</f>
        <v/>
      </c>
      <c r="AH113" s="237"/>
      <c r="AI113" s="318"/>
      <c r="AJ113" s="318"/>
      <c r="AK113" s="318"/>
      <c r="AL113" s="318"/>
      <c r="AM113" s="318"/>
      <c r="AN113" s="300"/>
      <c r="AO113" s="300"/>
      <c r="AP113" s="298"/>
      <c r="AQ113" s="216"/>
      <c r="AR113" s="216"/>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row>
    <row r="114" spans="1:77" s="113" customFormat="1" ht="19.5" hidden="1" customHeight="1" x14ac:dyDescent="0.2">
      <c r="A114" s="437"/>
      <c r="B114" s="438"/>
      <c r="C114" s="434"/>
      <c r="D114" s="434"/>
      <c r="E114" s="434"/>
      <c r="F114" s="435"/>
      <c r="G114" s="436"/>
      <c r="H114" s="435"/>
      <c r="I114" s="435"/>
      <c r="J114" s="439"/>
      <c r="K114" s="430"/>
      <c r="L114" s="431"/>
      <c r="M114" s="432"/>
      <c r="N114" s="310">
        <f ca="1">IF(NOT(ISERROR(MATCH(M114,_xlfn.ANCHORARRAY(G53),0))),L55&amp;"Por favor no seleccionar los criterios de impacto",M114)</f>
        <v>0</v>
      </c>
      <c r="O114" s="430"/>
      <c r="P114" s="431"/>
      <c r="Q114" s="433"/>
      <c r="R114" s="316">
        <v>6</v>
      </c>
      <c r="S114" s="330"/>
      <c r="T114" s="312"/>
      <c r="U114" s="208" t="str">
        <f t="shared" si="208"/>
        <v/>
      </c>
      <c r="V114" s="237"/>
      <c r="W114" s="237"/>
      <c r="X114" s="209" t="str">
        <f t="shared" si="209"/>
        <v/>
      </c>
      <c r="Y114" s="237"/>
      <c r="Z114" s="237"/>
      <c r="AA114" s="237"/>
      <c r="AB114" s="210" t="str">
        <f t="shared" si="206"/>
        <v/>
      </c>
      <c r="AC114" s="211" t="str">
        <f t="shared" si="203"/>
        <v/>
      </c>
      <c r="AD114" s="209" t="str">
        <f t="shared" si="207"/>
        <v/>
      </c>
      <c r="AE114" s="211" t="str">
        <f t="shared" si="204"/>
        <v/>
      </c>
      <c r="AF114" s="209" t="str">
        <f>IFERROR(IF(AND(U113="Impacto",U114="Impacto"),(AF113-(+AF113*X114)),IF(U114="Impacto",($P$31-(+$P$31*X114)),IF(U114="Probabilidad",AF113,""))),"")</f>
        <v/>
      </c>
      <c r="AG114" s="212" t="str">
        <f t="shared" si="211"/>
        <v/>
      </c>
      <c r="AH114" s="237"/>
      <c r="AI114" s="318"/>
      <c r="AJ114" s="318"/>
      <c r="AK114" s="318"/>
      <c r="AL114" s="318"/>
      <c r="AM114" s="318"/>
      <c r="AN114" s="300"/>
      <c r="AO114" s="300"/>
      <c r="AP114" s="298"/>
      <c r="AQ114" s="216"/>
      <c r="AR114" s="216"/>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323"/>
    </row>
    <row r="115" spans="1:77" s="271" customFormat="1" ht="126.75" customHeight="1" x14ac:dyDescent="0.2">
      <c r="A115" s="437" t="s">
        <v>817</v>
      </c>
      <c r="B115" s="438" t="s">
        <v>818</v>
      </c>
      <c r="C115" s="434" t="s">
        <v>625</v>
      </c>
      <c r="D115" s="434" t="s">
        <v>109</v>
      </c>
      <c r="E115" s="434" t="s">
        <v>821</v>
      </c>
      <c r="F115" s="435" t="s">
        <v>685</v>
      </c>
      <c r="G115" s="436" t="s">
        <v>820</v>
      </c>
      <c r="H115" s="435" t="s">
        <v>655</v>
      </c>
      <c r="I115" s="435" t="s">
        <v>822</v>
      </c>
      <c r="J115" s="439">
        <v>6</v>
      </c>
      <c r="K115" s="430" t="str">
        <f t="shared" ref="K115" si="212">IF(J115&lt;=0,"",IF(J115&lt;=2,"Muy Baja",IF(J115&lt;=24,"Baja",IF(J115&lt;=500,"Media",IF(J115&lt;=5000,"Alta","Muy Alta")))))</f>
        <v>Baja</v>
      </c>
      <c r="L115" s="431">
        <f>IF(K115="","",IF(K115="Muy Baja",0.2,IF(K115="Baja",0.4,IF(K115="Media",0.6,IF(K115="Alta",0.8,IF(K115="Muy Alta",1,))))))</f>
        <v>0.4</v>
      </c>
      <c r="M115" s="432" t="s">
        <v>116</v>
      </c>
      <c r="N115" s="310" t="str">
        <f ca="1">IF(NOT(ISERROR(MATCH(M115,'Tabla Impacto'!$B$221:$B$223,0))),'Tabla Impacto'!$F$223&amp;"Por favor no seleccionar los criterios de impacto(Afectación Económica o presupuestal y Pérdida Reputacional)",M115)</f>
        <v xml:space="preserve">     Entre 10 y 50 SMLMV </v>
      </c>
      <c r="O115" s="430" t="str">
        <f ca="1">IF(OR(N115='Tabla Impacto'!$C$11,N115='Tabla Impacto'!$D$11),"Leve",IF(OR(N115='Tabla Impacto'!$C$12,N115='Tabla Impacto'!$D$12),"Menor",IF(OR(N115='Tabla Impacto'!$C$13,N115='Tabla Impacto'!$D$13),"Moderado",IF(OR(N115='Tabla Impacto'!$C$14,N115='Tabla Impacto'!$D$14),"Mayor",IF(OR(N115='Tabla Impacto'!$C$15,N115='Tabla Impacto'!$D$15),"Catastrófico","")))))</f>
        <v>Menor</v>
      </c>
      <c r="P115" s="431">
        <f ca="1">IF(O115="","",IF(O115="Leve",0.2,IF(O115="Menor",0.4,IF(O115="Moderado",0.6,IF(O115="Mayor",0.8,IF(O115="Catastrófico",1,))))))</f>
        <v>0.4</v>
      </c>
      <c r="Q115" s="433" t="str">
        <f ca="1">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261">
        <v>1</v>
      </c>
      <c r="S115" s="334" t="s">
        <v>823</v>
      </c>
      <c r="T115" s="272" t="s">
        <v>293</v>
      </c>
      <c r="U115" s="262" t="str">
        <f>IF(OR(V115="Preventivo",V115="Detectivo"),"Probabilidad",IF(V115="Correctivo","Impacto",""))</f>
        <v>Probabilidad</v>
      </c>
      <c r="V115" s="263" t="s">
        <v>13</v>
      </c>
      <c r="W115" s="263" t="s">
        <v>8</v>
      </c>
      <c r="X115" s="264" t="str">
        <f>IF(AND(V115="Preventivo",W115="Automático"),"50%",IF(AND(V115="Preventivo",W115="Manual"),"40%",IF(AND(V115="Detectivo",W115="Automático"),"40%",IF(AND(V115="Detectivo",W115="Manual"),"30%",IF(AND(V115="Correctivo",W115="Automático"),"35%",IF(AND(V115="Correctivo",W115="Manual"),"25%",""))))))</f>
        <v>40%</v>
      </c>
      <c r="Y115" s="263" t="s">
        <v>18</v>
      </c>
      <c r="Z115" s="263" t="s">
        <v>21</v>
      </c>
      <c r="AA115" s="263" t="s">
        <v>103</v>
      </c>
      <c r="AB115" s="265">
        <f t="shared" ref="AB115" si="213">IFERROR(IF(U115="Probabilidad",(L115-(+L115*X115)),IF(U115="Impacto",L115,"")),"")</f>
        <v>0.24</v>
      </c>
      <c r="AC115" s="266" t="str">
        <f>IFERROR(IF(AB115="","",IF(AB115&lt;=0.2,"Muy Baja",IF(AB115&lt;=0.4,"Baja",IF(AB115&lt;=0.6,"Media",IF(AB115&lt;=0.8,"Alta","Muy Alta"))))),"")</f>
        <v>Baja</v>
      </c>
      <c r="AD115" s="264">
        <f>+AB115</f>
        <v>0.24</v>
      </c>
      <c r="AE115" s="266" t="str">
        <f ca="1">IFERROR(IF(AF115="","",IF(AF115&lt;=0.2,"Leve",IF(AF115&lt;=0.4,"Menor",IF(AF115&lt;=0.6,"Moderado",IF(AF115&lt;=0.8,"Mayor","Catastrófico"))))),"")</f>
        <v>Menor</v>
      </c>
      <c r="AF115" s="264">
        <f ca="1">IFERROR(IF(U115="Impacto",(P115-(+P115*X115)),IF(U115="Probabilidad",P115,"")),"")</f>
        <v>0.4</v>
      </c>
      <c r="AG115" s="267" t="str">
        <f ca="1">IFERROR(IF(OR(AND(AC115="Muy Baja",AE115="Leve"),AND(AC115="Muy Baja",AE115="Menor"),AND(AC115="Baja",AE115="Leve")),"Bajo",IF(OR(AND(AC115="Muy baja",AE115="Moderado"),AND(AC115="Baja",AE115="Menor"),AND(AC115="Baja",AE115="Moderado"),AND(AC115="Media",AE115="Leve"),AND(AC115="Media",AE115="Menor"),AND(AC115="Media",AE115="Moderado"),AND(AC115="Alta",AE115="Leve"),AND(AC115="Alta",AE115="Menor")),"Moderado",IF(OR(AND(AC115="Muy Baja",AE115="Mayor"),AND(AC115="Baja",AE115="Mayor"),AND(AC115="Media",AE115="Mayor"),AND(AC115="Alta",AE115="Moderado"),AND(AC115="Alta",AE115="Mayor"),AND(AC115="Muy Alta",AE115="Leve"),AND(AC115="Muy Alta",AE115="Menor"),AND(AC115="Muy Alta",AE115="Moderado"),AND(AC115="Muy Alta",AE115="Mayor")),"Alto",IF(OR(AND(AC115="Muy Baja",AE115="Catastrófico"),AND(AC115="Baja",AE115="Catastrófico"),AND(AC115="Media",AE115="Catastrófico"),AND(AC115="Alta",AE115="Catastrófico"),AND(AC115="Muy Alta",AE115="Catastrófico")),"Extremo","")))),"")</f>
        <v>Moderado</v>
      </c>
      <c r="AH115" s="263" t="s">
        <v>26</v>
      </c>
      <c r="AI115" s="273">
        <v>12</v>
      </c>
      <c r="AJ115" s="273">
        <v>3</v>
      </c>
      <c r="AK115" s="273">
        <v>3</v>
      </c>
      <c r="AL115" s="273">
        <v>3</v>
      </c>
      <c r="AM115" s="273">
        <v>3</v>
      </c>
      <c r="AN115" s="268"/>
      <c r="AO115" s="268"/>
      <c r="AP115" s="258"/>
      <c r="AQ115" s="269"/>
      <c r="AR115" s="270"/>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323"/>
    </row>
    <row r="116" spans="1:77" s="113" customFormat="1" ht="93" customHeight="1" x14ac:dyDescent="0.2">
      <c r="A116" s="437"/>
      <c r="B116" s="438"/>
      <c r="C116" s="434"/>
      <c r="D116" s="434"/>
      <c r="E116" s="434"/>
      <c r="F116" s="435"/>
      <c r="G116" s="436"/>
      <c r="H116" s="435"/>
      <c r="I116" s="435"/>
      <c r="J116" s="439"/>
      <c r="K116" s="430"/>
      <c r="L116" s="431"/>
      <c r="M116" s="432"/>
      <c r="N116" s="310">
        <f ca="1">IF(NOT(ISERROR(MATCH(M116,_xlfn.ANCHORARRAY(G49),0))),L51&amp;"Por favor no seleccionar los criterios de impacto",M116)</f>
        <v>0</v>
      </c>
      <c r="O116" s="430"/>
      <c r="P116" s="431"/>
      <c r="Q116" s="433"/>
      <c r="R116" s="316">
        <v>2</v>
      </c>
      <c r="S116" s="336" t="s">
        <v>824</v>
      </c>
      <c r="T116" s="312" t="s">
        <v>293</v>
      </c>
      <c r="U116" s="302" t="str">
        <f>IF(OR(V116="Preventivo",V116="Detectivo"),"Probabilidad",IF(V116="Correctivo","Impacto",""))</f>
        <v>Probabilidad</v>
      </c>
      <c r="V116" s="237" t="s">
        <v>13</v>
      </c>
      <c r="W116" s="237" t="s">
        <v>8</v>
      </c>
      <c r="X116" s="209" t="str">
        <f>IF(AND(V116="Preventivo",W116="Automático"),"50%",IF(AND(V116="Preventivo",W116="Manual"),"40%",IF(AND(V116="Detectivo",W116="Automático"),"40%",IF(AND(V116="Detectivo",W116="Manual"),"30%",IF(AND(V116="Correctivo",W116="Automático"),"35%",IF(AND(V116="Correctivo",W116="Manual"),"25%",""))))))</f>
        <v>40%</v>
      </c>
      <c r="Y116" s="237" t="s">
        <v>18</v>
      </c>
      <c r="Z116" s="237" t="s">
        <v>21</v>
      </c>
      <c r="AA116" s="237" t="s">
        <v>103</v>
      </c>
      <c r="AB116" s="210">
        <f t="shared" ref="AB116" si="214">IFERROR(IF(AND(U115="Probabilidad",U116="Probabilidad"),(AD115-(+AD115*X116)),IF(U116="Probabilidad",(L115-(+L115*X116)),IF(U116="Impacto",AD115,""))),"")</f>
        <v>0.14399999999999999</v>
      </c>
      <c r="AC116" s="211" t="str">
        <f t="shared" ref="AC116:AC120" si="215">IFERROR(IF(AB116="","",IF(AB116&lt;=0.2,"Muy Baja",IF(AB116&lt;=0.4,"Baja",IF(AB116&lt;=0.6,"Media",IF(AB116&lt;=0.8,"Alta","Muy Alta"))))),"")</f>
        <v>Muy Baja</v>
      </c>
      <c r="AD116" s="209">
        <f>+AB116</f>
        <v>0.14399999999999999</v>
      </c>
      <c r="AE116" s="211" t="str">
        <f t="shared" ref="AE116:AE120" ca="1" si="216">IFERROR(IF(AF116="","",IF(AF116&lt;=0.2,"Leve",IF(AF116&lt;=0.4,"Menor",IF(AF116&lt;=0.6,"Moderado",IF(AF116&lt;=0.8,"Mayor","Catastrófico"))))),"")</f>
        <v>Menor</v>
      </c>
      <c r="AF116" s="209">
        <f ca="1">IFERROR(IF(AND(U115="Impacto",U116="Impacto"),(AF115-(+AF115*X116)),IF(U116="Impacto",($P$37-(+$P$37*X116)),IF(U116="Probabilidad",AF115,""))),"")</f>
        <v>0.4</v>
      </c>
      <c r="AG116" s="212" t="str">
        <f t="shared" ref="AG116:AG117" ca="1" si="217">IFERROR(IF(OR(AND(AC116="Muy Baja",AE116="Leve"),AND(AC116="Muy Baja",AE116="Menor"),AND(AC116="Baja",AE116="Leve")),"Bajo",IF(OR(AND(AC116="Muy baja",AE116="Moderado"),AND(AC116="Baja",AE116="Menor"),AND(AC116="Baja",AE116="Moderado"),AND(AC116="Media",AE116="Leve"),AND(AC116="Media",AE116="Menor"),AND(AC116="Media",AE116="Moderado"),AND(AC116="Alta",AE116="Leve"),AND(AC116="Alta",AE116="Menor")),"Moderado",IF(OR(AND(AC116="Muy Baja",AE116="Mayor"),AND(AC116="Baja",AE116="Mayor"),AND(AC116="Media",AE116="Mayor"),AND(AC116="Alta",AE116="Moderado"),AND(AC116="Alta",AE116="Mayor"),AND(AC116="Muy Alta",AE116="Leve"),AND(AC116="Muy Alta",AE116="Menor"),AND(AC116="Muy Alta",AE116="Moderado"),AND(AC116="Muy Alta",AE116="Mayor")),"Alto",IF(OR(AND(AC116="Muy Baja",AE116="Catastrófico"),AND(AC116="Baja",AE116="Catastrófico"),AND(AC116="Media",AE116="Catastrófico"),AND(AC116="Alta",AE116="Catastrófico"),AND(AC116="Muy Alta",AE116="Catastrófico")),"Extremo","")))),"")</f>
        <v>Bajo</v>
      </c>
      <c r="AH116" s="237" t="s">
        <v>27</v>
      </c>
      <c r="AI116" s="318">
        <v>24</v>
      </c>
      <c r="AJ116" s="318">
        <v>6</v>
      </c>
      <c r="AK116" s="318">
        <v>6</v>
      </c>
      <c r="AL116" s="318">
        <v>6</v>
      </c>
      <c r="AM116" s="318">
        <v>6</v>
      </c>
      <c r="AN116" s="299"/>
      <c r="AO116" s="299"/>
      <c r="AP116" s="259"/>
      <c r="AQ116" s="220"/>
      <c r="AR116" s="299"/>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323"/>
      <c r="BY116" s="323"/>
    </row>
    <row r="117" spans="1:77" s="113" customFormat="1" ht="102.75" customHeight="1" x14ac:dyDescent="0.2">
      <c r="A117" s="437"/>
      <c r="B117" s="438"/>
      <c r="C117" s="434"/>
      <c r="D117" s="434"/>
      <c r="E117" s="434"/>
      <c r="F117" s="435"/>
      <c r="G117" s="436"/>
      <c r="H117" s="435"/>
      <c r="I117" s="435"/>
      <c r="J117" s="439"/>
      <c r="K117" s="430"/>
      <c r="L117" s="431"/>
      <c r="M117" s="432"/>
      <c r="N117" s="310">
        <f ca="1">IF(NOT(ISERROR(MATCH(M117,_xlfn.ANCHORARRAY(G50),0))),L52&amp;"Por favor no seleccionar los criterios de impacto",M117)</f>
        <v>0</v>
      </c>
      <c r="O117" s="430"/>
      <c r="P117" s="431"/>
      <c r="Q117" s="433"/>
      <c r="R117" s="316">
        <v>3</v>
      </c>
      <c r="S117" s="330" t="s">
        <v>825</v>
      </c>
      <c r="T117" s="312" t="s">
        <v>293</v>
      </c>
      <c r="U117" s="302" t="str">
        <f>IF(OR(V117="Preventivo",V117="Detectivo"),"Probabilidad",IF(V117="Correctivo","Impacto",""))</f>
        <v>Probabilidad</v>
      </c>
      <c r="V117" s="237" t="s">
        <v>13</v>
      </c>
      <c r="W117" s="237" t="s">
        <v>8</v>
      </c>
      <c r="X117" s="209" t="str">
        <f>IF(AND(V117="Preventivo",W117="Automático"),"50%",IF(AND(V117="Preventivo",W117="Manual"),"40%",IF(AND(V117="Detectivo",W117="Automático"),"40%",IF(AND(V117="Detectivo",W117="Manual"),"30%",IF(AND(V117="Correctivo",W117="Automático"),"35%",IF(AND(V117="Correctivo",W117="Manual"),"25%",""))))))</f>
        <v>40%</v>
      </c>
      <c r="Y117" s="237" t="s">
        <v>18</v>
      </c>
      <c r="Z117" s="237" t="s">
        <v>21</v>
      </c>
      <c r="AA117" s="237" t="s">
        <v>103</v>
      </c>
      <c r="AB117" s="210">
        <f t="shared" ref="AB117:AB120" si="218">IFERROR(IF(AND(U116="Probabilidad",U117="Probabilidad"),(AD116-(+AD116*X117)),IF(AND(U116="Impacto",U117="Probabilidad"),(AD115-(+AD115*X117)),IF(U117="Impacto",AD116,""))),"")</f>
        <v>8.6399999999999991E-2</v>
      </c>
      <c r="AC117" s="211" t="str">
        <f t="shared" si="215"/>
        <v>Muy Baja</v>
      </c>
      <c r="AD117" s="209">
        <f t="shared" ref="AD117:AD120" si="219">+AB117</f>
        <v>8.6399999999999991E-2</v>
      </c>
      <c r="AE117" s="211" t="str">
        <f t="shared" ca="1" si="216"/>
        <v>Menor</v>
      </c>
      <c r="AF117" s="209">
        <f ca="1">IFERROR(IF(AND(U116="Impacto",U117="Impacto"),(AF116-(+AF116*X117)),IF(U117="Impacto",($P$31-(+$P$31*X117)),IF(U117="Probabilidad",AF116,""))),"")</f>
        <v>0.4</v>
      </c>
      <c r="AG117" s="212" t="str">
        <f t="shared" ca="1" si="217"/>
        <v>Bajo</v>
      </c>
      <c r="AH117" s="237" t="s">
        <v>27</v>
      </c>
      <c r="AI117" s="318">
        <v>1</v>
      </c>
      <c r="AJ117" s="318">
        <v>0</v>
      </c>
      <c r="AK117" s="318">
        <v>0</v>
      </c>
      <c r="AL117" s="318">
        <v>0</v>
      </c>
      <c r="AM117" s="318">
        <v>1</v>
      </c>
      <c r="AN117" s="299"/>
      <c r="AO117" s="299"/>
      <c r="AP117" s="259"/>
      <c r="AQ117" s="220"/>
      <c r="AR117" s="299"/>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323"/>
      <c r="BY117" s="323"/>
    </row>
    <row r="118" spans="1:77" s="113" customFormat="1" ht="82.5" customHeight="1" x14ac:dyDescent="0.2">
      <c r="A118" s="437"/>
      <c r="B118" s="438"/>
      <c r="C118" s="434"/>
      <c r="D118" s="434"/>
      <c r="E118" s="434"/>
      <c r="F118" s="435"/>
      <c r="G118" s="436"/>
      <c r="H118" s="435"/>
      <c r="I118" s="435"/>
      <c r="J118" s="439"/>
      <c r="K118" s="430"/>
      <c r="L118" s="431"/>
      <c r="M118" s="432"/>
      <c r="N118" s="310">
        <f ca="1">IF(NOT(ISERROR(MATCH(M118,_xlfn.ANCHORARRAY(G51),0))),L53&amp;"Por favor no seleccionar los criterios de impacto",M118)</f>
        <v>0</v>
      </c>
      <c r="O118" s="430"/>
      <c r="P118" s="431"/>
      <c r="Q118" s="433"/>
      <c r="R118" s="316">
        <v>4</v>
      </c>
      <c r="S118" s="330" t="s">
        <v>826</v>
      </c>
      <c r="T118" s="312" t="s">
        <v>293</v>
      </c>
      <c r="U118" s="208" t="str">
        <f t="shared" ref="U118:U120" si="220">IF(OR(V118="Preventivo",V118="Detectivo"),"Probabilidad",IF(V118="Correctivo","Impacto",""))</f>
        <v>Probabilidad</v>
      </c>
      <c r="V118" s="237" t="s">
        <v>13</v>
      </c>
      <c r="W118" s="237" t="s">
        <v>8</v>
      </c>
      <c r="X118" s="209" t="str">
        <f t="shared" ref="X118:X120" si="221">IF(AND(V118="Preventivo",W118="Automático"),"50%",IF(AND(V118="Preventivo",W118="Manual"),"40%",IF(AND(V118="Detectivo",W118="Automático"),"40%",IF(AND(V118="Detectivo",W118="Manual"),"30%",IF(AND(V118="Correctivo",W118="Automático"),"35%",IF(AND(V118="Correctivo",W118="Manual"),"25%",""))))))</f>
        <v>40%</v>
      </c>
      <c r="Y118" s="237" t="s">
        <v>18</v>
      </c>
      <c r="Z118" s="237" t="s">
        <v>21</v>
      </c>
      <c r="AA118" s="237" t="s">
        <v>103</v>
      </c>
      <c r="AB118" s="210">
        <f t="shared" si="218"/>
        <v>5.183999999999999E-2</v>
      </c>
      <c r="AC118" s="211" t="str">
        <f t="shared" si="215"/>
        <v>Muy Baja</v>
      </c>
      <c r="AD118" s="209">
        <f t="shared" si="219"/>
        <v>5.183999999999999E-2</v>
      </c>
      <c r="AE118" s="211" t="str">
        <f t="shared" ca="1" si="216"/>
        <v>Menor</v>
      </c>
      <c r="AF118" s="209">
        <f t="shared" ref="AF118:AF119" ca="1" si="222">IFERROR(IF(AND(U117="Impacto",U118="Impacto"),(AF117-(+AF117*X118)),IF(U118="Impacto",($P$31-(+$P$31*X118)),IF(U118="Probabilidad",AF117,""))),"")</f>
        <v>0.4</v>
      </c>
      <c r="AG118" s="212" t="str">
        <f ca="1">IFERROR(IF(OR(AND(AC118="Muy Baja",AE118="Leve"),AND(AC118="Muy Baja",AE118="Menor"),AND(AC118="Baja",AE118="Leve")),"Bajo",IF(OR(AND(AC118="Muy baja",AE118="Moderado"),AND(AC118="Baja",AE118="Menor"),AND(AC118="Baja",AE118="Moderado"),AND(AC118="Media",AE118="Leve"),AND(AC118="Media",AE118="Menor"),AND(AC118="Media",AE118="Moderado"),AND(AC118="Alta",AE118="Leve"),AND(AC118="Alta",AE118="Menor")),"Moderado",IF(OR(AND(AC118="Muy Baja",AE118="Mayor"),AND(AC118="Baja",AE118="Mayor"),AND(AC118="Media",AE118="Mayor"),AND(AC118="Alta",AE118="Moderado"),AND(AC118="Alta",AE118="Mayor"),AND(AC118="Muy Alta",AE118="Leve"),AND(AC118="Muy Alta",AE118="Menor"),AND(AC118="Muy Alta",AE118="Moderado"),AND(AC118="Muy Alta",AE118="Mayor")),"Alto",IF(OR(AND(AC118="Muy Baja",AE118="Catastrófico"),AND(AC118="Baja",AE118="Catastrófico"),AND(AC118="Media",AE118="Catastrófico"),AND(AC118="Alta",AE118="Catastrófico"),AND(AC118="Muy Alta",AE118="Catastrófico")),"Extremo","")))),"")</f>
        <v>Bajo</v>
      </c>
      <c r="AH118" s="237" t="s">
        <v>27</v>
      </c>
      <c r="AI118" s="318">
        <v>1</v>
      </c>
      <c r="AJ118" s="318">
        <v>0</v>
      </c>
      <c r="AK118" s="318">
        <v>0</v>
      </c>
      <c r="AL118" s="318">
        <v>0</v>
      </c>
      <c r="AM118" s="318">
        <v>1</v>
      </c>
      <c r="AN118" s="213"/>
      <c r="AO118" s="213"/>
      <c r="AP118" s="301"/>
      <c r="AQ118" s="220"/>
      <c r="AR118" s="21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c r="BW118" s="323"/>
      <c r="BX118" s="323"/>
      <c r="BY118" s="323"/>
    </row>
    <row r="119" spans="1:77" s="113" customFormat="1" ht="42.75" hidden="1" customHeight="1" x14ac:dyDescent="0.2">
      <c r="A119" s="437"/>
      <c r="B119" s="438"/>
      <c r="C119" s="434"/>
      <c r="D119" s="434"/>
      <c r="E119" s="434"/>
      <c r="F119" s="435"/>
      <c r="G119" s="436"/>
      <c r="H119" s="435"/>
      <c r="I119" s="435"/>
      <c r="J119" s="439"/>
      <c r="K119" s="430"/>
      <c r="L119" s="431"/>
      <c r="M119" s="432"/>
      <c r="N119" s="310">
        <f ca="1">IF(NOT(ISERROR(MATCH(M119,_xlfn.ANCHORARRAY(G52),0))),L54&amp;"Por favor no seleccionar los criterios de impacto",M119)</f>
        <v>0</v>
      </c>
      <c r="O119" s="430"/>
      <c r="P119" s="431"/>
      <c r="Q119" s="433"/>
      <c r="R119" s="316">
        <v>5</v>
      </c>
      <c r="S119" s="330"/>
      <c r="T119" s="312"/>
      <c r="U119" s="208" t="str">
        <f t="shared" si="220"/>
        <v/>
      </c>
      <c r="V119" s="237"/>
      <c r="W119" s="237"/>
      <c r="X119" s="209" t="str">
        <f t="shared" si="221"/>
        <v/>
      </c>
      <c r="Y119" s="237"/>
      <c r="Z119" s="237"/>
      <c r="AA119" s="237"/>
      <c r="AB119" s="210" t="str">
        <f t="shared" si="218"/>
        <v/>
      </c>
      <c r="AC119" s="211" t="str">
        <f t="shared" si="215"/>
        <v/>
      </c>
      <c r="AD119" s="209" t="str">
        <f t="shared" si="219"/>
        <v/>
      </c>
      <c r="AE119" s="211" t="str">
        <f t="shared" si="216"/>
        <v/>
      </c>
      <c r="AF119" s="209" t="str">
        <f t="shared" si="222"/>
        <v/>
      </c>
      <c r="AG119" s="212" t="str">
        <f t="shared" ref="AG119:AG120" si="223">IFERROR(IF(OR(AND(AC119="Muy Baja",AE119="Leve"),AND(AC119="Muy Baja",AE119="Menor"),AND(AC119="Baja",AE119="Leve")),"Bajo",IF(OR(AND(AC119="Muy baja",AE119="Moderado"),AND(AC119="Baja",AE119="Menor"),AND(AC119="Baja",AE119="Moderado"),AND(AC119="Media",AE119="Leve"),AND(AC119="Media",AE119="Menor"),AND(AC119="Media",AE119="Moderado"),AND(AC119="Alta",AE119="Leve"),AND(AC119="Alta",AE119="Menor")),"Moderado",IF(OR(AND(AC119="Muy Baja",AE119="Mayor"),AND(AC119="Baja",AE119="Mayor"),AND(AC119="Media",AE119="Mayor"),AND(AC119="Alta",AE119="Moderado"),AND(AC119="Alta",AE119="Mayor"),AND(AC119="Muy Alta",AE119="Leve"),AND(AC119="Muy Alta",AE119="Menor"),AND(AC119="Muy Alta",AE119="Moderado"),AND(AC119="Muy Alta",AE119="Mayor")),"Alto",IF(OR(AND(AC119="Muy Baja",AE119="Catastrófico"),AND(AC119="Baja",AE119="Catastrófico"),AND(AC119="Media",AE119="Catastrófico"),AND(AC119="Alta",AE119="Catastrófico"),AND(AC119="Muy Alta",AE119="Catastrófico")),"Extremo","")))),"")</f>
        <v/>
      </c>
      <c r="AH119" s="237"/>
      <c r="AI119" s="318"/>
      <c r="AJ119" s="318"/>
      <c r="AK119" s="318"/>
      <c r="AL119" s="318"/>
      <c r="AM119" s="318"/>
      <c r="AN119" s="300"/>
      <c r="AO119" s="300"/>
      <c r="AP119" s="298"/>
      <c r="AQ119" s="216"/>
      <c r="AR119" s="216"/>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row>
    <row r="120" spans="1:77" s="113" customFormat="1" ht="42.75" hidden="1" customHeight="1" x14ac:dyDescent="0.2">
      <c r="A120" s="437"/>
      <c r="B120" s="438"/>
      <c r="C120" s="434"/>
      <c r="D120" s="434"/>
      <c r="E120" s="434"/>
      <c r="F120" s="435"/>
      <c r="G120" s="436"/>
      <c r="H120" s="435"/>
      <c r="I120" s="435"/>
      <c r="J120" s="439"/>
      <c r="K120" s="430"/>
      <c r="L120" s="431"/>
      <c r="M120" s="432"/>
      <c r="N120" s="310">
        <f ca="1">IF(NOT(ISERROR(MATCH(M120,_xlfn.ANCHORARRAY(G53),0))),L55&amp;"Por favor no seleccionar los criterios de impacto",M120)</f>
        <v>0</v>
      </c>
      <c r="O120" s="430"/>
      <c r="P120" s="431"/>
      <c r="Q120" s="433"/>
      <c r="R120" s="316">
        <v>6</v>
      </c>
      <c r="S120" s="330"/>
      <c r="T120" s="312"/>
      <c r="U120" s="208" t="str">
        <f t="shared" si="220"/>
        <v/>
      </c>
      <c r="V120" s="237"/>
      <c r="W120" s="237"/>
      <c r="X120" s="209" t="str">
        <f t="shared" si="221"/>
        <v/>
      </c>
      <c r="Y120" s="237"/>
      <c r="Z120" s="237"/>
      <c r="AA120" s="237"/>
      <c r="AB120" s="210" t="str">
        <f t="shared" si="218"/>
        <v/>
      </c>
      <c r="AC120" s="211" t="str">
        <f t="shared" si="215"/>
        <v/>
      </c>
      <c r="AD120" s="209" t="str">
        <f t="shared" si="219"/>
        <v/>
      </c>
      <c r="AE120" s="211" t="str">
        <f t="shared" si="216"/>
        <v/>
      </c>
      <c r="AF120" s="209" t="str">
        <f>IFERROR(IF(AND(U119="Impacto",U120="Impacto"),(AF119-(+AF119*X120)),IF(U120="Impacto",($P$31-(+$P$31*X120)),IF(U120="Probabilidad",AF119,""))),"")</f>
        <v/>
      </c>
      <c r="AG120" s="212" t="str">
        <f t="shared" si="223"/>
        <v/>
      </c>
      <c r="AH120" s="237"/>
      <c r="AI120" s="318"/>
      <c r="AJ120" s="318"/>
      <c r="AK120" s="318"/>
      <c r="AL120" s="318"/>
      <c r="AM120" s="318"/>
      <c r="AN120" s="300"/>
      <c r="AO120" s="300"/>
      <c r="AP120" s="298"/>
      <c r="AQ120" s="216"/>
      <c r="AR120" s="216"/>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row>
    <row r="121" spans="1:77" s="271" customFormat="1" ht="85.5" x14ac:dyDescent="0.2">
      <c r="A121" s="437" t="s">
        <v>819</v>
      </c>
      <c r="B121" s="438" t="s">
        <v>818</v>
      </c>
      <c r="C121" s="434" t="s">
        <v>625</v>
      </c>
      <c r="D121" s="434" t="s">
        <v>107</v>
      </c>
      <c r="E121" s="434" t="s">
        <v>833</v>
      </c>
      <c r="F121" s="435" t="s">
        <v>685</v>
      </c>
      <c r="G121" s="436" t="s">
        <v>832</v>
      </c>
      <c r="H121" s="435" t="s">
        <v>655</v>
      </c>
      <c r="I121" s="435" t="s">
        <v>808</v>
      </c>
      <c r="J121" s="439">
        <v>7</v>
      </c>
      <c r="K121" s="430" t="str">
        <f t="shared" ref="K121" si="224">IF(J121&lt;=0,"",IF(J121&lt;=2,"Muy Baja",IF(J121&lt;=24,"Baja",IF(J121&lt;=500,"Media",IF(J121&lt;=5000,"Alta","Muy Alta")))))</f>
        <v>Baja</v>
      </c>
      <c r="L121" s="431">
        <f>IF(K121="","",IF(K121="Muy Baja",0.2,IF(K121="Baja",0.4,IF(K121="Media",0.6,IF(K121="Alta",0.8,IF(K121="Muy Alta",1,))))))</f>
        <v>0.4</v>
      </c>
      <c r="M121" s="432" t="s">
        <v>122</v>
      </c>
      <c r="N121" s="310" t="str">
        <f ca="1">IF(NOT(ISERROR(MATCH(M121,'Tabla Impacto'!$B$221:$B$223,0))),'Tabla Impacto'!$F$223&amp;"Por favor no seleccionar los criterios de impacto(Afectación Económica o presupuestal y Pérdida Reputacional)",M121)</f>
        <v xml:space="preserve">     El riesgo afecta la imagen de de la entidad con efecto publicitario sostenido a nivel de sector administrativo, nivel departamental o municipal</v>
      </c>
      <c r="O121" s="430" t="str">
        <f ca="1">IF(OR(N121='Tabla Impacto'!$C$11,N121='Tabla Impacto'!$D$11),"Leve",IF(OR(N121='Tabla Impacto'!$C$12,N121='Tabla Impacto'!$D$12),"Menor",IF(OR(N121='Tabla Impacto'!$C$13,N121='Tabla Impacto'!$D$13),"Moderado",IF(OR(N121='Tabla Impacto'!$C$14,N121='Tabla Impacto'!$D$14),"Mayor",IF(OR(N121='Tabla Impacto'!$C$15,N121='Tabla Impacto'!$D$15),"Catastrófico","")))))</f>
        <v>Mayor</v>
      </c>
      <c r="P121" s="431">
        <f ca="1">IF(O121="","",IF(O121="Leve",0.2,IF(O121="Menor",0.4,IF(O121="Moderado",0.6,IF(O121="Mayor",0.8,IF(O121="Catastrófico",1,))))))</f>
        <v>0.8</v>
      </c>
      <c r="Q121" s="433" t="str">
        <f ca="1">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Alto</v>
      </c>
      <c r="R121" s="261">
        <v>1</v>
      </c>
      <c r="S121" s="334" t="s">
        <v>834</v>
      </c>
      <c r="T121" s="272" t="s">
        <v>293</v>
      </c>
      <c r="U121" s="262" t="str">
        <f>IF(OR(V121="Preventivo",V121="Detectivo"),"Probabilidad",IF(V121="Correctivo","Impacto",""))</f>
        <v>Probabilidad</v>
      </c>
      <c r="V121" s="263" t="s">
        <v>13</v>
      </c>
      <c r="W121" s="263" t="s">
        <v>8</v>
      </c>
      <c r="X121" s="264" t="str">
        <f>IF(AND(V121="Preventivo",W121="Automático"),"50%",IF(AND(V121="Preventivo",W121="Manual"),"40%",IF(AND(V121="Detectivo",W121="Automático"),"40%",IF(AND(V121="Detectivo",W121="Manual"),"30%",IF(AND(V121="Correctivo",W121="Automático"),"35%",IF(AND(V121="Correctivo",W121="Manual"),"25%",""))))))</f>
        <v>40%</v>
      </c>
      <c r="Y121" s="263" t="s">
        <v>18</v>
      </c>
      <c r="Z121" s="263" t="s">
        <v>21</v>
      </c>
      <c r="AA121" s="263" t="s">
        <v>103</v>
      </c>
      <c r="AB121" s="265">
        <f t="shared" ref="AB121" si="225">IFERROR(IF(U121="Probabilidad",(L121-(+L121*X121)),IF(U121="Impacto",L121,"")),"")</f>
        <v>0.24</v>
      </c>
      <c r="AC121" s="266" t="str">
        <f>IFERROR(IF(AB121="","",IF(AB121&lt;=0.2,"Muy Baja",IF(AB121&lt;=0.4,"Baja",IF(AB121&lt;=0.6,"Media",IF(AB121&lt;=0.8,"Alta","Muy Alta"))))),"")</f>
        <v>Baja</v>
      </c>
      <c r="AD121" s="264">
        <f>+AB121</f>
        <v>0.24</v>
      </c>
      <c r="AE121" s="266" t="str">
        <f ca="1">IFERROR(IF(AF121="","",IF(AF121&lt;=0.2,"Leve",IF(AF121&lt;=0.4,"Menor",IF(AF121&lt;=0.6,"Moderado",IF(AF121&lt;=0.8,"Mayor","Catastrófico"))))),"")</f>
        <v>Mayor</v>
      </c>
      <c r="AF121" s="264">
        <f ca="1">IFERROR(IF(U121="Impacto",(P121-(+P121*X121)),IF(U121="Probabilidad",P121,"")),"")</f>
        <v>0.8</v>
      </c>
      <c r="AG121" s="267" t="str">
        <f ca="1">IFERROR(IF(OR(AND(AC121="Muy Baja",AE121="Leve"),AND(AC121="Muy Baja",AE121="Menor"),AND(AC121="Baja",AE121="Leve")),"Bajo",IF(OR(AND(AC121="Muy baja",AE121="Moderado"),AND(AC121="Baja",AE121="Menor"),AND(AC121="Baja",AE121="Moderado"),AND(AC121="Media",AE121="Leve"),AND(AC121="Media",AE121="Menor"),AND(AC121="Media",AE121="Moderado"),AND(AC121="Alta",AE121="Leve"),AND(AC121="Alta",AE121="Menor")),"Moderado",IF(OR(AND(AC121="Muy Baja",AE121="Mayor"),AND(AC121="Baja",AE121="Mayor"),AND(AC121="Media",AE121="Mayor"),AND(AC121="Alta",AE121="Moderado"),AND(AC121="Alta",AE121="Mayor"),AND(AC121="Muy Alta",AE121="Leve"),AND(AC121="Muy Alta",AE121="Menor"),AND(AC121="Muy Alta",AE121="Moderado"),AND(AC121="Muy Alta",AE121="Mayor")),"Alto",IF(OR(AND(AC121="Muy Baja",AE121="Catastrófico"),AND(AC121="Baja",AE121="Catastrófico"),AND(AC121="Media",AE121="Catastrófico"),AND(AC121="Alta",AE121="Catastrófico"),AND(AC121="Muy Alta",AE121="Catastrófico")),"Extremo","")))),"")</f>
        <v>Alto</v>
      </c>
      <c r="AH121" s="263" t="s">
        <v>26</v>
      </c>
      <c r="AI121" s="273">
        <v>0</v>
      </c>
      <c r="AJ121" s="273">
        <v>0</v>
      </c>
      <c r="AK121" s="273">
        <v>0</v>
      </c>
      <c r="AL121" s="273">
        <v>0</v>
      </c>
      <c r="AM121" s="273">
        <v>0</v>
      </c>
      <c r="AN121" s="268"/>
      <c r="AO121" s="268"/>
      <c r="AP121" s="258"/>
      <c r="AQ121" s="269"/>
      <c r="AR121" s="270"/>
      <c r="AS121" s="323"/>
      <c r="AT121" s="323"/>
      <c r="AU121" s="323"/>
      <c r="AV121" s="323"/>
      <c r="AW121" s="323"/>
      <c r="AX121" s="323"/>
      <c r="AY121" s="323"/>
      <c r="AZ121" s="323"/>
      <c r="BA121" s="323"/>
      <c r="BB121" s="323"/>
      <c r="BC121" s="323"/>
      <c r="BD121" s="323"/>
      <c r="BE121" s="323"/>
      <c r="BF121" s="323"/>
      <c r="BG121" s="323"/>
      <c r="BH121" s="323"/>
      <c r="BI121" s="323"/>
      <c r="BJ121" s="323"/>
      <c r="BK121" s="323"/>
      <c r="BL121" s="323"/>
      <c r="BM121" s="323"/>
      <c r="BN121" s="323"/>
      <c r="BO121" s="323"/>
      <c r="BP121" s="323"/>
      <c r="BQ121" s="323"/>
      <c r="BR121" s="323"/>
      <c r="BS121" s="323"/>
      <c r="BT121" s="323"/>
      <c r="BU121" s="323"/>
      <c r="BV121" s="323"/>
      <c r="BW121" s="323"/>
      <c r="BX121" s="323"/>
      <c r="BY121" s="323"/>
    </row>
    <row r="122" spans="1:77" s="113" customFormat="1" ht="144" customHeight="1" x14ac:dyDescent="0.2">
      <c r="A122" s="437"/>
      <c r="B122" s="438"/>
      <c r="C122" s="434"/>
      <c r="D122" s="434"/>
      <c r="E122" s="434"/>
      <c r="F122" s="435"/>
      <c r="G122" s="436"/>
      <c r="H122" s="435"/>
      <c r="I122" s="435"/>
      <c r="J122" s="439"/>
      <c r="K122" s="430"/>
      <c r="L122" s="431"/>
      <c r="M122" s="432"/>
      <c r="N122" s="310">
        <f ca="1">IF(NOT(ISERROR(MATCH(M122,_xlfn.ANCHORARRAY(G49),0))),L51&amp;"Por favor no seleccionar los criterios de impacto",M122)</f>
        <v>0</v>
      </c>
      <c r="O122" s="430"/>
      <c r="P122" s="431"/>
      <c r="Q122" s="433"/>
      <c r="R122" s="316">
        <v>2</v>
      </c>
      <c r="S122" s="330" t="s">
        <v>835</v>
      </c>
      <c r="T122" s="312" t="s">
        <v>293</v>
      </c>
      <c r="U122" s="302" t="str">
        <f>IF(OR(V122="Preventivo",V122="Detectivo"),"Probabilidad",IF(V122="Correctivo","Impacto",""))</f>
        <v>Probabilidad</v>
      </c>
      <c r="V122" s="237" t="s">
        <v>13</v>
      </c>
      <c r="W122" s="237" t="s">
        <v>8</v>
      </c>
      <c r="X122" s="209" t="str">
        <f>IF(AND(V122="Preventivo",W122="Automático"),"50%",IF(AND(V122="Preventivo",W122="Manual"),"40%",IF(AND(V122="Detectivo",W122="Automático"),"40%",IF(AND(V122="Detectivo",W122="Manual"),"30%",IF(AND(V122="Correctivo",W122="Automático"),"35%",IF(AND(V122="Correctivo",W122="Manual"),"25%",""))))))</f>
        <v>40%</v>
      </c>
      <c r="Y122" s="237" t="s">
        <v>18</v>
      </c>
      <c r="Z122" s="237" t="s">
        <v>21</v>
      </c>
      <c r="AA122" s="237" t="s">
        <v>103</v>
      </c>
      <c r="AB122" s="210">
        <f t="shared" ref="AB122" si="226">IFERROR(IF(AND(U121="Probabilidad",U122="Probabilidad"),(AD121-(+AD121*X122)),IF(U122="Probabilidad",(L121-(+L121*X122)),IF(U122="Impacto",AD121,""))),"")</f>
        <v>0.14399999999999999</v>
      </c>
      <c r="AC122" s="211" t="str">
        <f t="shared" ref="AC122:AC126" si="227">IFERROR(IF(AB122="","",IF(AB122&lt;=0.2,"Muy Baja",IF(AB122&lt;=0.4,"Baja",IF(AB122&lt;=0.6,"Media",IF(AB122&lt;=0.8,"Alta","Muy Alta"))))),"")</f>
        <v>Muy Baja</v>
      </c>
      <c r="AD122" s="209">
        <f>+AB122</f>
        <v>0.14399999999999999</v>
      </c>
      <c r="AE122" s="211" t="str">
        <f t="shared" ref="AE122:AE126" ca="1" si="228">IFERROR(IF(AF122="","",IF(AF122&lt;=0.2,"Leve",IF(AF122&lt;=0.4,"Menor",IF(AF122&lt;=0.6,"Moderado",IF(AF122&lt;=0.8,"Mayor","Catastrófico"))))),"")</f>
        <v>Mayor</v>
      </c>
      <c r="AF122" s="209">
        <f ca="1">IFERROR(IF(AND(U121="Impacto",U122="Impacto"),(AF121-(+AF121*X122)),IF(U122="Impacto",($P$37-(+$P$37*X122)),IF(U122="Probabilidad",AF121,""))),"")</f>
        <v>0.8</v>
      </c>
      <c r="AG122" s="212" t="str">
        <f t="shared" ref="AG122:AG123" ca="1" si="229">IFERROR(IF(OR(AND(AC122="Muy Baja",AE122="Leve"),AND(AC122="Muy Baja",AE122="Menor"),AND(AC122="Baja",AE122="Leve")),"Bajo",IF(OR(AND(AC122="Muy baja",AE122="Moderado"),AND(AC122="Baja",AE122="Menor"),AND(AC122="Baja",AE122="Moderado"),AND(AC122="Media",AE122="Leve"),AND(AC122="Media",AE122="Menor"),AND(AC122="Media",AE122="Moderado"),AND(AC122="Alta",AE122="Leve"),AND(AC122="Alta",AE122="Menor")),"Moderado",IF(OR(AND(AC122="Muy Baja",AE122="Mayor"),AND(AC122="Baja",AE122="Mayor"),AND(AC122="Media",AE122="Mayor"),AND(AC122="Alta",AE122="Moderado"),AND(AC122="Alta",AE122="Mayor"),AND(AC122="Muy Alta",AE122="Leve"),AND(AC122="Muy Alta",AE122="Menor"),AND(AC122="Muy Alta",AE122="Moderado"),AND(AC122="Muy Alta",AE122="Mayor")),"Alto",IF(OR(AND(AC122="Muy Baja",AE122="Catastrófico"),AND(AC122="Baja",AE122="Catastrófico"),AND(AC122="Media",AE122="Catastrófico"),AND(AC122="Alta",AE122="Catastrófico"),AND(AC122="Muy Alta",AE122="Catastrófico")),"Extremo","")))),"")</f>
        <v>Alto</v>
      </c>
      <c r="AH122" s="237" t="s">
        <v>26</v>
      </c>
      <c r="AI122" s="318">
        <v>0</v>
      </c>
      <c r="AJ122" s="318">
        <v>0</v>
      </c>
      <c r="AK122" s="318">
        <v>0</v>
      </c>
      <c r="AL122" s="318">
        <v>0</v>
      </c>
      <c r="AM122" s="318">
        <v>0</v>
      </c>
      <c r="AN122" s="299"/>
      <c r="AO122" s="299"/>
      <c r="AP122" s="259"/>
      <c r="AQ122" s="220"/>
      <c r="AR122" s="299"/>
      <c r="AS122" s="323"/>
      <c r="AT122" s="323"/>
      <c r="AU122" s="323"/>
      <c r="AV122" s="323"/>
      <c r="AW122" s="323"/>
      <c r="AX122" s="323"/>
      <c r="AY122" s="323"/>
      <c r="AZ122" s="323"/>
      <c r="BA122" s="323"/>
      <c r="BB122" s="323"/>
      <c r="BC122" s="323"/>
      <c r="BD122" s="323"/>
      <c r="BE122" s="323"/>
      <c r="BF122" s="323"/>
      <c r="BG122" s="323"/>
      <c r="BH122" s="323"/>
      <c r="BI122" s="323"/>
      <c r="BJ122" s="323"/>
      <c r="BK122" s="323"/>
      <c r="BL122" s="323"/>
      <c r="BM122" s="323"/>
      <c r="BN122" s="323"/>
      <c r="BO122" s="323"/>
      <c r="BP122" s="323"/>
      <c r="BQ122" s="323"/>
      <c r="BR122" s="323"/>
      <c r="BS122" s="323"/>
      <c r="BT122" s="323"/>
      <c r="BU122" s="323"/>
      <c r="BV122" s="323"/>
      <c r="BW122" s="323"/>
      <c r="BX122" s="323"/>
      <c r="BY122" s="323"/>
    </row>
    <row r="123" spans="1:77" s="113" customFormat="1" ht="139.5" customHeight="1" x14ac:dyDescent="0.2">
      <c r="A123" s="437"/>
      <c r="B123" s="438"/>
      <c r="C123" s="434"/>
      <c r="D123" s="434"/>
      <c r="E123" s="434"/>
      <c r="F123" s="435"/>
      <c r="G123" s="436"/>
      <c r="H123" s="435"/>
      <c r="I123" s="435"/>
      <c r="J123" s="439"/>
      <c r="K123" s="430"/>
      <c r="L123" s="431"/>
      <c r="M123" s="432"/>
      <c r="N123" s="310">
        <f ca="1">IF(NOT(ISERROR(MATCH(M123,_xlfn.ANCHORARRAY(G50),0))),L52&amp;"Por favor no seleccionar los criterios de impacto",M123)</f>
        <v>0</v>
      </c>
      <c r="O123" s="430"/>
      <c r="P123" s="431"/>
      <c r="Q123" s="433"/>
      <c r="R123" s="316">
        <v>3</v>
      </c>
      <c r="S123" s="330" t="s">
        <v>836</v>
      </c>
      <c r="T123" s="312" t="s">
        <v>293</v>
      </c>
      <c r="U123" s="302" t="str">
        <f>IF(OR(V123="Preventivo",V123="Detectivo"),"Probabilidad",IF(V123="Correctivo","Impacto",""))</f>
        <v>Probabilidad</v>
      </c>
      <c r="V123" s="237" t="s">
        <v>13</v>
      </c>
      <c r="W123" s="237" t="s">
        <v>8</v>
      </c>
      <c r="X123" s="209" t="str">
        <f>IF(AND(V123="Preventivo",W123="Automático"),"50%",IF(AND(V123="Preventivo",W123="Manual"),"40%",IF(AND(V123="Detectivo",W123="Automático"),"40%",IF(AND(V123="Detectivo",W123="Manual"),"30%",IF(AND(V123="Correctivo",W123="Automático"),"35%",IF(AND(V123="Correctivo",W123="Manual"),"25%",""))))))</f>
        <v>40%</v>
      </c>
      <c r="Y123" s="237" t="s">
        <v>18</v>
      </c>
      <c r="Z123" s="237" t="s">
        <v>21</v>
      </c>
      <c r="AA123" s="237" t="s">
        <v>103</v>
      </c>
      <c r="AB123" s="210">
        <f t="shared" ref="AB123:AB126" si="230">IFERROR(IF(AND(U122="Probabilidad",U123="Probabilidad"),(AD122-(+AD122*X123)),IF(AND(U122="Impacto",U123="Probabilidad"),(AD121-(+AD121*X123)),IF(U123="Impacto",AD122,""))),"")</f>
        <v>8.6399999999999991E-2</v>
      </c>
      <c r="AC123" s="211" t="str">
        <f t="shared" si="227"/>
        <v>Muy Baja</v>
      </c>
      <c r="AD123" s="209">
        <f t="shared" ref="AD123:AD126" si="231">+AB123</f>
        <v>8.6399999999999991E-2</v>
      </c>
      <c r="AE123" s="211" t="str">
        <f t="shared" ca="1" si="228"/>
        <v>Mayor</v>
      </c>
      <c r="AF123" s="209">
        <f ca="1">IFERROR(IF(AND(U122="Impacto",U123="Impacto"),(AF122-(+AF122*X123)),IF(U123="Impacto",($P$31-(+$P$31*X123)),IF(U123="Probabilidad",AF122,""))),"")</f>
        <v>0.8</v>
      </c>
      <c r="AG123" s="212" t="str">
        <f t="shared" ca="1" si="229"/>
        <v>Alto</v>
      </c>
      <c r="AH123" s="237" t="s">
        <v>26</v>
      </c>
      <c r="AI123" s="318">
        <v>1</v>
      </c>
      <c r="AJ123" s="318">
        <v>0</v>
      </c>
      <c r="AK123" s="318">
        <v>0</v>
      </c>
      <c r="AL123" s="318">
        <v>0</v>
      </c>
      <c r="AM123" s="318">
        <v>1</v>
      </c>
      <c r="AN123" s="299"/>
      <c r="AO123" s="299"/>
      <c r="AP123" s="259"/>
      <c r="AQ123" s="220"/>
      <c r="AR123" s="299"/>
      <c r="AS123" s="323"/>
      <c r="AT123" s="323"/>
      <c r="AU123" s="323"/>
      <c r="AV123" s="323"/>
      <c r="AW123" s="323"/>
      <c r="AX123" s="323"/>
      <c r="AY123" s="323"/>
      <c r="AZ123" s="323"/>
      <c r="BA123" s="323"/>
      <c r="BB123" s="323"/>
      <c r="BC123" s="323"/>
      <c r="BD123" s="323"/>
      <c r="BE123" s="323"/>
      <c r="BF123" s="323"/>
      <c r="BG123" s="323"/>
      <c r="BH123" s="323"/>
      <c r="BI123" s="323"/>
      <c r="BJ123" s="323"/>
      <c r="BK123" s="323"/>
      <c r="BL123" s="323"/>
      <c r="BM123" s="323"/>
      <c r="BN123" s="323"/>
      <c r="BO123" s="323"/>
      <c r="BP123" s="323"/>
      <c r="BQ123" s="323"/>
      <c r="BR123" s="323"/>
      <c r="BS123" s="323"/>
      <c r="BT123" s="323"/>
      <c r="BU123" s="323"/>
      <c r="BV123" s="323"/>
      <c r="BW123" s="323"/>
      <c r="BX123" s="323"/>
      <c r="BY123" s="323"/>
    </row>
    <row r="124" spans="1:77" s="113" customFormat="1" ht="10.5" hidden="1" customHeight="1" x14ac:dyDescent="0.2">
      <c r="A124" s="437"/>
      <c r="B124" s="438"/>
      <c r="C124" s="434"/>
      <c r="D124" s="434"/>
      <c r="E124" s="434"/>
      <c r="F124" s="435"/>
      <c r="G124" s="436"/>
      <c r="H124" s="435"/>
      <c r="I124" s="435"/>
      <c r="J124" s="439"/>
      <c r="K124" s="430"/>
      <c r="L124" s="431"/>
      <c r="M124" s="432"/>
      <c r="N124" s="310">
        <f ca="1">IF(NOT(ISERROR(MATCH(M124,_xlfn.ANCHORARRAY(G51),0))),L53&amp;"Por favor no seleccionar los criterios de impacto",M124)</f>
        <v>0</v>
      </c>
      <c r="O124" s="430"/>
      <c r="P124" s="431"/>
      <c r="Q124" s="433"/>
      <c r="R124" s="316">
        <v>4</v>
      </c>
      <c r="S124" s="330"/>
      <c r="T124" s="312"/>
      <c r="U124" s="208" t="str">
        <f t="shared" ref="U124:U126" si="232">IF(OR(V124="Preventivo",V124="Detectivo"),"Probabilidad",IF(V124="Correctivo","Impacto",""))</f>
        <v/>
      </c>
      <c r="V124" s="237"/>
      <c r="W124" s="237"/>
      <c r="X124" s="209" t="str">
        <f t="shared" ref="X124:X126" si="233">IF(AND(V124="Preventivo",W124="Automático"),"50%",IF(AND(V124="Preventivo",W124="Manual"),"40%",IF(AND(V124="Detectivo",W124="Automático"),"40%",IF(AND(V124="Detectivo",W124="Manual"),"30%",IF(AND(V124="Correctivo",W124="Automático"),"35%",IF(AND(V124="Correctivo",W124="Manual"),"25%",""))))))</f>
        <v/>
      </c>
      <c r="Y124" s="237"/>
      <c r="Z124" s="237"/>
      <c r="AA124" s="237"/>
      <c r="AB124" s="210" t="str">
        <f t="shared" si="230"/>
        <v/>
      </c>
      <c r="AC124" s="211" t="str">
        <f t="shared" si="227"/>
        <v/>
      </c>
      <c r="AD124" s="209" t="str">
        <f t="shared" si="231"/>
        <v/>
      </c>
      <c r="AE124" s="211" t="str">
        <f t="shared" si="228"/>
        <v/>
      </c>
      <c r="AF124" s="209" t="str">
        <f t="shared" ref="AF124:AF125" si="234">IFERROR(IF(AND(U123="Impacto",U124="Impacto"),(AF123-(+AF123*X124)),IF(U124="Impacto",($P$31-(+$P$31*X124)),IF(U124="Probabilidad",AF123,""))),"")</f>
        <v/>
      </c>
      <c r="AG124" s="212" t="str">
        <f>IFERROR(IF(OR(AND(AC124="Muy Baja",AE124="Leve"),AND(AC124="Muy Baja",AE124="Menor"),AND(AC124="Baja",AE124="Leve")),"Bajo",IF(OR(AND(AC124="Muy baja",AE124="Moderado"),AND(AC124="Baja",AE124="Menor"),AND(AC124="Baja",AE124="Moderado"),AND(AC124="Media",AE124="Leve"),AND(AC124="Media",AE124="Menor"),AND(AC124="Media",AE124="Moderado"),AND(AC124="Alta",AE124="Leve"),AND(AC124="Alta",AE124="Menor")),"Moderado",IF(OR(AND(AC124="Muy Baja",AE124="Mayor"),AND(AC124="Baja",AE124="Mayor"),AND(AC124="Media",AE124="Mayor"),AND(AC124="Alta",AE124="Moderado"),AND(AC124="Alta",AE124="Mayor"),AND(AC124="Muy Alta",AE124="Leve"),AND(AC124="Muy Alta",AE124="Menor"),AND(AC124="Muy Alta",AE124="Moderado"),AND(AC124="Muy Alta",AE124="Mayor")),"Alto",IF(OR(AND(AC124="Muy Baja",AE124="Catastrófico"),AND(AC124="Baja",AE124="Catastrófico"),AND(AC124="Media",AE124="Catastrófico"),AND(AC124="Alta",AE124="Catastrófico"),AND(AC124="Muy Alta",AE124="Catastrófico")),"Extremo","")))),"")</f>
        <v/>
      </c>
      <c r="AH124" s="237"/>
      <c r="AI124" s="318"/>
      <c r="AJ124" s="318"/>
      <c r="AK124" s="318"/>
      <c r="AL124" s="318"/>
      <c r="AM124" s="318"/>
      <c r="AN124" s="213"/>
      <c r="AO124" s="213"/>
      <c r="AP124" s="301"/>
      <c r="AQ124" s="220"/>
      <c r="AR124" s="21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3"/>
      <c r="BO124" s="323"/>
      <c r="BP124" s="323"/>
      <c r="BQ124" s="323"/>
      <c r="BR124" s="323"/>
      <c r="BS124" s="323"/>
      <c r="BT124" s="323"/>
      <c r="BU124" s="323"/>
      <c r="BV124" s="323"/>
      <c r="BW124" s="323"/>
      <c r="BX124" s="323"/>
      <c r="BY124" s="323"/>
    </row>
    <row r="125" spans="1:77" s="113" customFormat="1" ht="10.5" hidden="1" customHeight="1" x14ac:dyDescent="0.2">
      <c r="A125" s="437"/>
      <c r="B125" s="438"/>
      <c r="C125" s="434"/>
      <c r="D125" s="434"/>
      <c r="E125" s="434"/>
      <c r="F125" s="435"/>
      <c r="G125" s="436"/>
      <c r="H125" s="435"/>
      <c r="I125" s="435"/>
      <c r="J125" s="439"/>
      <c r="K125" s="430"/>
      <c r="L125" s="431"/>
      <c r="M125" s="432"/>
      <c r="N125" s="310">
        <f ca="1">IF(NOT(ISERROR(MATCH(M125,_xlfn.ANCHORARRAY(G52),0))),L54&amp;"Por favor no seleccionar los criterios de impacto",M125)</f>
        <v>0</v>
      </c>
      <c r="O125" s="430"/>
      <c r="P125" s="431"/>
      <c r="Q125" s="433"/>
      <c r="R125" s="316">
        <v>5</v>
      </c>
      <c r="S125" s="330"/>
      <c r="T125" s="312"/>
      <c r="U125" s="208" t="str">
        <f t="shared" si="232"/>
        <v/>
      </c>
      <c r="V125" s="237"/>
      <c r="W125" s="237"/>
      <c r="X125" s="209" t="str">
        <f t="shared" si="233"/>
        <v/>
      </c>
      <c r="Y125" s="237"/>
      <c r="Z125" s="237"/>
      <c r="AA125" s="237"/>
      <c r="AB125" s="210" t="str">
        <f t="shared" si="230"/>
        <v/>
      </c>
      <c r="AC125" s="211" t="str">
        <f t="shared" si="227"/>
        <v/>
      </c>
      <c r="AD125" s="209" t="str">
        <f t="shared" si="231"/>
        <v/>
      </c>
      <c r="AE125" s="211" t="str">
        <f t="shared" si="228"/>
        <v/>
      </c>
      <c r="AF125" s="209" t="str">
        <f t="shared" si="234"/>
        <v/>
      </c>
      <c r="AG125" s="212" t="str">
        <f t="shared" ref="AG125:AG126" si="235">IFERROR(IF(OR(AND(AC125="Muy Baja",AE125="Leve"),AND(AC125="Muy Baja",AE125="Menor"),AND(AC125="Baja",AE125="Leve")),"Bajo",IF(OR(AND(AC125="Muy baja",AE125="Moderado"),AND(AC125="Baja",AE125="Menor"),AND(AC125="Baja",AE125="Moderado"),AND(AC125="Media",AE125="Leve"),AND(AC125="Media",AE125="Menor"),AND(AC125="Media",AE125="Moderado"),AND(AC125="Alta",AE125="Leve"),AND(AC125="Alta",AE125="Menor")),"Moderado",IF(OR(AND(AC125="Muy Baja",AE125="Mayor"),AND(AC125="Baja",AE125="Mayor"),AND(AC125="Media",AE125="Mayor"),AND(AC125="Alta",AE125="Moderado"),AND(AC125="Alta",AE125="Mayor"),AND(AC125="Muy Alta",AE125="Leve"),AND(AC125="Muy Alta",AE125="Menor"),AND(AC125="Muy Alta",AE125="Moderado"),AND(AC125="Muy Alta",AE125="Mayor")),"Alto",IF(OR(AND(AC125="Muy Baja",AE125="Catastrófico"),AND(AC125="Baja",AE125="Catastrófico"),AND(AC125="Media",AE125="Catastrófico"),AND(AC125="Alta",AE125="Catastrófico"),AND(AC125="Muy Alta",AE125="Catastrófico")),"Extremo","")))),"")</f>
        <v/>
      </c>
      <c r="AH125" s="237"/>
      <c r="AI125" s="318"/>
      <c r="AJ125" s="318"/>
      <c r="AK125" s="318"/>
      <c r="AL125" s="318"/>
      <c r="AM125" s="318"/>
      <c r="AN125" s="300"/>
      <c r="AO125" s="300"/>
      <c r="AP125" s="298"/>
      <c r="AQ125" s="216"/>
      <c r="AR125" s="216"/>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3"/>
      <c r="BO125" s="323"/>
      <c r="BP125" s="323"/>
      <c r="BQ125" s="323"/>
      <c r="BR125" s="323"/>
      <c r="BS125" s="323"/>
      <c r="BT125" s="323"/>
      <c r="BU125" s="323"/>
      <c r="BV125" s="323"/>
      <c r="BW125" s="323"/>
      <c r="BX125" s="323"/>
      <c r="BY125" s="323"/>
    </row>
    <row r="126" spans="1:77" s="113" customFormat="1" ht="10.5" hidden="1" customHeight="1" x14ac:dyDescent="0.2">
      <c r="A126" s="437"/>
      <c r="B126" s="438"/>
      <c r="C126" s="434"/>
      <c r="D126" s="434"/>
      <c r="E126" s="434"/>
      <c r="F126" s="435"/>
      <c r="G126" s="436"/>
      <c r="H126" s="435"/>
      <c r="I126" s="435"/>
      <c r="J126" s="439"/>
      <c r="K126" s="430"/>
      <c r="L126" s="431"/>
      <c r="M126" s="432"/>
      <c r="N126" s="310">
        <f ca="1">IF(NOT(ISERROR(MATCH(M126,_xlfn.ANCHORARRAY(G53),0))),L55&amp;"Por favor no seleccionar los criterios de impacto",M126)</f>
        <v>0</v>
      </c>
      <c r="O126" s="430"/>
      <c r="P126" s="431"/>
      <c r="Q126" s="433"/>
      <c r="R126" s="316">
        <v>6</v>
      </c>
      <c r="S126" s="330"/>
      <c r="T126" s="312"/>
      <c r="U126" s="208" t="str">
        <f t="shared" si="232"/>
        <v/>
      </c>
      <c r="V126" s="237"/>
      <c r="W126" s="237"/>
      <c r="X126" s="209" t="str">
        <f t="shared" si="233"/>
        <v/>
      </c>
      <c r="Y126" s="237"/>
      <c r="Z126" s="237"/>
      <c r="AA126" s="237"/>
      <c r="AB126" s="210" t="str">
        <f t="shared" si="230"/>
        <v/>
      </c>
      <c r="AC126" s="211" t="str">
        <f t="shared" si="227"/>
        <v/>
      </c>
      <c r="AD126" s="209" t="str">
        <f t="shared" si="231"/>
        <v/>
      </c>
      <c r="AE126" s="211" t="str">
        <f t="shared" si="228"/>
        <v/>
      </c>
      <c r="AF126" s="209" t="str">
        <f>IFERROR(IF(AND(U125="Impacto",U126="Impacto"),(AF125-(+AF125*X126)),IF(U126="Impacto",($P$31-(+$P$31*X126)),IF(U126="Probabilidad",AF125,""))),"")</f>
        <v/>
      </c>
      <c r="AG126" s="212" t="str">
        <f t="shared" si="235"/>
        <v/>
      </c>
      <c r="AH126" s="237"/>
      <c r="AI126" s="318"/>
      <c r="AJ126" s="318"/>
      <c r="AK126" s="318"/>
      <c r="AL126" s="318"/>
      <c r="AM126" s="318"/>
      <c r="AN126" s="300"/>
      <c r="AO126" s="300"/>
      <c r="AP126" s="298"/>
      <c r="AQ126" s="216"/>
      <c r="AR126" s="216"/>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row>
    <row r="127" spans="1:77" s="271" customFormat="1" ht="99.75" x14ac:dyDescent="0.2">
      <c r="A127" s="437" t="s">
        <v>837</v>
      </c>
      <c r="B127" s="438" t="s">
        <v>604</v>
      </c>
      <c r="C127" s="434" t="s">
        <v>622</v>
      </c>
      <c r="D127" s="434" t="s">
        <v>107</v>
      </c>
      <c r="E127" s="434" t="s">
        <v>839</v>
      </c>
      <c r="F127" s="435" t="s">
        <v>685</v>
      </c>
      <c r="G127" s="436" t="s">
        <v>838</v>
      </c>
      <c r="H127" s="435" t="s">
        <v>659</v>
      </c>
      <c r="I127" s="435" t="s">
        <v>753</v>
      </c>
      <c r="J127" s="439">
        <v>42</v>
      </c>
      <c r="K127" s="430" t="str">
        <f t="shared" ref="K127" si="236">IF(J127&lt;=0,"",IF(J127&lt;=2,"Muy Baja",IF(J127&lt;=24,"Baja",IF(J127&lt;=500,"Media",IF(J127&lt;=5000,"Alta","Muy Alta")))))</f>
        <v>Media</v>
      </c>
      <c r="L127" s="431">
        <f>IF(K127="","",IF(K127="Muy Baja",0.2,IF(K127="Baja",0.4,IF(K127="Media",0.6,IF(K127="Alta",0.8,IF(K127="Muy Alta",1,))))))</f>
        <v>0.6</v>
      </c>
      <c r="M127" s="432" t="s">
        <v>123</v>
      </c>
      <c r="N127" s="310" t="str">
        <f ca="1">IF(NOT(ISERROR(MATCH(M127,'Tabla Impacto'!$B$221:$B$223,0))),'Tabla Impacto'!$F$223&amp;"Por favor no seleccionar los criterios de impacto(Afectación Económica o presupuestal y Pérdida Reputacional)",M127)</f>
        <v xml:space="preserve">     El riesgo afecta la imagen de la entidad a nivel nacional, con efecto publicitarios sostenible a nivel país</v>
      </c>
      <c r="O127" s="430" t="str">
        <f ca="1">IF(OR(N127='Tabla Impacto'!$C$11,N127='Tabla Impacto'!$D$11),"Leve",IF(OR(N127='Tabla Impacto'!$C$12,N127='Tabla Impacto'!$D$12),"Menor",IF(OR(N127='Tabla Impacto'!$C$13,N127='Tabla Impacto'!$D$13),"Moderado",IF(OR(N127='Tabla Impacto'!$C$14,N127='Tabla Impacto'!$D$14),"Mayor",IF(OR(N127='Tabla Impacto'!$C$15,N127='Tabla Impacto'!$D$15),"Catastrófico","")))))</f>
        <v>Catastrófico</v>
      </c>
      <c r="P127" s="431">
        <f ca="1">IF(O127="","",IF(O127="Leve",0.2,IF(O127="Menor",0.4,IF(O127="Moderado",0.6,IF(O127="Mayor",0.8,IF(O127="Catastrófico",1,))))))</f>
        <v>1</v>
      </c>
      <c r="Q127" s="433" t="str">
        <f ca="1">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Extremo</v>
      </c>
      <c r="R127" s="261">
        <v>1</v>
      </c>
      <c r="S127" s="334" t="s">
        <v>840</v>
      </c>
      <c r="T127" s="272" t="s">
        <v>293</v>
      </c>
      <c r="U127" s="262" t="str">
        <f>IF(OR(V127="Preventivo",V127="Detectivo"),"Probabilidad",IF(V127="Correctivo","Impacto",""))</f>
        <v>Probabilidad</v>
      </c>
      <c r="V127" s="263" t="s">
        <v>13</v>
      </c>
      <c r="W127" s="263" t="s">
        <v>8</v>
      </c>
      <c r="X127" s="264" t="str">
        <f>IF(AND(V127="Preventivo",W127="Automático"),"50%",IF(AND(V127="Preventivo",W127="Manual"),"40%",IF(AND(V127="Detectivo",W127="Automático"),"40%",IF(AND(V127="Detectivo",W127="Manual"),"30%",IF(AND(V127="Correctivo",W127="Automático"),"35%",IF(AND(V127="Correctivo",W127="Manual"),"25%",""))))))</f>
        <v>40%</v>
      </c>
      <c r="Y127" s="263" t="s">
        <v>18</v>
      </c>
      <c r="Z127" s="263" t="s">
        <v>21</v>
      </c>
      <c r="AA127" s="263" t="s">
        <v>103</v>
      </c>
      <c r="AB127" s="265">
        <f t="shared" ref="AB127" si="237">IFERROR(IF(U127="Probabilidad",(L127-(+L127*X127)),IF(U127="Impacto",L127,"")),"")</f>
        <v>0.36</v>
      </c>
      <c r="AC127" s="266" t="str">
        <f>IFERROR(IF(AB127="","",IF(AB127&lt;=0.2,"Muy Baja",IF(AB127&lt;=0.4,"Baja",IF(AB127&lt;=0.6,"Media",IF(AB127&lt;=0.8,"Alta","Muy Alta"))))),"")</f>
        <v>Baja</v>
      </c>
      <c r="AD127" s="264">
        <f>+AB127</f>
        <v>0.36</v>
      </c>
      <c r="AE127" s="266" t="str">
        <f ca="1">IFERROR(IF(AF127="","",IF(AF127&lt;=0.2,"Leve",IF(AF127&lt;=0.4,"Menor",IF(AF127&lt;=0.6,"Moderado",IF(AF127&lt;=0.8,"Mayor","Catastrófico"))))),"")</f>
        <v>Catastrófico</v>
      </c>
      <c r="AF127" s="264">
        <f ca="1">IFERROR(IF(U127="Impacto",(P127-(+P127*X127)),IF(U127="Probabilidad",P127,"")),"")</f>
        <v>1</v>
      </c>
      <c r="AG127" s="267" t="str">
        <f ca="1">IFERROR(IF(OR(AND(AC127="Muy Baja",AE127="Leve"),AND(AC127="Muy Baja",AE127="Menor"),AND(AC127="Baja",AE127="Leve")),"Bajo",IF(OR(AND(AC127="Muy baja",AE127="Moderado"),AND(AC127="Baja",AE127="Menor"),AND(AC127="Baja",AE127="Moderado"),AND(AC127="Media",AE127="Leve"),AND(AC127="Media",AE127="Menor"),AND(AC127="Media",AE127="Moderado"),AND(AC127="Alta",AE127="Leve"),AND(AC127="Alta",AE127="Menor")),"Moderado",IF(OR(AND(AC127="Muy Baja",AE127="Mayor"),AND(AC127="Baja",AE127="Mayor"),AND(AC127="Media",AE127="Mayor"),AND(AC127="Alta",AE127="Moderado"),AND(AC127="Alta",AE127="Mayor"),AND(AC127="Muy Alta",AE127="Leve"),AND(AC127="Muy Alta",AE127="Menor"),AND(AC127="Muy Alta",AE127="Moderado"),AND(AC127="Muy Alta",AE127="Mayor")),"Alto",IF(OR(AND(AC127="Muy Baja",AE127="Catastrófico"),AND(AC127="Baja",AE127="Catastrófico"),AND(AC127="Media",AE127="Catastrófico"),AND(AC127="Alta",AE127="Catastrófico"),AND(AC127="Muy Alta",AE127="Catastrófico")),"Extremo","")))),"")</f>
        <v>Extremo</v>
      </c>
      <c r="AH127" s="263" t="s">
        <v>26</v>
      </c>
      <c r="AI127" s="273">
        <v>0</v>
      </c>
      <c r="AJ127" s="273">
        <v>0</v>
      </c>
      <c r="AK127" s="273">
        <v>0</v>
      </c>
      <c r="AL127" s="273">
        <v>0</v>
      </c>
      <c r="AM127" s="273">
        <v>0</v>
      </c>
      <c r="AN127" s="268"/>
      <c r="AO127" s="268"/>
      <c r="AP127" s="258"/>
      <c r="AQ127" s="269"/>
      <c r="AR127" s="270"/>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c r="BR127" s="323"/>
      <c r="BS127" s="323"/>
      <c r="BT127" s="323"/>
      <c r="BU127" s="323"/>
      <c r="BV127" s="323"/>
      <c r="BW127" s="323"/>
      <c r="BX127" s="323"/>
      <c r="BY127" s="323"/>
    </row>
    <row r="128" spans="1:77" s="113" customFormat="1" ht="24" hidden="1" customHeight="1" x14ac:dyDescent="0.2">
      <c r="A128" s="437"/>
      <c r="B128" s="438"/>
      <c r="C128" s="434"/>
      <c r="D128" s="434"/>
      <c r="E128" s="434"/>
      <c r="F128" s="435"/>
      <c r="G128" s="436"/>
      <c r="H128" s="435"/>
      <c r="I128" s="435"/>
      <c r="J128" s="439"/>
      <c r="K128" s="430"/>
      <c r="L128" s="431"/>
      <c r="M128" s="432"/>
      <c r="N128" s="310">
        <f ca="1">IF(NOT(ISERROR(MATCH(M128,_xlfn.ANCHORARRAY(G43),0))),L45&amp;"Por favor no seleccionar los criterios de impacto",M128)</f>
        <v>0</v>
      </c>
      <c r="O128" s="430"/>
      <c r="P128" s="431"/>
      <c r="Q128" s="433"/>
      <c r="R128" s="316">
        <v>2</v>
      </c>
      <c r="S128" s="330"/>
      <c r="T128" s="312"/>
      <c r="U128" s="302" t="str">
        <f>IF(OR(V128="Preventivo",V128="Detectivo"),"Probabilidad",IF(V128="Correctivo","Impacto",""))</f>
        <v/>
      </c>
      <c r="V128" s="237"/>
      <c r="W128" s="237"/>
      <c r="X128" s="209" t="str">
        <f>IF(AND(V128="Preventivo",W128="Automático"),"50%",IF(AND(V128="Preventivo",W128="Manual"),"40%",IF(AND(V128="Detectivo",W128="Automático"),"40%",IF(AND(V128="Detectivo",W128="Manual"),"30%",IF(AND(V128="Correctivo",W128="Automático"),"35%",IF(AND(V128="Correctivo",W128="Manual"),"25%",""))))))</f>
        <v/>
      </c>
      <c r="Y128" s="237"/>
      <c r="Z128" s="237"/>
      <c r="AA128" s="237"/>
      <c r="AB128" s="210" t="str">
        <f t="shared" ref="AB128" si="238">IFERROR(IF(AND(U127="Probabilidad",U128="Probabilidad"),(AD127-(+AD127*X128)),IF(U128="Probabilidad",(L127-(+L127*X128)),IF(U128="Impacto",AD127,""))),"")</f>
        <v/>
      </c>
      <c r="AC128" s="211" t="str">
        <f t="shared" ref="AC128:AC132" si="239">IFERROR(IF(AB128="","",IF(AB128&lt;=0.2,"Muy Baja",IF(AB128&lt;=0.4,"Baja",IF(AB128&lt;=0.6,"Media",IF(AB128&lt;=0.8,"Alta","Muy Alta"))))),"")</f>
        <v/>
      </c>
      <c r="AD128" s="209" t="str">
        <f>+AB128</f>
        <v/>
      </c>
      <c r="AE128" s="211" t="str">
        <f t="shared" ref="AE128:AE132" si="240">IFERROR(IF(AF128="","",IF(AF128&lt;=0.2,"Leve",IF(AF128&lt;=0.4,"Menor",IF(AF128&lt;=0.6,"Moderado",IF(AF128&lt;=0.8,"Mayor","Catastrófico"))))),"")</f>
        <v/>
      </c>
      <c r="AF128" s="209" t="str">
        <f>IFERROR(IF(AND(U127="Impacto",U128="Impacto"),(AF127-(+AF127*X128)),IF(U128="Impacto",($P$37-(+$P$37*X128)),IF(U128="Probabilidad",AF127,""))),"")</f>
        <v/>
      </c>
      <c r="AG128" s="212" t="str">
        <f t="shared" ref="AG128:AG129" si="241">IFERROR(IF(OR(AND(AC128="Muy Baja",AE128="Leve"),AND(AC128="Muy Baja",AE128="Menor"),AND(AC128="Baja",AE128="Leve")),"Bajo",IF(OR(AND(AC128="Muy baja",AE128="Moderado"),AND(AC128="Baja",AE128="Menor"),AND(AC128="Baja",AE128="Moderado"),AND(AC128="Media",AE128="Leve"),AND(AC128="Media",AE128="Menor"),AND(AC128="Media",AE128="Moderado"),AND(AC128="Alta",AE128="Leve"),AND(AC128="Alta",AE128="Menor")),"Moderado",IF(OR(AND(AC128="Muy Baja",AE128="Mayor"),AND(AC128="Baja",AE128="Mayor"),AND(AC128="Media",AE128="Mayor"),AND(AC128="Alta",AE128="Moderado"),AND(AC128="Alta",AE128="Mayor"),AND(AC128="Muy Alta",AE128="Leve"),AND(AC128="Muy Alta",AE128="Menor"),AND(AC128="Muy Alta",AE128="Moderado"),AND(AC128="Muy Alta",AE128="Mayor")),"Alto",IF(OR(AND(AC128="Muy Baja",AE128="Catastrófico"),AND(AC128="Baja",AE128="Catastrófico"),AND(AC128="Media",AE128="Catastrófico"),AND(AC128="Alta",AE128="Catastrófico"),AND(AC128="Muy Alta",AE128="Catastrófico")),"Extremo","")))),"")</f>
        <v/>
      </c>
      <c r="AH128" s="237"/>
      <c r="AI128" s="318"/>
      <c r="AJ128" s="318"/>
      <c r="AK128" s="318"/>
      <c r="AL128" s="318"/>
      <c r="AM128" s="318"/>
      <c r="AN128" s="299"/>
      <c r="AO128" s="299"/>
      <c r="AP128" s="259"/>
      <c r="AQ128" s="220"/>
      <c r="AR128" s="299"/>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323"/>
    </row>
    <row r="129" spans="1:77" s="113" customFormat="1" ht="24" hidden="1" customHeight="1" x14ac:dyDescent="0.2">
      <c r="A129" s="437"/>
      <c r="B129" s="438"/>
      <c r="C129" s="434"/>
      <c r="D129" s="434"/>
      <c r="E129" s="434"/>
      <c r="F129" s="435"/>
      <c r="G129" s="436"/>
      <c r="H129" s="435"/>
      <c r="I129" s="435"/>
      <c r="J129" s="439"/>
      <c r="K129" s="430"/>
      <c r="L129" s="431"/>
      <c r="M129" s="432"/>
      <c r="N129" s="310">
        <f ca="1">IF(NOT(ISERROR(MATCH(M129,_xlfn.ANCHORARRAY(G44),0))),L46&amp;"Por favor no seleccionar los criterios de impacto",M129)</f>
        <v>0</v>
      </c>
      <c r="O129" s="430"/>
      <c r="P129" s="431"/>
      <c r="Q129" s="433"/>
      <c r="R129" s="316">
        <v>3</v>
      </c>
      <c r="S129" s="330"/>
      <c r="T129" s="312"/>
      <c r="U129" s="302" t="str">
        <f>IF(OR(V129="Preventivo",V129="Detectivo"),"Probabilidad",IF(V129="Correctivo","Impacto",""))</f>
        <v/>
      </c>
      <c r="V129" s="237"/>
      <c r="W129" s="237"/>
      <c r="X129" s="209" t="str">
        <f>IF(AND(V129="Preventivo",W129="Automático"),"50%",IF(AND(V129="Preventivo",W129="Manual"),"40%",IF(AND(V129="Detectivo",W129="Automático"),"40%",IF(AND(V129="Detectivo",W129="Manual"),"30%",IF(AND(V129="Correctivo",W129="Automático"),"35%",IF(AND(V129="Correctivo",W129="Manual"),"25%",""))))))</f>
        <v/>
      </c>
      <c r="Y129" s="237"/>
      <c r="Z129" s="237"/>
      <c r="AA129" s="237"/>
      <c r="AB129" s="210" t="str">
        <f t="shared" ref="AB129:AB132" si="242">IFERROR(IF(AND(U128="Probabilidad",U129="Probabilidad"),(AD128-(+AD128*X129)),IF(AND(U128="Impacto",U129="Probabilidad"),(AD127-(+AD127*X129)),IF(U129="Impacto",AD128,""))),"")</f>
        <v/>
      </c>
      <c r="AC129" s="211" t="str">
        <f t="shared" si="239"/>
        <v/>
      </c>
      <c r="AD129" s="209" t="str">
        <f t="shared" ref="AD129:AD132" si="243">+AB129</f>
        <v/>
      </c>
      <c r="AE129" s="211" t="str">
        <f t="shared" si="240"/>
        <v/>
      </c>
      <c r="AF129" s="209" t="str">
        <f>IFERROR(IF(AND(U128="Impacto",U129="Impacto"),(AF128-(+AF128*X129)),IF(U129="Impacto",($P$31-(+$P$31*X129)),IF(U129="Probabilidad",AF128,""))),"")</f>
        <v/>
      </c>
      <c r="AG129" s="212" t="str">
        <f t="shared" si="241"/>
        <v/>
      </c>
      <c r="AH129" s="237"/>
      <c r="AI129" s="318"/>
      <c r="AJ129" s="318"/>
      <c r="AK129" s="318"/>
      <c r="AL129" s="318"/>
      <c r="AM129" s="318"/>
      <c r="AN129" s="299"/>
      <c r="AO129" s="299"/>
      <c r="AP129" s="259"/>
      <c r="AQ129" s="220"/>
      <c r="AR129" s="299"/>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c r="BU129" s="323"/>
      <c r="BV129" s="323"/>
      <c r="BW129" s="323"/>
      <c r="BX129" s="323"/>
      <c r="BY129" s="323"/>
    </row>
    <row r="130" spans="1:77" s="113" customFormat="1" ht="24" hidden="1" customHeight="1" x14ac:dyDescent="0.2">
      <c r="A130" s="437"/>
      <c r="B130" s="438"/>
      <c r="C130" s="434"/>
      <c r="D130" s="434"/>
      <c r="E130" s="434"/>
      <c r="F130" s="435"/>
      <c r="G130" s="436"/>
      <c r="H130" s="435"/>
      <c r="I130" s="435"/>
      <c r="J130" s="439"/>
      <c r="K130" s="430"/>
      <c r="L130" s="431"/>
      <c r="M130" s="432"/>
      <c r="N130" s="310">
        <f ca="1">IF(NOT(ISERROR(MATCH(M130,_xlfn.ANCHORARRAY(G45),0))),L47&amp;"Por favor no seleccionar los criterios de impacto",M130)</f>
        <v>0</v>
      </c>
      <c r="O130" s="430"/>
      <c r="P130" s="431"/>
      <c r="Q130" s="433"/>
      <c r="R130" s="316">
        <v>4</v>
      </c>
      <c r="S130" s="330"/>
      <c r="T130" s="312"/>
      <c r="U130" s="208" t="str">
        <f t="shared" ref="U130:U132" si="244">IF(OR(V130="Preventivo",V130="Detectivo"),"Probabilidad",IF(V130="Correctivo","Impacto",""))</f>
        <v/>
      </c>
      <c r="V130" s="237"/>
      <c r="W130" s="237"/>
      <c r="X130" s="209" t="str">
        <f t="shared" ref="X130:X132" si="245">IF(AND(V130="Preventivo",W130="Automático"),"50%",IF(AND(V130="Preventivo",W130="Manual"),"40%",IF(AND(V130="Detectivo",W130="Automático"),"40%",IF(AND(V130="Detectivo",W130="Manual"),"30%",IF(AND(V130="Correctivo",W130="Automático"),"35%",IF(AND(V130="Correctivo",W130="Manual"),"25%",""))))))</f>
        <v/>
      </c>
      <c r="Y130" s="237"/>
      <c r="Z130" s="237"/>
      <c r="AA130" s="237"/>
      <c r="AB130" s="210" t="str">
        <f t="shared" si="242"/>
        <v/>
      </c>
      <c r="AC130" s="211" t="str">
        <f t="shared" si="239"/>
        <v/>
      </c>
      <c r="AD130" s="209" t="str">
        <f t="shared" si="243"/>
        <v/>
      </c>
      <c r="AE130" s="211" t="str">
        <f t="shared" si="240"/>
        <v/>
      </c>
      <c r="AF130" s="209" t="str">
        <f t="shared" ref="AF130:AF131" si="246">IFERROR(IF(AND(U129="Impacto",U130="Impacto"),(AF129-(+AF129*X130)),IF(U130="Impacto",($P$31-(+$P$31*X130)),IF(U130="Probabilidad",AF129,""))),"")</f>
        <v/>
      </c>
      <c r="AG130" s="212" t="str">
        <f>IFERROR(IF(OR(AND(AC130="Muy Baja",AE130="Leve"),AND(AC130="Muy Baja",AE130="Menor"),AND(AC130="Baja",AE130="Leve")),"Bajo",IF(OR(AND(AC130="Muy baja",AE130="Moderado"),AND(AC130="Baja",AE130="Menor"),AND(AC130="Baja",AE130="Moderado"),AND(AC130="Media",AE130="Leve"),AND(AC130="Media",AE130="Menor"),AND(AC130="Media",AE130="Moderado"),AND(AC130="Alta",AE130="Leve"),AND(AC130="Alta",AE130="Menor")),"Moderado",IF(OR(AND(AC130="Muy Baja",AE130="Mayor"),AND(AC130="Baja",AE130="Mayor"),AND(AC130="Media",AE130="Mayor"),AND(AC130="Alta",AE130="Moderado"),AND(AC130="Alta",AE130="Mayor"),AND(AC130="Muy Alta",AE130="Leve"),AND(AC130="Muy Alta",AE130="Menor"),AND(AC130="Muy Alta",AE130="Moderado"),AND(AC130="Muy Alta",AE130="Mayor")),"Alto",IF(OR(AND(AC130="Muy Baja",AE130="Catastrófico"),AND(AC130="Baja",AE130="Catastrófico"),AND(AC130="Media",AE130="Catastrófico"),AND(AC130="Alta",AE130="Catastrófico"),AND(AC130="Muy Alta",AE130="Catastrófico")),"Extremo","")))),"")</f>
        <v/>
      </c>
      <c r="AH130" s="237"/>
      <c r="AI130" s="318"/>
      <c r="AJ130" s="318"/>
      <c r="AK130" s="318"/>
      <c r="AL130" s="318"/>
      <c r="AM130" s="318"/>
      <c r="AN130" s="213"/>
      <c r="AO130" s="213"/>
      <c r="AP130" s="301"/>
      <c r="AQ130" s="220"/>
      <c r="AR130" s="21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c r="BU130" s="323"/>
      <c r="BV130" s="323"/>
      <c r="BW130" s="323"/>
      <c r="BX130" s="323"/>
      <c r="BY130" s="323"/>
    </row>
    <row r="131" spans="1:77" s="113" customFormat="1" ht="24" hidden="1" customHeight="1" x14ac:dyDescent="0.2">
      <c r="A131" s="437"/>
      <c r="B131" s="438"/>
      <c r="C131" s="434"/>
      <c r="D131" s="434"/>
      <c r="E131" s="434"/>
      <c r="F131" s="435"/>
      <c r="G131" s="436"/>
      <c r="H131" s="435"/>
      <c r="I131" s="435"/>
      <c r="J131" s="439"/>
      <c r="K131" s="430"/>
      <c r="L131" s="431"/>
      <c r="M131" s="432"/>
      <c r="N131" s="310">
        <f ca="1">IF(NOT(ISERROR(MATCH(M131,_xlfn.ANCHORARRAY(G46),0))),L48&amp;"Por favor no seleccionar los criterios de impacto",M131)</f>
        <v>0</v>
      </c>
      <c r="O131" s="430"/>
      <c r="P131" s="431"/>
      <c r="Q131" s="433"/>
      <c r="R131" s="316">
        <v>5</v>
      </c>
      <c r="S131" s="330"/>
      <c r="T131" s="312"/>
      <c r="U131" s="208" t="str">
        <f t="shared" si="244"/>
        <v/>
      </c>
      <c r="V131" s="237"/>
      <c r="W131" s="237"/>
      <c r="X131" s="209" t="str">
        <f t="shared" si="245"/>
        <v/>
      </c>
      <c r="Y131" s="237"/>
      <c r="Z131" s="237"/>
      <c r="AA131" s="237"/>
      <c r="AB131" s="210" t="str">
        <f t="shared" si="242"/>
        <v/>
      </c>
      <c r="AC131" s="211" t="str">
        <f t="shared" si="239"/>
        <v/>
      </c>
      <c r="AD131" s="209" t="str">
        <f t="shared" si="243"/>
        <v/>
      </c>
      <c r="AE131" s="211" t="str">
        <f t="shared" si="240"/>
        <v/>
      </c>
      <c r="AF131" s="209" t="str">
        <f t="shared" si="246"/>
        <v/>
      </c>
      <c r="AG131" s="212" t="str">
        <f t="shared" ref="AG131:AG132" si="247">IFERROR(IF(OR(AND(AC131="Muy Baja",AE131="Leve"),AND(AC131="Muy Baja",AE131="Menor"),AND(AC131="Baja",AE131="Leve")),"Bajo",IF(OR(AND(AC131="Muy baja",AE131="Moderado"),AND(AC131="Baja",AE131="Menor"),AND(AC131="Baja",AE131="Moderado"),AND(AC131="Media",AE131="Leve"),AND(AC131="Media",AE131="Menor"),AND(AC131="Media",AE131="Moderado"),AND(AC131="Alta",AE131="Leve"),AND(AC131="Alta",AE131="Menor")),"Moderado",IF(OR(AND(AC131="Muy Baja",AE131="Mayor"),AND(AC131="Baja",AE131="Mayor"),AND(AC131="Media",AE131="Mayor"),AND(AC131="Alta",AE131="Moderado"),AND(AC131="Alta",AE131="Mayor"),AND(AC131="Muy Alta",AE131="Leve"),AND(AC131="Muy Alta",AE131="Menor"),AND(AC131="Muy Alta",AE131="Moderado"),AND(AC131="Muy Alta",AE131="Mayor")),"Alto",IF(OR(AND(AC131="Muy Baja",AE131="Catastrófico"),AND(AC131="Baja",AE131="Catastrófico"),AND(AC131="Media",AE131="Catastrófico"),AND(AC131="Alta",AE131="Catastrófico"),AND(AC131="Muy Alta",AE131="Catastrófico")),"Extremo","")))),"")</f>
        <v/>
      </c>
      <c r="AH131" s="237"/>
      <c r="AI131" s="318"/>
      <c r="AJ131" s="318"/>
      <c r="AK131" s="318"/>
      <c r="AL131" s="318"/>
      <c r="AM131" s="318"/>
      <c r="AN131" s="300"/>
      <c r="AO131" s="300"/>
      <c r="AP131" s="298"/>
      <c r="AQ131" s="216"/>
      <c r="AR131" s="216"/>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c r="BU131" s="323"/>
      <c r="BV131" s="323"/>
      <c r="BW131" s="323"/>
      <c r="BX131" s="323"/>
      <c r="BY131" s="323"/>
    </row>
    <row r="132" spans="1:77" s="113" customFormat="1" ht="24" hidden="1" customHeight="1" x14ac:dyDescent="0.2">
      <c r="A132" s="437"/>
      <c r="B132" s="438"/>
      <c r="C132" s="434"/>
      <c r="D132" s="434"/>
      <c r="E132" s="434"/>
      <c r="F132" s="435"/>
      <c r="G132" s="436"/>
      <c r="H132" s="435"/>
      <c r="I132" s="435"/>
      <c r="J132" s="439"/>
      <c r="K132" s="430"/>
      <c r="L132" s="431"/>
      <c r="M132" s="432"/>
      <c r="N132" s="310">
        <f ca="1">IF(NOT(ISERROR(MATCH(M132,_xlfn.ANCHORARRAY(G47),0))),L49&amp;"Por favor no seleccionar los criterios de impacto",M132)</f>
        <v>0</v>
      </c>
      <c r="O132" s="430"/>
      <c r="P132" s="431"/>
      <c r="Q132" s="433"/>
      <c r="R132" s="316">
        <v>6</v>
      </c>
      <c r="S132" s="330"/>
      <c r="T132" s="312"/>
      <c r="U132" s="208" t="str">
        <f t="shared" si="244"/>
        <v/>
      </c>
      <c r="V132" s="237"/>
      <c r="W132" s="237"/>
      <c r="X132" s="209" t="str">
        <f t="shared" si="245"/>
        <v/>
      </c>
      <c r="Y132" s="237"/>
      <c r="Z132" s="237"/>
      <c r="AA132" s="237"/>
      <c r="AB132" s="210" t="str">
        <f t="shared" si="242"/>
        <v/>
      </c>
      <c r="AC132" s="211" t="str">
        <f t="shared" si="239"/>
        <v/>
      </c>
      <c r="AD132" s="209" t="str">
        <f t="shared" si="243"/>
        <v/>
      </c>
      <c r="AE132" s="211" t="str">
        <f t="shared" si="240"/>
        <v/>
      </c>
      <c r="AF132" s="209" t="str">
        <f>IFERROR(IF(AND(U131="Impacto",U132="Impacto"),(AF131-(+AF131*X132)),IF(U132="Impacto",($P$31-(+$P$31*X132)),IF(U132="Probabilidad",AF131,""))),"")</f>
        <v/>
      </c>
      <c r="AG132" s="212" t="str">
        <f t="shared" si="247"/>
        <v/>
      </c>
      <c r="AH132" s="237"/>
      <c r="AI132" s="318"/>
      <c r="AJ132" s="318"/>
      <c r="AK132" s="318"/>
      <c r="AL132" s="318"/>
      <c r="AM132" s="318"/>
      <c r="AN132" s="300"/>
      <c r="AO132" s="300"/>
      <c r="AP132" s="298"/>
      <c r="AQ132" s="216"/>
      <c r="AR132" s="216"/>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3"/>
      <c r="BO132" s="323"/>
      <c r="BP132" s="323"/>
      <c r="BQ132" s="323"/>
      <c r="BR132" s="323"/>
      <c r="BS132" s="323"/>
      <c r="BT132" s="323"/>
      <c r="BU132" s="323"/>
      <c r="BV132" s="323"/>
      <c r="BW132" s="323"/>
      <c r="BX132" s="323"/>
      <c r="BY132" s="323"/>
    </row>
    <row r="133" spans="1:77" s="271" customFormat="1" ht="128.44999999999999" customHeight="1" x14ac:dyDescent="0.2">
      <c r="A133" s="437" t="s">
        <v>846</v>
      </c>
      <c r="B133" s="438" t="s">
        <v>603</v>
      </c>
      <c r="C133" s="434" t="s">
        <v>622</v>
      </c>
      <c r="D133" s="434" t="s">
        <v>107</v>
      </c>
      <c r="E133" s="434" t="s">
        <v>848</v>
      </c>
      <c r="F133" s="435" t="s">
        <v>685</v>
      </c>
      <c r="G133" s="436" t="s">
        <v>847</v>
      </c>
      <c r="H133" s="435" t="s">
        <v>655</v>
      </c>
      <c r="I133" s="435" t="s">
        <v>849</v>
      </c>
      <c r="J133" s="439">
        <v>40</v>
      </c>
      <c r="K133" s="430" t="str">
        <f t="shared" ref="K133" si="248">IF(J133&lt;=0,"",IF(J133&lt;=2,"Muy Baja",IF(J133&lt;=24,"Baja",IF(J133&lt;=500,"Media",IF(J133&lt;=5000,"Alta","Muy Alta")))))</f>
        <v>Media</v>
      </c>
      <c r="L133" s="431">
        <f>IF(K133="","",IF(K133="Muy Baja",0.2,IF(K133="Baja",0.4,IF(K133="Media",0.6,IF(K133="Alta",0.8,IF(K133="Muy Alta",1,))))))</f>
        <v>0.6</v>
      </c>
      <c r="M133" s="432" t="s">
        <v>122</v>
      </c>
      <c r="N133" s="310" t="str">
        <f ca="1">IF(NOT(ISERROR(MATCH(M133,'Tabla Impacto'!$B$221:$B$223,0))),'Tabla Impacto'!$F$223&amp;"Por favor no seleccionar los criterios de impacto(Afectación Económica o presupuestal y Pérdida Reputacional)",M133)</f>
        <v xml:space="preserve">     El riesgo afecta la imagen de de la entidad con efecto publicitario sostenido a nivel de sector administrativo, nivel departamental o municipal</v>
      </c>
      <c r="O133" s="430" t="str">
        <f ca="1">IF(OR(N133='Tabla Impacto'!$C$11,N133='Tabla Impacto'!$D$11),"Leve",IF(OR(N133='Tabla Impacto'!$C$12,N133='Tabla Impacto'!$D$12),"Menor",IF(OR(N133='Tabla Impacto'!$C$13,N133='Tabla Impacto'!$D$13),"Moderado",IF(OR(N133='Tabla Impacto'!$C$14,N133='Tabla Impacto'!$D$14),"Mayor",IF(OR(N133='Tabla Impacto'!$C$15,N133='Tabla Impacto'!$D$15),"Catastrófico","")))))</f>
        <v>Mayor</v>
      </c>
      <c r="P133" s="431">
        <f ca="1">IF(O133="","",IF(O133="Leve",0.2,IF(O133="Menor",0.4,IF(O133="Moderado",0.6,IF(O133="Mayor",0.8,IF(O133="Catastrófico",1,))))))</f>
        <v>0.8</v>
      </c>
      <c r="Q133" s="433" t="str">
        <f ca="1">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261">
        <v>1</v>
      </c>
      <c r="S133" s="334" t="s">
        <v>850</v>
      </c>
      <c r="T133" s="272" t="s">
        <v>293</v>
      </c>
      <c r="U133" s="262" t="str">
        <f>IF(OR(V133="Preventivo",V133="Detectivo"),"Probabilidad",IF(V133="Correctivo","Impacto",""))</f>
        <v>Probabilidad</v>
      </c>
      <c r="V133" s="263" t="s">
        <v>13</v>
      </c>
      <c r="W133" s="263" t="s">
        <v>8</v>
      </c>
      <c r="X133" s="264" t="str">
        <f>IF(AND(V133="Preventivo",W133="Automático"),"50%",IF(AND(V133="Preventivo",W133="Manual"),"40%",IF(AND(V133="Detectivo",W133="Automático"),"40%",IF(AND(V133="Detectivo",W133="Manual"),"30%",IF(AND(V133="Correctivo",W133="Automático"),"35%",IF(AND(V133="Correctivo",W133="Manual"),"25%",""))))))</f>
        <v>40%</v>
      </c>
      <c r="Y133" s="263" t="s">
        <v>18</v>
      </c>
      <c r="Z133" s="263" t="s">
        <v>21</v>
      </c>
      <c r="AA133" s="263" t="s">
        <v>103</v>
      </c>
      <c r="AB133" s="265">
        <f t="shared" ref="AB133" si="249">IFERROR(IF(U133="Probabilidad",(L133-(+L133*X133)),IF(U133="Impacto",L133,"")),"")</f>
        <v>0.36</v>
      </c>
      <c r="AC133" s="266" t="str">
        <f>IFERROR(IF(AB133="","",IF(AB133&lt;=0.2,"Muy Baja",IF(AB133&lt;=0.4,"Baja",IF(AB133&lt;=0.6,"Media",IF(AB133&lt;=0.8,"Alta","Muy Alta"))))),"")</f>
        <v>Baja</v>
      </c>
      <c r="AD133" s="264">
        <f>+AB133</f>
        <v>0.36</v>
      </c>
      <c r="AE133" s="266" t="str">
        <f ca="1">IFERROR(IF(AF133="","",IF(AF133&lt;=0.2,"Leve",IF(AF133&lt;=0.4,"Menor",IF(AF133&lt;=0.6,"Moderado",IF(AF133&lt;=0.8,"Mayor","Catastrófico"))))),"")</f>
        <v>Mayor</v>
      </c>
      <c r="AF133" s="264">
        <f ca="1">IFERROR(IF(U133="Impacto",(P133-(+P133*X133)),IF(U133="Probabilidad",P133,"")),"")</f>
        <v>0.8</v>
      </c>
      <c r="AG133" s="267" t="str">
        <f ca="1">IFERROR(IF(OR(AND(AC133="Muy Baja",AE133="Leve"),AND(AC133="Muy Baja",AE133="Menor"),AND(AC133="Baja",AE133="Leve")),"Bajo",IF(OR(AND(AC133="Muy baja",AE133="Moderado"),AND(AC133="Baja",AE133="Menor"),AND(AC133="Baja",AE133="Moderado"),AND(AC133="Media",AE133="Leve"),AND(AC133="Media",AE133="Menor"),AND(AC133="Media",AE133="Moderado"),AND(AC133="Alta",AE133="Leve"),AND(AC133="Alta",AE133="Menor")),"Moderado",IF(OR(AND(AC133="Muy Baja",AE133="Mayor"),AND(AC133="Baja",AE133="Mayor"),AND(AC133="Media",AE133="Mayor"),AND(AC133="Alta",AE133="Moderado"),AND(AC133="Alta",AE133="Mayor"),AND(AC133="Muy Alta",AE133="Leve"),AND(AC133="Muy Alta",AE133="Menor"),AND(AC133="Muy Alta",AE133="Moderado"),AND(AC133="Muy Alta",AE133="Mayor")),"Alto",IF(OR(AND(AC133="Muy Baja",AE133="Catastrófico"),AND(AC133="Baja",AE133="Catastrófico"),AND(AC133="Media",AE133="Catastrófico"),AND(AC133="Alta",AE133="Catastrófico"),AND(AC133="Muy Alta",AE133="Catastrófico")),"Extremo","")))),"")</f>
        <v>Alto</v>
      </c>
      <c r="AH133" s="263" t="s">
        <v>26</v>
      </c>
      <c r="AI133" s="273">
        <v>0</v>
      </c>
      <c r="AJ133" s="273">
        <v>0</v>
      </c>
      <c r="AK133" s="273">
        <v>0</v>
      </c>
      <c r="AL133" s="273">
        <v>0</v>
      </c>
      <c r="AM133" s="273">
        <v>0</v>
      </c>
      <c r="AN133" s="268"/>
      <c r="AO133" s="268"/>
      <c r="AP133" s="258"/>
      <c r="AQ133" s="269"/>
      <c r="AR133" s="270"/>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c r="BR133" s="323"/>
      <c r="BS133" s="323"/>
      <c r="BT133" s="323"/>
      <c r="BU133" s="323"/>
      <c r="BV133" s="323"/>
      <c r="BW133" s="323"/>
      <c r="BX133" s="323"/>
      <c r="BY133" s="323"/>
    </row>
    <row r="134" spans="1:77" s="113" customFormat="1" ht="147.75" customHeight="1" x14ac:dyDescent="0.2">
      <c r="A134" s="437"/>
      <c r="B134" s="438"/>
      <c r="C134" s="434"/>
      <c r="D134" s="434"/>
      <c r="E134" s="434"/>
      <c r="F134" s="435"/>
      <c r="G134" s="436"/>
      <c r="H134" s="435"/>
      <c r="I134" s="435"/>
      <c r="J134" s="439"/>
      <c r="K134" s="430"/>
      <c r="L134" s="431"/>
      <c r="M134" s="432"/>
      <c r="N134" s="310">
        <f ca="1">IF(NOT(ISERROR(MATCH(M134,_xlfn.ANCHORARRAY(G49),0))),L51&amp;"Por favor no seleccionar los criterios de impacto",M134)</f>
        <v>0</v>
      </c>
      <c r="O134" s="430"/>
      <c r="P134" s="431"/>
      <c r="Q134" s="433"/>
      <c r="R134" s="316">
        <v>2</v>
      </c>
      <c r="S134" s="330" t="s">
        <v>851</v>
      </c>
      <c r="T134" s="312" t="s">
        <v>293</v>
      </c>
      <c r="U134" s="302" t="str">
        <f>IF(OR(V134="Preventivo",V134="Detectivo"),"Probabilidad",IF(V134="Correctivo","Impacto",""))</f>
        <v>Probabilidad</v>
      </c>
      <c r="V134" s="237" t="s">
        <v>13</v>
      </c>
      <c r="W134" s="237" t="s">
        <v>8</v>
      </c>
      <c r="X134" s="209" t="str">
        <f>IF(AND(V134="Preventivo",W134="Automático"),"50%",IF(AND(V134="Preventivo",W134="Manual"),"40%",IF(AND(V134="Detectivo",W134="Automático"),"40%",IF(AND(V134="Detectivo",W134="Manual"),"30%",IF(AND(V134="Correctivo",W134="Automático"),"35%",IF(AND(V134="Correctivo",W134="Manual"),"25%",""))))))</f>
        <v>40%</v>
      </c>
      <c r="Y134" s="237" t="s">
        <v>18</v>
      </c>
      <c r="Z134" s="237" t="s">
        <v>21</v>
      </c>
      <c r="AA134" s="237" t="s">
        <v>103</v>
      </c>
      <c r="AB134" s="210">
        <f t="shared" ref="AB134" si="250">IFERROR(IF(AND(U133="Probabilidad",U134="Probabilidad"),(AD133-(+AD133*X134)),IF(U134="Probabilidad",(L133-(+L133*X134)),IF(U134="Impacto",AD133,""))),"")</f>
        <v>0.216</v>
      </c>
      <c r="AC134" s="211" t="str">
        <f t="shared" ref="AC134:AC138" si="251">IFERROR(IF(AB134="","",IF(AB134&lt;=0.2,"Muy Baja",IF(AB134&lt;=0.4,"Baja",IF(AB134&lt;=0.6,"Media",IF(AB134&lt;=0.8,"Alta","Muy Alta"))))),"")</f>
        <v>Baja</v>
      </c>
      <c r="AD134" s="209">
        <f>+AB134</f>
        <v>0.216</v>
      </c>
      <c r="AE134" s="211" t="str">
        <f t="shared" ref="AE134:AE138" ca="1" si="252">IFERROR(IF(AF134="","",IF(AF134&lt;=0.2,"Leve",IF(AF134&lt;=0.4,"Menor",IF(AF134&lt;=0.6,"Moderado",IF(AF134&lt;=0.8,"Mayor","Catastrófico"))))),"")</f>
        <v>Mayor</v>
      </c>
      <c r="AF134" s="209">
        <f ca="1">IFERROR(IF(AND(U133="Impacto",U134="Impacto"),(AF133-(+AF133*X134)),IF(U134="Impacto",($P$37-(+$P$37*X134)),IF(U134="Probabilidad",AF133,""))),"")</f>
        <v>0.8</v>
      </c>
      <c r="AG134" s="212" t="str">
        <f t="shared" ref="AG134:AG135" ca="1" si="253">IFERROR(IF(OR(AND(AC134="Muy Baja",AE134="Leve"),AND(AC134="Muy Baja",AE134="Menor"),AND(AC134="Baja",AE134="Leve")),"Bajo",IF(OR(AND(AC134="Muy baja",AE134="Moderado"),AND(AC134="Baja",AE134="Menor"),AND(AC134="Baja",AE134="Moderado"),AND(AC134="Media",AE134="Leve"),AND(AC134="Media",AE134="Menor"),AND(AC134="Media",AE134="Moderado"),AND(AC134="Alta",AE134="Leve"),AND(AC134="Alta",AE134="Menor")),"Moderado",IF(OR(AND(AC134="Muy Baja",AE134="Mayor"),AND(AC134="Baja",AE134="Mayor"),AND(AC134="Media",AE134="Mayor"),AND(AC134="Alta",AE134="Moderado"),AND(AC134="Alta",AE134="Mayor"),AND(AC134="Muy Alta",AE134="Leve"),AND(AC134="Muy Alta",AE134="Menor"),AND(AC134="Muy Alta",AE134="Moderado"),AND(AC134="Muy Alta",AE134="Mayor")),"Alto",IF(OR(AND(AC134="Muy Baja",AE134="Catastrófico"),AND(AC134="Baja",AE134="Catastrófico"),AND(AC134="Media",AE134="Catastrófico"),AND(AC134="Alta",AE134="Catastrófico"),AND(AC134="Muy Alta",AE134="Catastrófico")),"Extremo","")))),"")</f>
        <v>Alto</v>
      </c>
      <c r="AH134" s="237" t="s">
        <v>26</v>
      </c>
      <c r="AI134" s="318">
        <v>0</v>
      </c>
      <c r="AJ134" s="318">
        <v>0</v>
      </c>
      <c r="AK134" s="318">
        <v>0</v>
      </c>
      <c r="AL134" s="318">
        <v>0</v>
      </c>
      <c r="AM134" s="318">
        <v>0</v>
      </c>
      <c r="AN134" s="299"/>
      <c r="AO134" s="299"/>
      <c r="AP134" s="259"/>
      <c r="AQ134" s="220"/>
      <c r="AR134" s="299"/>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c r="BW134" s="323"/>
      <c r="BX134" s="323"/>
      <c r="BY134" s="323"/>
    </row>
    <row r="135" spans="1:77" s="113" customFormat="1" ht="99.75" x14ac:dyDescent="0.2">
      <c r="A135" s="437"/>
      <c r="B135" s="438"/>
      <c r="C135" s="434"/>
      <c r="D135" s="434"/>
      <c r="E135" s="434"/>
      <c r="F135" s="435"/>
      <c r="G135" s="436"/>
      <c r="H135" s="435"/>
      <c r="I135" s="435"/>
      <c r="J135" s="439"/>
      <c r="K135" s="430"/>
      <c r="L135" s="431"/>
      <c r="M135" s="432"/>
      <c r="N135" s="310">
        <f ca="1">IF(NOT(ISERROR(MATCH(M135,_xlfn.ANCHORARRAY(G50),0))),L52&amp;"Por favor no seleccionar los criterios de impacto",M135)</f>
        <v>0</v>
      </c>
      <c r="O135" s="430"/>
      <c r="P135" s="431"/>
      <c r="Q135" s="433"/>
      <c r="R135" s="316">
        <v>3</v>
      </c>
      <c r="S135" s="330" t="s">
        <v>852</v>
      </c>
      <c r="T135" s="312" t="s">
        <v>293</v>
      </c>
      <c r="U135" s="302" t="str">
        <f>IF(OR(V135="Preventivo",V135="Detectivo"),"Probabilidad",IF(V135="Correctivo","Impacto",""))</f>
        <v>Probabilidad</v>
      </c>
      <c r="V135" s="237" t="s">
        <v>13</v>
      </c>
      <c r="W135" s="237" t="s">
        <v>8</v>
      </c>
      <c r="X135" s="209" t="str">
        <f>IF(AND(V135="Preventivo",W135="Automático"),"50%",IF(AND(V135="Preventivo",W135="Manual"),"40%",IF(AND(V135="Detectivo",W135="Automático"),"40%",IF(AND(V135="Detectivo",W135="Manual"),"30%",IF(AND(V135="Correctivo",W135="Automático"),"35%",IF(AND(V135="Correctivo",W135="Manual"),"25%",""))))))</f>
        <v>40%</v>
      </c>
      <c r="Y135" s="237" t="s">
        <v>18</v>
      </c>
      <c r="Z135" s="237" t="s">
        <v>21</v>
      </c>
      <c r="AA135" s="237" t="s">
        <v>103</v>
      </c>
      <c r="AB135" s="210">
        <f t="shared" ref="AB135:AB138" si="254">IFERROR(IF(AND(U134="Probabilidad",U135="Probabilidad"),(AD134-(+AD134*X135)),IF(AND(U134="Impacto",U135="Probabilidad"),(AD133-(+AD133*X135)),IF(U135="Impacto",AD134,""))),"")</f>
        <v>0.12959999999999999</v>
      </c>
      <c r="AC135" s="211" t="str">
        <f t="shared" si="251"/>
        <v>Muy Baja</v>
      </c>
      <c r="AD135" s="209">
        <f t="shared" ref="AD135:AD138" si="255">+AB135</f>
        <v>0.12959999999999999</v>
      </c>
      <c r="AE135" s="211" t="str">
        <f t="shared" ca="1" si="252"/>
        <v>Mayor</v>
      </c>
      <c r="AF135" s="209">
        <f ca="1">IFERROR(IF(AND(U134="Impacto",U135="Impacto"),(AF134-(+AF134*X135)),IF(U135="Impacto",($P$31-(+$P$31*X135)),IF(U135="Probabilidad",AF134,""))),"")</f>
        <v>0.8</v>
      </c>
      <c r="AG135" s="212" t="str">
        <f t="shared" ca="1" si="253"/>
        <v>Alto</v>
      </c>
      <c r="AH135" s="237" t="s">
        <v>26</v>
      </c>
      <c r="AI135" s="318">
        <v>0</v>
      </c>
      <c r="AJ135" s="318">
        <v>0</v>
      </c>
      <c r="AK135" s="318">
        <v>0</v>
      </c>
      <c r="AL135" s="318">
        <v>0</v>
      </c>
      <c r="AM135" s="318">
        <v>0</v>
      </c>
      <c r="AN135" s="299"/>
      <c r="AO135" s="299"/>
      <c r="AP135" s="259"/>
      <c r="AQ135" s="220"/>
      <c r="AR135" s="299"/>
      <c r="AS135" s="323"/>
      <c r="AT135" s="323"/>
      <c r="AU135" s="323"/>
      <c r="AV135" s="323"/>
      <c r="AW135" s="323"/>
      <c r="AX135" s="323"/>
      <c r="AY135" s="323"/>
      <c r="AZ135" s="323"/>
      <c r="BA135" s="323"/>
      <c r="BB135" s="323"/>
      <c r="BC135" s="323"/>
      <c r="BD135" s="323"/>
      <c r="BE135" s="323"/>
      <c r="BF135" s="323"/>
      <c r="BG135" s="323"/>
      <c r="BH135" s="323"/>
      <c r="BI135" s="323"/>
      <c r="BJ135" s="323"/>
      <c r="BK135" s="323"/>
      <c r="BL135" s="323"/>
      <c r="BM135" s="323"/>
      <c r="BN135" s="323"/>
      <c r="BO135" s="323"/>
      <c r="BP135" s="323"/>
      <c r="BQ135" s="323"/>
      <c r="BR135" s="323"/>
      <c r="BS135" s="323"/>
      <c r="BT135" s="323"/>
      <c r="BU135" s="323"/>
      <c r="BV135" s="323"/>
      <c r="BW135" s="323"/>
      <c r="BX135" s="323"/>
      <c r="BY135" s="323"/>
    </row>
    <row r="136" spans="1:77" s="113" customFormat="1" ht="15" hidden="1" customHeight="1" x14ac:dyDescent="0.2">
      <c r="A136" s="437"/>
      <c r="B136" s="438"/>
      <c r="C136" s="434"/>
      <c r="D136" s="434"/>
      <c r="E136" s="434"/>
      <c r="F136" s="435"/>
      <c r="G136" s="436"/>
      <c r="H136" s="435"/>
      <c r="I136" s="435"/>
      <c r="J136" s="439"/>
      <c r="K136" s="430"/>
      <c r="L136" s="431"/>
      <c r="M136" s="432"/>
      <c r="N136" s="310">
        <f ca="1">IF(NOT(ISERROR(MATCH(M136,_xlfn.ANCHORARRAY(G51),0))),L53&amp;"Por favor no seleccionar los criterios de impacto",M136)</f>
        <v>0</v>
      </c>
      <c r="O136" s="430"/>
      <c r="P136" s="431"/>
      <c r="Q136" s="433"/>
      <c r="R136" s="316">
        <v>4</v>
      </c>
      <c r="S136" s="330"/>
      <c r="T136" s="312"/>
      <c r="U136" s="208" t="str">
        <f t="shared" ref="U136:U138" si="256">IF(OR(V136="Preventivo",V136="Detectivo"),"Probabilidad",IF(V136="Correctivo","Impacto",""))</f>
        <v/>
      </c>
      <c r="V136" s="237"/>
      <c r="W136" s="237"/>
      <c r="X136" s="209" t="str">
        <f t="shared" ref="X136:X138" si="257">IF(AND(V136="Preventivo",W136="Automático"),"50%",IF(AND(V136="Preventivo",W136="Manual"),"40%",IF(AND(V136="Detectivo",W136="Automático"),"40%",IF(AND(V136="Detectivo",W136="Manual"),"30%",IF(AND(V136="Correctivo",W136="Automático"),"35%",IF(AND(V136="Correctivo",W136="Manual"),"25%",""))))))</f>
        <v/>
      </c>
      <c r="Y136" s="237"/>
      <c r="Z136" s="237"/>
      <c r="AA136" s="237"/>
      <c r="AB136" s="210" t="str">
        <f t="shared" si="254"/>
        <v/>
      </c>
      <c r="AC136" s="211" t="str">
        <f t="shared" si="251"/>
        <v/>
      </c>
      <c r="AD136" s="209" t="str">
        <f t="shared" si="255"/>
        <v/>
      </c>
      <c r="AE136" s="211" t="str">
        <f t="shared" si="252"/>
        <v/>
      </c>
      <c r="AF136" s="209" t="str">
        <f t="shared" ref="AF136:AF137" si="258">IFERROR(IF(AND(U135="Impacto",U136="Impacto"),(AF135-(+AF135*X136)),IF(U136="Impacto",($P$31-(+$P$31*X136)),IF(U136="Probabilidad",AF135,""))),"")</f>
        <v/>
      </c>
      <c r="AG136" s="212" t="str">
        <f>IFERROR(IF(OR(AND(AC136="Muy Baja",AE136="Leve"),AND(AC136="Muy Baja",AE136="Menor"),AND(AC136="Baja",AE136="Leve")),"Bajo",IF(OR(AND(AC136="Muy baja",AE136="Moderado"),AND(AC136="Baja",AE136="Menor"),AND(AC136="Baja",AE136="Moderado"),AND(AC136="Media",AE136="Leve"),AND(AC136="Media",AE136="Menor"),AND(AC136="Media",AE136="Moderado"),AND(AC136="Alta",AE136="Leve"),AND(AC136="Alta",AE136="Menor")),"Moderado",IF(OR(AND(AC136="Muy Baja",AE136="Mayor"),AND(AC136="Baja",AE136="Mayor"),AND(AC136="Media",AE136="Mayor"),AND(AC136="Alta",AE136="Moderado"),AND(AC136="Alta",AE136="Mayor"),AND(AC136="Muy Alta",AE136="Leve"),AND(AC136="Muy Alta",AE136="Menor"),AND(AC136="Muy Alta",AE136="Moderado"),AND(AC136="Muy Alta",AE136="Mayor")),"Alto",IF(OR(AND(AC136="Muy Baja",AE136="Catastrófico"),AND(AC136="Baja",AE136="Catastrófico"),AND(AC136="Media",AE136="Catastrófico"),AND(AC136="Alta",AE136="Catastrófico"),AND(AC136="Muy Alta",AE136="Catastrófico")),"Extremo","")))),"")</f>
        <v/>
      </c>
      <c r="AH136" s="237"/>
      <c r="AI136" s="318"/>
      <c r="AJ136" s="318"/>
      <c r="AK136" s="318"/>
      <c r="AL136" s="318"/>
      <c r="AM136" s="318"/>
      <c r="AN136" s="213"/>
      <c r="AO136" s="213"/>
      <c r="AP136" s="301"/>
      <c r="AQ136" s="220"/>
      <c r="AR136" s="21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c r="BR136" s="323"/>
      <c r="BS136" s="323"/>
      <c r="BT136" s="323"/>
      <c r="BU136" s="323"/>
      <c r="BV136" s="323"/>
      <c r="BW136" s="323"/>
      <c r="BX136" s="323"/>
      <c r="BY136" s="323"/>
    </row>
    <row r="137" spans="1:77" s="113" customFormat="1" ht="15" hidden="1" customHeight="1" x14ac:dyDescent="0.2">
      <c r="A137" s="437"/>
      <c r="B137" s="438"/>
      <c r="C137" s="434"/>
      <c r="D137" s="434"/>
      <c r="E137" s="434"/>
      <c r="F137" s="435"/>
      <c r="G137" s="436"/>
      <c r="H137" s="435"/>
      <c r="I137" s="435"/>
      <c r="J137" s="439"/>
      <c r="K137" s="430"/>
      <c r="L137" s="431"/>
      <c r="M137" s="432"/>
      <c r="N137" s="310">
        <f ca="1">IF(NOT(ISERROR(MATCH(M137,_xlfn.ANCHORARRAY(G52),0))),L54&amp;"Por favor no seleccionar los criterios de impacto",M137)</f>
        <v>0</v>
      </c>
      <c r="O137" s="430"/>
      <c r="P137" s="431"/>
      <c r="Q137" s="433"/>
      <c r="R137" s="316">
        <v>5</v>
      </c>
      <c r="S137" s="330"/>
      <c r="T137" s="312"/>
      <c r="U137" s="208" t="str">
        <f t="shared" si="256"/>
        <v/>
      </c>
      <c r="V137" s="237"/>
      <c r="W137" s="237"/>
      <c r="X137" s="209" t="str">
        <f t="shared" si="257"/>
        <v/>
      </c>
      <c r="Y137" s="237"/>
      <c r="Z137" s="237"/>
      <c r="AA137" s="237"/>
      <c r="AB137" s="210" t="str">
        <f t="shared" si="254"/>
        <v/>
      </c>
      <c r="AC137" s="211" t="str">
        <f t="shared" si="251"/>
        <v/>
      </c>
      <c r="AD137" s="209" t="str">
        <f t="shared" si="255"/>
        <v/>
      </c>
      <c r="AE137" s="211" t="str">
        <f t="shared" si="252"/>
        <v/>
      </c>
      <c r="AF137" s="209" t="str">
        <f t="shared" si="258"/>
        <v/>
      </c>
      <c r="AG137" s="212" t="str">
        <f t="shared" ref="AG137:AG138" si="259">IFERROR(IF(OR(AND(AC137="Muy Baja",AE137="Leve"),AND(AC137="Muy Baja",AE137="Menor"),AND(AC137="Baja",AE137="Leve")),"Bajo",IF(OR(AND(AC137="Muy baja",AE137="Moderado"),AND(AC137="Baja",AE137="Menor"),AND(AC137="Baja",AE137="Moderado"),AND(AC137="Media",AE137="Leve"),AND(AC137="Media",AE137="Menor"),AND(AC137="Media",AE137="Moderado"),AND(AC137="Alta",AE137="Leve"),AND(AC137="Alta",AE137="Menor")),"Moderado",IF(OR(AND(AC137="Muy Baja",AE137="Mayor"),AND(AC137="Baja",AE137="Mayor"),AND(AC137="Media",AE137="Mayor"),AND(AC137="Alta",AE137="Moderado"),AND(AC137="Alta",AE137="Mayor"),AND(AC137="Muy Alta",AE137="Leve"),AND(AC137="Muy Alta",AE137="Menor"),AND(AC137="Muy Alta",AE137="Moderado"),AND(AC137="Muy Alta",AE137="Mayor")),"Alto",IF(OR(AND(AC137="Muy Baja",AE137="Catastrófico"),AND(AC137="Baja",AE137="Catastrófico"),AND(AC137="Media",AE137="Catastrófico"),AND(AC137="Alta",AE137="Catastrófico"),AND(AC137="Muy Alta",AE137="Catastrófico")),"Extremo","")))),"")</f>
        <v/>
      </c>
      <c r="AH137" s="237"/>
      <c r="AI137" s="318"/>
      <c r="AJ137" s="318"/>
      <c r="AK137" s="318"/>
      <c r="AL137" s="318"/>
      <c r="AM137" s="318"/>
      <c r="AN137" s="300"/>
      <c r="AO137" s="300"/>
      <c r="AP137" s="298"/>
      <c r="AQ137" s="216"/>
      <c r="AR137" s="216"/>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c r="BR137" s="323"/>
      <c r="BS137" s="323"/>
      <c r="BT137" s="323"/>
      <c r="BU137" s="323"/>
      <c r="BV137" s="323"/>
      <c r="BW137" s="323"/>
      <c r="BX137" s="323"/>
      <c r="BY137" s="323"/>
    </row>
    <row r="138" spans="1:77" s="113" customFormat="1" ht="15" hidden="1" customHeight="1" x14ac:dyDescent="0.2">
      <c r="A138" s="437"/>
      <c r="B138" s="438"/>
      <c r="C138" s="434"/>
      <c r="D138" s="434"/>
      <c r="E138" s="434"/>
      <c r="F138" s="435"/>
      <c r="G138" s="436"/>
      <c r="H138" s="435"/>
      <c r="I138" s="435"/>
      <c r="J138" s="439"/>
      <c r="K138" s="430"/>
      <c r="L138" s="431"/>
      <c r="M138" s="432"/>
      <c r="N138" s="310">
        <f ca="1">IF(NOT(ISERROR(MATCH(M138,_xlfn.ANCHORARRAY(G53),0))),L55&amp;"Por favor no seleccionar los criterios de impacto",M138)</f>
        <v>0</v>
      </c>
      <c r="O138" s="430"/>
      <c r="P138" s="431"/>
      <c r="Q138" s="433"/>
      <c r="R138" s="316">
        <v>6</v>
      </c>
      <c r="S138" s="330"/>
      <c r="T138" s="312"/>
      <c r="U138" s="208" t="str">
        <f t="shared" si="256"/>
        <v/>
      </c>
      <c r="V138" s="237"/>
      <c r="W138" s="237"/>
      <c r="X138" s="209" t="str">
        <f t="shared" si="257"/>
        <v/>
      </c>
      <c r="Y138" s="237"/>
      <c r="Z138" s="237"/>
      <c r="AA138" s="237"/>
      <c r="AB138" s="210" t="str">
        <f t="shared" si="254"/>
        <v/>
      </c>
      <c r="AC138" s="211" t="str">
        <f t="shared" si="251"/>
        <v/>
      </c>
      <c r="AD138" s="209" t="str">
        <f t="shared" si="255"/>
        <v/>
      </c>
      <c r="AE138" s="211" t="str">
        <f t="shared" si="252"/>
        <v/>
      </c>
      <c r="AF138" s="209" t="str">
        <f>IFERROR(IF(AND(U137="Impacto",U138="Impacto"),(AF137-(+AF137*X138)),IF(U138="Impacto",($P$31-(+$P$31*X138)),IF(U138="Probabilidad",AF137,""))),"")</f>
        <v/>
      </c>
      <c r="AG138" s="212" t="str">
        <f t="shared" si="259"/>
        <v/>
      </c>
      <c r="AH138" s="237"/>
      <c r="AI138" s="318"/>
      <c r="AJ138" s="318"/>
      <c r="AK138" s="318"/>
      <c r="AL138" s="318"/>
      <c r="AM138" s="318"/>
      <c r="AN138" s="300"/>
      <c r="AO138" s="300"/>
      <c r="AP138" s="298"/>
      <c r="AQ138" s="216"/>
      <c r="AR138" s="216"/>
      <c r="AS138" s="323"/>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c r="BR138" s="323"/>
      <c r="BS138" s="323"/>
      <c r="BT138" s="323"/>
      <c r="BU138" s="323"/>
      <c r="BV138" s="323"/>
      <c r="BW138" s="323"/>
      <c r="BX138" s="323"/>
      <c r="BY138" s="323"/>
    </row>
    <row r="139" spans="1:77" s="271" customFormat="1" ht="99.75" x14ac:dyDescent="0.2">
      <c r="A139" s="437" t="s">
        <v>853</v>
      </c>
      <c r="B139" s="438" t="s">
        <v>603</v>
      </c>
      <c r="C139" s="434" t="s">
        <v>622</v>
      </c>
      <c r="D139" s="434" t="s">
        <v>107</v>
      </c>
      <c r="E139" s="434" t="s">
        <v>855</v>
      </c>
      <c r="F139" s="435" t="s">
        <v>685</v>
      </c>
      <c r="G139" s="436" t="s">
        <v>854</v>
      </c>
      <c r="H139" s="435" t="s">
        <v>655</v>
      </c>
      <c r="I139" s="435" t="s">
        <v>753</v>
      </c>
      <c r="J139" s="439">
        <v>40</v>
      </c>
      <c r="K139" s="430" t="str">
        <f t="shared" ref="K139" si="260">IF(J139&lt;=0,"",IF(J139&lt;=2,"Muy Baja",IF(J139&lt;=24,"Baja",IF(J139&lt;=500,"Media",IF(J139&lt;=5000,"Alta","Muy Alta")))))</f>
        <v>Media</v>
      </c>
      <c r="L139" s="431">
        <f>IF(K139="","",IF(K139="Muy Baja",0.2,IF(K139="Baja",0.4,IF(K139="Media",0.6,IF(K139="Alta",0.8,IF(K139="Muy Alta",1,))))))</f>
        <v>0.6</v>
      </c>
      <c r="M139" s="432" t="s">
        <v>122</v>
      </c>
      <c r="N139" s="310" t="str">
        <f ca="1">IF(NOT(ISERROR(MATCH(M139,'Tabla Impacto'!$B$221:$B$223,0))),'Tabla Impacto'!$F$223&amp;"Por favor no seleccionar los criterios de impacto(Afectación Económica o presupuestal y Pérdida Reputacional)",M139)</f>
        <v xml:space="preserve">     El riesgo afecta la imagen de de la entidad con efecto publicitario sostenido a nivel de sector administrativo, nivel departamental o municipal</v>
      </c>
      <c r="O139" s="430" t="str">
        <f ca="1">IF(OR(N139='Tabla Impacto'!$C$11,N139='Tabla Impacto'!$D$11),"Leve",IF(OR(N139='Tabla Impacto'!$C$12,N139='Tabla Impacto'!$D$12),"Menor",IF(OR(N139='Tabla Impacto'!$C$13,N139='Tabla Impacto'!$D$13),"Moderado",IF(OR(N139='Tabla Impacto'!$C$14,N139='Tabla Impacto'!$D$14),"Mayor",IF(OR(N139='Tabla Impacto'!$C$15,N139='Tabla Impacto'!$D$15),"Catastrófico","")))))</f>
        <v>Mayor</v>
      </c>
      <c r="P139" s="431">
        <f ca="1">IF(O139="","",IF(O139="Leve",0.2,IF(O139="Menor",0.4,IF(O139="Moderado",0.6,IF(O139="Mayor",0.8,IF(O139="Catastrófico",1,))))))</f>
        <v>0.8</v>
      </c>
      <c r="Q139" s="433" t="str">
        <f ca="1">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Alto</v>
      </c>
      <c r="R139" s="261">
        <v>1</v>
      </c>
      <c r="S139" s="334" t="s">
        <v>856</v>
      </c>
      <c r="T139" s="272" t="s">
        <v>293</v>
      </c>
      <c r="U139" s="262" t="str">
        <f>IF(OR(V139="Preventivo",V139="Detectivo"),"Probabilidad",IF(V139="Correctivo","Impacto",""))</f>
        <v>Probabilidad</v>
      </c>
      <c r="V139" s="263" t="s">
        <v>13</v>
      </c>
      <c r="W139" s="263" t="s">
        <v>8</v>
      </c>
      <c r="X139" s="264" t="str">
        <f>IF(AND(V139="Preventivo",W139="Automático"),"50%",IF(AND(V139="Preventivo",W139="Manual"),"40%",IF(AND(V139="Detectivo",W139="Automático"),"40%",IF(AND(V139="Detectivo",W139="Manual"),"30%",IF(AND(V139="Correctivo",W139="Automático"),"35%",IF(AND(V139="Correctivo",W139="Manual"),"25%",""))))))</f>
        <v>40%</v>
      </c>
      <c r="Y139" s="263" t="s">
        <v>18</v>
      </c>
      <c r="Z139" s="263" t="s">
        <v>21</v>
      </c>
      <c r="AA139" s="263" t="s">
        <v>103</v>
      </c>
      <c r="AB139" s="265">
        <f t="shared" ref="AB139" si="261">IFERROR(IF(U139="Probabilidad",(L139-(+L139*X139)),IF(U139="Impacto",L139,"")),"")</f>
        <v>0.36</v>
      </c>
      <c r="AC139" s="266" t="str">
        <f>IFERROR(IF(AB139="","",IF(AB139&lt;=0.2,"Muy Baja",IF(AB139&lt;=0.4,"Baja",IF(AB139&lt;=0.6,"Media",IF(AB139&lt;=0.8,"Alta","Muy Alta"))))),"")</f>
        <v>Baja</v>
      </c>
      <c r="AD139" s="264">
        <f>+AB139</f>
        <v>0.36</v>
      </c>
      <c r="AE139" s="266" t="str">
        <f ca="1">IFERROR(IF(AF139="","",IF(AF139&lt;=0.2,"Leve",IF(AF139&lt;=0.4,"Menor",IF(AF139&lt;=0.6,"Moderado",IF(AF139&lt;=0.8,"Mayor","Catastrófico"))))),"")</f>
        <v>Mayor</v>
      </c>
      <c r="AF139" s="264">
        <f ca="1">IFERROR(IF(U139="Impacto",(P139-(+P139*X139)),IF(U139="Probabilidad",P139,"")),"")</f>
        <v>0.8</v>
      </c>
      <c r="AG139" s="267" t="str">
        <f ca="1">IFERROR(IF(OR(AND(AC139="Muy Baja",AE139="Leve"),AND(AC139="Muy Baja",AE139="Menor"),AND(AC139="Baja",AE139="Leve")),"Bajo",IF(OR(AND(AC139="Muy baja",AE139="Moderado"),AND(AC139="Baja",AE139="Menor"),AND(AC139="Baja",AE139="Moderado"),AND(AC139="Media",AE139="Leve"),AND(AC139="Media",AE139="Menor"),AND(AC139="Media",AE139="Moderado"),AND(AC139="Alta",AE139="Leve"),AND(AC139="Alta",AE139="Menor")),"Moderado",IF(OR(AND(AC139="Muy Baja",AE139="Mayor"),AND(AC139="Baja",AE139="Mayor"),AND(AC139="Media",AE139="Mayor"),AND(AC139="Alta",AE139="Moderado"),AND(AC139="Alta",AE139="Mayor"),AND(AC139="Muy Alta",AE139="Leve"),AND(AC139="Muy Alta",AE139="Menor"),AND(AC139="Muy Alta",AE139="Moderado"),AND(AC139="Muy Alta",AE139="Mayor")),"Alto",IF(OR(AND(AC139="Muy Baja",AE139="Catastrófico"),AND(AC139="Baja",AE139="Catastrófico"),AND(AC139="Media",AE139="Catastrófico"),AND(AC139="Alta",AE139="Catastrófico"),AND(AC139="Muy Alta",AE139="Catastrófico")),"Extremo","")))),"")</f>
        <v>Alto</v>
      </c>
      <c r="AH139" s="263" t="s">
        <v>26</v>
      </c>
      <c r="AI139" s="273">
        <v>0</v>
      </c>
      <c r="AJ139" s="273">
        <v>0</v>
      </c>
      <c r="AK139" s="273">
        <v>0</v>
      </c>
      <c r="AL139" s="273">
        <v>0</v>
      </c>
      <c r="AM139" s="273">
        <v>0</v>
      </c>
      <c r="AN139" s="268"/>
      <c r="AO139" s="268"/>
      <c r="AP139" s="258"/>
      <c r="AQ139" s="269"/>
      <c r="AR139" s="270"/>
      <c r="AS139" s="323"/>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c r="BR139" s="323"/>
      <c r="BS139" s="323"/>
      <c r="BT139" s="323"/>
      <c r="BU139" s="323"/>
      <c r="BV139" s="323"/>
      <c r="BW139" s="323"/>
      <c r="BX139" s="323"/>
      <c r="BY139" s="323"/>
    </row>
    <row r="140" spans="1:77" s="113" customFormat="1" ht="114" x14ac:dyDescent="0.2">
      <c r="A140" s="437"/>
      <c r="B140" s="438"/>
      <c r="C140" s="434"/>
      <c r="D140" s="434"/>
      <c r="E140" s="434"/>
      <c r="F140" s="435"/>
      <c r="G140" s="436"/>
      <c r="H140" s="435"/>
      <c r="I140" s="435"/>
      <c r="J140" s="439"/>
      <c r="K140" s="430"/>
      <c r="L140" s="431"/>
      <c r="M140" s="432"/>
      <c r="N140" s="310">
        <f ca="1">IF(NOT(ISERROR(MATCH(M140,_xlfn.ANCHORARRAY(G43),0))),L45&amp;"Por favor no seleccionar los criterios de impacto",M140)</f>
        <v>0</v>
      </c>
      <c r="O140" s="430"/>
      <c r="P140" s="431"/>
      <c r="Q140" s="433"/>
      <c r="R140" s="316">
        <v>2</v>
      </c>
      <c r="S140" s="330" t="s">
        <v>857</v>
      </c>
      <c r="T140" s="312" t="s">
        <v>293</v>
      </c>
      <c r="U140" s="302" t="str">
        <f>IF(OR(V140="Preventivo",V140="Detectivo"),"Probabilidad",IF(V140="Correctivo","Impacto",""))</f>
        <v>Impacto</v>
      </c>
      <c r="V140" s="237" t="s">
        <v>15</v>
      </c>
      <c r="W140" s="237" t="s">
        <v>8</v>
      </c>
      <c r="X140" s="209" t="str">
        <f>IF(AND(V140="Preventivo",W140="Automático"),"50%",IF(AND(V140="Preventivo",W140="Manual"),"40%",IF(AND(V140="Detectivo",W140="Automático"),"40%",IF(AND(V140="Detectivo",W140="Manual"),"30%",IF(AND(V140="Correctivo",W140="Automático"),"35%",IF(AND(V140="Correctivo",W140="Manual"),"25%",""))))))</f>
        <v>25%</v>
      </c>
      <c r="Y140" s="237" t="s">
        <v>18</v>
      </c>
      <c r="Z140" s="237" t="s">
        <v>21</v>
      </c>
      <c r="AA140" s="237" t="s">
        <v>103</v>
      </c>
      <c r="AB140" s="210">
        <f t="shared" ref="AB140" si="262">IFERROR(IF(AND(U139="Probabilidad",U140="Probabilidad"),(AD139-(+AD139*X140)),IF(U140="Probabilidad",(L139-(+L139*X140)),IF(U140="Impacto",AD139,""))),"")</f>
        <v>0.36</v>
      </c>
      <c r="AC140" s="211" t="str">
        <f t="shared" ref="AC140:AC144" si="263">IFERROR(IF(AB140="","",IF(AB140&lt;=0.2,"Muy Baja",IF(AB140&lt;=0.4,"Baja",IF(AB140&lt;=0.6,"Media",IF(AB140&lt;=0.8,"Alta","Muy Alta"))))),"")</f>
        <v>Baja</v>
      </c>
      <c r="AD140" s="209">
        <f>+AB140</f>
        <v>0.36</v>
      </c>
      <c r="AE140" s="211" t="str">
        <f t="shared" ref="AE140:AE144" ca="1" si="264">IFERROR(IF(AF140="","",IF(AF140&lt;=0.2,"Leve",IF(AF140&lt;=0.4,"Menor",IF(AF140&lt;=0.6,"Moderado",IF(AF140&lt;=0.8,"Mayor","Catastrófico"))))),"")</f>
        <v>Moderado</v>
      </c>
      <c r="AF140" s="209">
        <f ca="1">IFERROR(IF(AND(U139="Impacto",U140="Impacto"),(AF139-(+AF139*X140)),IF(U140="Impacto",($P$139-(+$P$139*X140)),IF(U140="Probabilidad",AF139,""))),"")</f>
        <v>0.60000000000000009</v>
      </c>
      <c r="AG140" s="212" t="str">
        <f t="shared" ref="AG140:AG141" ca="1" si="265">IFERROR(IF(OR(AND(AC140="Muy Baja",AE140="Leve"),AND(AC140="Muy Baja",AE140="Menor"),AND(AC140="Baja",AE140="Leve")),"Bajo",IF(OR(AND(AC140="Muy baja",AE140="Moderado"),AND(AC140="Baja",AE140="Menor"),AND(AC140="Baja",AE140="Moderado"),AND(AC140="Media",AE140="Leve"),AND(AC140="Media",AE140="Menor"),AND(AC140="Media",AE140="Moderado"),AND(AC140="Alta",AE140="Leve"),AND(AC140="Alta",AE140="Menor")),"Moderado",IF(OR(AND(AC140="Muy Baja",AE140="Mayor"),AND(AC140="Baja",AE140="Mayor"),AND(AC140="Media",AE140="Mayor"),AND(AC140="Alta",AE140="Moderado"),AND(AC140="Alta",AE140="Mayor"),AND(AC140="Muy Alta",AE140="Leve"),AND(AC140="Muy Alta",AE140="Menor"),AND(AC140="Muy Alta",AE140="Moderado"),AND(AC140="Muy Alta",AE140="Mayor")),"Alto",IF(OR(AND(AC140="Muy Baja",AE140="Catastrófico"),AND(AC140="Baja",AE140="Catastrófico"),AND(AC140="Media",AE140="Catastrófico"),AND(AC140="Alta",AE140="Catastrófico"),AND(AC140="Muy Alta",AE140="Catastrófico")),"Extremo","")))),"")</f>
        <v>Moderado</v>
      </c>
      <c r="AH140" s="237" t="s">
        <v>26</v>
      </c>
      <c r="AI140" s="318">
        <v>0</v>
      </c>
      <c r="AJ140" s="318">
        <v>0</v>
      </c>
      <c r="AK140" s="318">
        <v>0</v>
      </c>
      <c r="AL140" s="318">
        <v>0</v>
      </c>
      <c r="AM140" s="318">
        <v>0</v>
      </c>
      <c r="AN140" s="307"/>
      <c r="AO140" s="307"/>
      <c r="AP140" s="259"/>
      <c r="AQ140" s="220"/>
      <c r="AR140" s="307"/>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c r="BR140" s="323"/>
      <c r="BS140" s="323"/>
      <c r="BT140" s="323"/>
      <c r="BU140" s="323"/>
      <c r="BV140" s="323"/>
      <c r="BW140" s="323"/>
      <c r="BX140" s="323"/>
      <c r="BY140" s="323"/>
    </row>
    <row r="141" spans="1:77" s="113" customFormat="1" ht="12" hidden="1" customHeight="1" x14ac:dyDescent="0.2">
      <c r="A141" s="437"/>
      <c r="B141" s="438"/>
      <c r="C141" s="434"/>
      <c r="D141" s="434"/>
      <c r="E141" s="434"/>
      <c r="F141" s="435"/>
      <c r="G141" s="436"/>
      <c r="H141" s="435"/>
      <c r="I141" s="435"/>
      <c r="J141" s="439"/>
      <c r="K141" s="430"/>
      <c r="L141" s="431"/>
      <c r="M141" s="432"/>
      <c r="N141" s="310">
        <f ca="1">IF(NOT(ISERROR(MATCH(M141,_xlfn.ANCHORARRAY(G44),0))),L46&amp;"Por favor no seleccionar los criterios de impacto",M141)</f>
        <v>0</v>
      </c>
      <c r="O141" s="430"/>
      <c r="P141" s="431"/>
      <c r="Q141" s="433"/>
      <c r="R141" s="316">
        <v>3</v>
      </c>
      <c r="S141" s="330"/>
      <c r="T141" s="312"/>
      <c r="U141" s="302" t="str">
        <f>IF(OR(V141="Preventivo",V141="Detectivo"),"Probabilidad",IF(V141="Correctivo","Impacto",""))</f>
        <v/>
      </c>
      <c r="V141" s="237"/>
      <c r="W141" s="237"/>
      <c r="X141" s="209" t="str">
        <f>IF(AND(V141="Preventivo",W141="Automático"),"50%",IF(AND(V141="Preventivo",W141="Manual"),"40%",IF(AND(V141="Detectivo",W141="Automático"),"40%",IF(AND(V141="Detectivo",W141="Manual"),"30%",IF(AND(V141="Correctivo",W141="Automático"),"35%",IF(AND(V141="Correctivo",W141="Manual"),"25%",""))))))</f>
        <v/>
      </c>
      <c r="Y141" s="237"/>
      <c r="Z141" s="237"/>
      <c r="AA141" s="237"/>
      <c r="AB141" s="210" t="str">
        <f t="shared" ref="AB141:AB144" si="266">IFERROR(IF(AND(U140="Probabilidad",U141="Probabilidad"),(AD140-(+AD140*X141)),IF(AND(U140="Impacto",U141="Probabilidad"),(AD139-(+AD139*X141)),IF(U141="Impacto",AD140,""))),"")</f>
        <v/>
      </c>
      <c r="AC141" s="211" t="str">
        <f t="shared" si="263"/>
        <v/>
      </c>
      <c r="AD141" s="209" t="str">
        <f t="shared" ref="AD141:AD144" si="267">+AB141</f>
        <v/>
      </c>
      <c r="AE141" s="211" t="str">
        <f t="shared" si="264"/>
        <v/>
      </c>
      <c r="AF141" s="209" t="str">
        <f t="shared" ref="AF141:AF144" si="268">IFERROR(IF(AND(U140="Impacto",U141="Impacto"),(AF140-(+AF140*X141)),IF(U141="Impacto",($P$139-(+$P$139*X141)),IF(U141="Probabilidad",AF140,""))),"")</f>
        <v/>
      </c>
      <c r="AG141" s="212" t="str">
        <f t="shared" si="265"/>
        <v/>
      </c>
      <c r="AH141" s="237"/>
      <c r="AI141" s="318"/>
      <c r="AJ141" s="318"/>
      <c r="AK141" s="318"/>
      <c r="AL141" s="318"/>
      <c r="AM141" s="318"/>
      <c r="AN141" s="307"/>
      <c r="AO141" s="307"/>
      <c r="AP141" s="259"/>
      <c r="AQ141" s="220"/>
      <c r="AR141" s="307"/>
      <c r="AS141" s="323"/>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3"/>
      <c r="BO141" s="323"/>
      <c r="BP141" s="323"/>
      <c r="BQ141" s="323"/>
      <c r="BR141" s="323"/>
      <c r="BS141" s="323"/>
      <c r="BT141" s="323"/>
      <c r="BU141" s="323"/>
      <c r="BV141" s="323"/>
      <c r="BW141" s="323"/>
      <c r="BX141" s="323"/>
      <c r="BY141" s="323"/>
    </row>
    <row r="142" spans="1:77" s="113" customFormat="1" ht="12" hidden="1" customHeight="1" x14ac:dyDescent="0.2">
      <c r="A142" s="437"/>
      <c r="B142" s="438"/>
      <c r="C142" s="434"/>
      <c r="D142" s="434"/>
      <c r="E142" s="434"/>
      <c r="F142" s="435"/>
      <c r="G142" s="436"/>
      <c r="H142" s="435"/>
      <c r="I142" s="435"/>
      <c r="J142" s="439"/>
      <c r="K142" s="430"/>
      <c r="L142" s="431"/>
      <c r="M142" s="432"/>
      <c r="N142" s="310">
        <f ca="1">IF(NOT(ISERROR(MATCH(M142,_xlfn.ANCHORARRAY(G45),0))),L47&amp;"Por favor no seleccionar los criterios de impacto",M142)</f>
        <v>0</v>
      </c>
      <c r="O142" s="430"/>
      <c r="P142" s="431"/>
      <c r="Q142" s="433"/>
      <c r="R142" s="316">
        <v>4</v>
      </c>
      <c r="S142" s="330"/>
      <c r="T142" s="312"/>
      <c r="U142" s="208" t="str">
        <f t="shared" ref="U142:U144" si="269">IF(OR(V142="Preventivo",V142="Detectivo"),"Probabilidad",IF(V142="Correctivo","Impacto",""))</f>
        <v/>
      </c>
      <c r="V142" s="237"/>
      <c r="W142" s="237"/>
      <c r="X142" s="209" t="str">
        <f t="shared" ref="X142:X144" si="270">IF(AND(V142="Preventivo",W142="Automático"),"50%",IF(AND(V142="Preventivo",W142="Manual"),"40%",IF(AND(V142="Detectivo",W142="Automático"),"40%",IF(AND(V142="Detectivo",W142="Manual"),"30%",IF(AND(V142="Correctivo",W142="Automático"),"35%",IF(AND(V142="Correctivo",W142="Manual"),"25%",""))))))</f>
        <v/>
      </c>
      <c r="Y142" s="237"/>
      <c r="Z142" s="237"/>
      <c r="AA142" s="237"/>
      <c r="AB142" s="210" t="str">
        <f t="shared" si="266"/>
        <v/>
      </c>
      <c r="AC142" s="211" t="str">
        <f t="shared" si="263"/>
        <v/>
      </c>
      <c r="AD142" s="209" t="str">
        <f t="shared" si="267"/>
        <v/>
      </c>
      <c r="AE142" s="211" t="str">
        <f t="shared" si="264"/>
        <v/>
      </c>
      <c r="AF142" s="209" t="str">
        <f t="shared" si="268"/>
        <v/>
      </c>
      <c r="AG142" s="212" t="str">
        <f>IFERROR(IF(OR(AND(AC142="Muy Baja",AE142="Leve"),AND(AC142="Muy Baja",AE142="Menor"),AND(AC142="Baja",AE142="Leve")),"Bajo",IF(OR(AND(AC142="Muy baja",AE142="Moderado"),AND(AC142="Baja",AE142="Menor"),AND(AC142="Baja",AE142="Moderado"),AND(AC142="Media",AE142="Leve"),AND(AC142="Media",AE142="Menor"),AND(AC142="Media",AE142="Moderado"),AND(AC142="Alta",AE142="Leve"),AND(AC142="Alta",AE142="Menor")),"Moderado",IF(OR(AND(AC142="Muy Baja",AE142="Mayor"),AND(AC142="Baja",AE142="Mayor"),AND(AC142="Media",AE142="Mayor"),AND(AC142="Alta",AE142="Moderado"),AND(AC142="Alta",AE142="Mayor"),AND(AC142="Muy Alta",AE142="Leve"),AND(AC142="Muy Alta",AE142="Menor"),AND(AC142="Muy Alta",AE142="Moderado"),AND(AC142="Muy Alta",AE142="Mayor")),"Alto",IF(OR(AND(AC142="Muy Baja",AE142="Catastrófico"),AND(AC142="Baja",AE142="Catastrófico"),AND(AC142="Media",AE142="Catastrófico"),AND(AC142="Alta",AE142="Catastrófico"),AND(AC142="Muy Alta",AE142="Catastrófico")),"Extremo","")))),"")</f>
        <v/>
      </c>
      <c r="AH142" s="237"/>
      <c r="AI142" s="318"/>
      <c r="AJ142" s="318"/>
      <c r="AK142" s="318"/>
      <c r="AL142" s="318"/>
      <c r="AM142" s="318"/>
      <c r="AN142" s="213"/>
      <c r="AO142" s="213"/>
      <c r="AP142" s="308"/>
      <c r="AQ142" s="220"/>
      <c r="AR142" s="213"/>
      <c r="AS142" s="323"/>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3"/>
      <c r="BO142" s="323"/>
      <c r="BP142" s="323"/>
      <c r="BQ142" s="323"/>
      <c r="BR142" s="323"/>
      <c r="BS142" s="323"/>
      <c r="BT142" s="323"/>
      <c r="BU142" s="323"/>
      <c r="BV142" s="323"/>
      <c r="BW142" s="323"/>
      <c r="BX142" s="323"/>
      <c r="BY142" s="323"/>
    </row>
    <row r="143" spans="1:77" s="113" customFormat="1" ht="12" hidden="1" customHeight="1" x14ac:dyDescent="0.2">
      <c r="A143" s="437"/>
      <c r="B143" s="438"/>
      <c r="C143" s="434"/>
      <c r="D143" s="434"/>
      <c r="E143" s="434"/>
      <c r="F143" s="435"/>
      <c r="G143" s="436"/>
      <c r="H143" s="435"/>
      <c r="I143" s="435"/>
      <c r="J143" s="439"/>
      <c r="K143" s="430"/>
      <c r="L143" s="431"/>
      <c r="M143" s="432"/>
      <c r="N143" s="310">
        <f ca="1">IF(NOT(ISERROR(MATCH(M143,_xlfn.ANCHORARRAY(G46),0))),L48&amp;"Por favor no seleccionar los criterios de impacto",M143)</f>
        <v>0</v>
      </c>
      <c r="O143" s="430"/>
      <c r="P143" s="431"/>
      <c r="Q143" s="433"/>
      <c r="R143" s="316">
        <v>5</v>
      </c>
      <c r="S143" s="330"/>
      <c r="T143" s="312"/>
      <c r="U143" s="208" t="str">
        <f t="shared" si="269"/>
        <v/>
      </c>
      <c r="V143" s="237"/>
      <c r="W143" s="237"/>
      <c r="X143" s="209" t="str">
        <f t="shared" si="270"/>
        <v/>
      </c>
      <c r="Y143" s="237"/>
      <c r="Z143" s="237"/>
      <c r="AA143" s="237"/>
      <c r="AB143" s="210" t="str">
        <f t="shared" si="266"/>
        <v/>
      </c>
      <c r="AC143" s="211" t="str">
        <f t="shared" si="263"/>
        <v/>
      </c>
      <c r="AD143" s="209" t="str">
        <f t="shared" si="267"/>
        <v/>
      </c>
      <c r="AE143" s="211" t="str">
        <f t="shared" si="264"/>
        <v/>
      </c>
      <c r="AF143" s="209" t="str">
        <f t="shared" si="268"/>
        <v/>
      </c>
      <c r="AG143" s="212" t="str">
        <f t="shared" ref="AG143:AG144" si="271">IFERROR(IF(OR(AND(AC143="Muy Baja",AE143="Leve"),AND(AC143="Muy Baja",AE143="Menor"),AND(AC143="Baja",AE143="Leve")),"Bajo",IF(OR(AND(AC143="Muy baja",AE143="Moderado"),AND(AC143="Baja",AE143="Menor"),AND(AC143="Baja",AE143="Moderado"),AND(AC143="Media",AE143="Leve"),AND(AC143="Media",AE143="Menor"),AND(AC143="Media",AE143="Moderado"),AND(AC143="Alta",AE143="Leve"),AND(AC143="Alta",AE143="Menor")),"Moderado",IF(OR(AND(AC143="Muy Baja",AE143="Mayor"),AND(AC143="Baja",AE143="Mayor"),AND(AC143="Media",AE143="Mayor"),AND(AC143="Alta",AE143="Moderado"),AND(AC143="Alta",AE143="Mayor"),AND(AC143="Muy Alta",AE143="Leve"),AND(AC143="Muy Alta",AE143="Menor"),AND(AC143="Muy Alta",AE143="Moderado"),AND(AC143="Muy Alta",AE143="Mayor")),"Alto",IF(OR(AND(AC143="Muy Baja",AE143="Catastrófico"),AND(AC143="Baja",AE143="Catastrófico"),AND(AC143="Media",AE143="Catastrófico"),AND(AC143="Alta",AE143="Catastrófico"),AND(AC143="Muy Alta",AE143="Catastrófico")),"Extremo","")))),"")</f>
        <v/>
      </c>
      <c r="AH143" s="237"/>
      <c r="AI143" s="318"/>
      <c r="AJ143" s="318"/>
      <c r="AK143" s="318"/>
      <c r="AL143" s="318"/>
      <c r="AM143" s="318"/>
      <c r="AN143" s="305"/>
      <c r="AO143" s="305"/>
      <c r="AP143" s="306"/>
      <c r="AQ143" s="216"/>
      <c r="AR143" s="216"/>
      <c r="AS143" s="323"/>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3"/>
      <c r="BO143" s="323"/>
      <c r="BP143" s="323"/>
      <c r="BQ143" s="323"/>
      <c r="BR143" s="323"/>
      <c r="BS143" s="323"/>
      <c r="BT143" s="323"/>
      <c r="BU143" s="323"/>
      <c r="BV143" s="323"/>
      <c r="BW143" s="323"/>
      <c r="BX143" s="323"/>
      <c r="BY143" s="323"/>
    </row>
    <row r="144" spans="1:77" s="113" customFormat="1" ht="12" hidden="1" customHeight="1" x14ac:dyDescent="0.2">
      <c r="A144" s="437"/>
      <c r="B144" s="438"/>
      <c r="C144" s="434"/>
      <c r="D144" s="434"/>
      <c r="E144" s="434"/>
      <c r="F144" s="435"/>
      <c r="G144" s="436"/>
      <c r="H144" s="435"/>
      <c r="I144" s="435"/>
      <c r="J144" s="439"/>
      <c r="K144" s="430"/>
      <c r="L144" s="431"/>
      <c r="M144" s="432"/>
      <c r="N144" s="310">
        <f ca="1">IF(NOT(ISERROR(MATCH(M144,_xlfn.ANCHORARRAY(G47),0))),L49&amp;"Por favor no seleccionar los criterios de impacto",M144)</f>
        <v>0</v>
      </c>
      <c r="O144" s="430"/>
      <c r="P144" s="431"/>
      <c r="Q144" s="433"/>
      <c r="R144" s="316">
        <v>6</v>
      </c>
      <c r="S144" s="330"/>
      <c r="T144" s="312"/>
      <c r="U144" s="208" t="str">
        <f t="shared" si="269"/>
        <v/>
      </c>
      <c r="V144" s="237"/>
      <c r="W144" s="237"/>
      <c r="X144" s="209" t="str">
        <f t="shared" si="270"/>
        <v/>
      </c>
      <c r="Y144" s="237"/>
      <c r="Z144" s="237"/>
      <c r="AA144" s="237"/>
      <c r="AB144" s="210" t="str">
        <f t="shared" si="266"/>
        <v/>
      </c>
      <c r="AC144" s="211" t="str">
        <f t="shared" si="263"/>
        <v/>
      </c>
      <c r="AD144" s="209" t="str">
        <f t="shared" si="267"/>
        <v/>
      </c>
      <c r="AE144" s="211" t="str">
        <f t="shared" si="264"/>
        <v/>
      </c>
      <c r="AF144" s="209" t="str">
        <f t="shared" si="268"/>
        <v/>
      </c>
      <c r="AG144" s="212" t="str">
        <f t="shared" si="271"/>
        <v/>
      </c>
      <c r="AH144" s="237"/>
      <c r="AI144" s="318"/>
      <c r="AJ144" s="318"/>
      <c r="AK144" s="318"/>
      <c r="AL144" s="318"/>
      <c r="AM144" s="318"/>
      <c r="AN144" s="305"/>
      <c r="AO144" s="305"/>
      <c r="AP144" s="306"/>
      <c r="AQ144" s="216"/>
      <c r="AR144" s="216"/>
      <c r="AS144" s="323"/>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3"/>
      <c r="BO144" s="323"/>
      <c r="BP144" s="323"/>
      <c r="BQ144" s="323"/>
      <c r="BR144" s="323"/>
      <c r="BS144" s="323"/>
      <c r="BT144" s="323"/>
      <c r="BU144" s="323"/>
      <c r="BV144" s="323"/>
      <c r="BW144" s="323"/>
      <c r="BX144" s="323"/>
      <c r="BY144" s="323"/>
    </row>
    <row r="145" spans="1:77" s="271" customFormat="1" ht="201.75" x14ac:dyDescent="0.2">
      <c r="A145" s="437" t="s">
        <v>858</v>
      </c>
      <c r="B145" s="438" t="s">
        <v>605</v>
      </c>
      <c r="C145" s="434" t="s">
        <v>621</v>
      </c>
      <c r="D145" s="434" t="s">
        <v>107</v>
      </c>
      <c r="E145" s="434" t="s">
        <v>1084</v>
      </c>
      <c r="F145" s="435" t="s">
        <v>685</v>
      </c>
      <c r="G145" s="436" t="s">
        <v>859</v>
      </c>
      <c r="H145" s="435" t="s">
        <v>655</v>
      </c>
      <c r="I145" s="435" t="s">
        <v>808</v>
      </c>
      <c r="J145" s="439">
        <v>288000</v>
      </c>
      <c r="K145" s="430" t="str">
        <f t="shared" ref="K145" si="272">IF(J145&lt;=0,"",IF(J145&lt;=2,"Muy Baja",IF(J145&lt;=24,"Baja",IF(J145&lt;=500,"Media",IF(J145&lt;=5000,"Alta","Muy Alta")))))</f>
        <v>Muy Alta</v>
      </c>
      <c r="L145" s="431">
        <f>IF(K145="","",IF(K145="Muy Baja",0.2,IF(K145="Baja",0.4,IF(K145="Media",0.6,IF(K145="Alta",0.8,IF(K145="Muy Alta",1,))))))</f>
        <v>1</v>
      </c>
      <c r="M145" s="432" t="s">
        <v>121</v>
      </c>
      <c r="N145" s="310" t="str">
        <f ca="1">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430" t="str">
        <f ca="1">IF(OR(N145='Tabla Impacto'!$C$11,N145='Tabla Impacto'!$D$11),"Leve",IF(OR(N145='Tabla Impacto'!$C$12,N145='Tabla Impacto'!$D$12),"Menor",IF(OR(N145='Tabla Impacto'!$C$13,N145='Tabla Impacto'!$D$13),"Moderado",IF(OR(N145='Tabla Impacto'!$C$14,N145='Tabla Impacto'!$D$14),"Mayor",IF(OR(N145='Tabla Impacto'!$C$15,N145='Tabla Impacto'!$D$15),"Catastrófico","")))))</f>
        <v>Moderado</v>
      </c>
      <c r="P145" s="431">
        <f ca="1">IF(O145="","",IF(O145="Leve",0.2,IF(O145="Menor",0.4,IF(O145="Moderado",0.6,IF(O145="Mayor",0.8,IF(O145="Catastrófico",1,))))))</f>
        <v>0.6</v>
      </c>
      <c r="Q145" s="433" t="str">
        <f ca="1">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Alto</v>
      </c>
      <c r="R145" s="261">
        <v>1</v>
      </c>
      <c r="S145" s="334" t="s">
        <v>860</v>
      </c>
      <c r="T145" s="272" t="s">
        <v>292</v>
      </c>
      <c r="U145" s="262" t="str">
        <f>IF(OR(V145="Preventivo",V145="Detectivo"),"Probabilidad",IF(V145="Correctivo","Impacto",""))</f>
        <v>Probabilidad</v>
      </c>
      <c r="V145" s="263" t="s">
        <v>13</v>
      </c>
      <c r="W145" s="263" t="s">
        <v>8</v>
      </c>
      <c r="X145" s="264" t="str">
        <f>IF(AND(V145="Preventivo",W145="Automático"),"50%",IF(AND(V145="Preventivo",W145="Manual"),"40%",IF(AND(V145="Detectivo",W145="Automático"),"40%",IF(AND(V145="Detectivo",W145="Manual"),"30%",IF(AND(V145="Correctivo",W145="Automático"),"35%",IF(AND(V145="Correctivo",W145="Manual"),"25%",""))))))</f>
        <v>40%</v>
      </c>
      <c r="Y145" s="263" t="s">
        <v>18</v>
      </c>
      <c r="Z145" s="263" t="s">
        <v>22</v>
      </c>
      <c r="AA145" s="263" t="s">
        <v>103</v>
      </c>
      <c r="AB145" s="265">
        <f t="shared" ref="AB145" si="273">IFERROR(IF(U145="Probabilidad",(L145-(+L145*X145)),IF(U145="Impacto",L145,"")),"")</f>
        <v>0.6</v>
      </c>
      <c r="AC145" s="266" t="str">
        <f>IFERROR(IF(AB145="","",IF(AB145&lt;=0.2,"Muy Baja",IF(AB145&lt;=0.4,"Baja",IF(AB145&lt;=0.6,"Media",IF(AB145&lt;=0.8,"Alta","Muy Alta"))))),"")</f>
        <v>Media</v>
      </c>
      <c r="AD145" s="264">
        <f>+AB145</f>
        <v>0.6</v>
      </c>
      <c r="AE145" s="266" t="str">
        <f ca="1">IFERROR(IF(AF145="","",IF(AF145&lt;=0.2,"Leve",IF(AF145&lt;=0.4,"Menor",IF(AF145&lt;=0.6,"Moderado",IF(AF145&lt;=0.8,"Mayor","Catastrófico"))))),"")</f>
        <v>Moderado</v>
      </c>
      <c r="AF145" s="264">
        <f ca="1">IFERROR(IF(U145="Impacto",(P145-(+P145*X145)),IF(U145="Probabilidad",P145,"")),"")</f>
        <v>0.6</v>
      </c>
      <c r="AG145" s="267" t="str">
        <f ca="1">IFERROR(IF(OR(AND(AC145="Muy Baja",AE145="Leve"),AND(AC145="Muy Baja",AE145="Menor"),AND(AC145="Baja",AE145="Leve")),"Bajo",IF(OR(AND(AC145="Muy baja",AE145="Moderado"),AND(AC145="Baja",AE145="Menor"),AND(AC145="Baja",AE145="Moderado"),AND(AC145="Media",AE145="Leve"),AND(AC145="Media",AE145="Menor"),AND(AC145="Media",AE145="Moderado"),AND(AC145="Alta",AE145="Leve"),AND(AC145="Alta",AE145="Menor")),"Moderado",IF(OR(AND(AC145="Muy Baja",AE145="Mayor"),AND(AC145="Baja",AE145="Mayor"),AND(AC145="Media",AE145="Mayor"),AND(AC145="Alta",AE145="Moderado"),AND(AC145="Alta",AE145="Mayor"),AND(AC145="Muy Alta",AE145="Leve"),AND(AC145="Muy Alta",AE145="Menor"),AND(AC145="Muy Alta",AE145="Moderado"),AND(AC145="Muy Alta",AE145="Mayor")),"Alto",IF(OR(AND(AC145="Muy Baja",AE145="Catastrófico"),AND(AC145="Baja",AE145="Catastrófico"),AND(AC145="Media",AE145="Catastrófico"),AND(AC145="Alta",AE145="Catastrófico"),AND(AC145="Muy Alta",AE145="Catastrófico")),"Extremo","")))),"")</f>
        <v>Moderado</v>
      </c>
      <c r="AH145" s="263" t="s">
        <v>26</v>
      </c>
      <c r="AI145" s="273">
        <v>4</v>
      </c>
      <c r="AJ145" s="273">
        <v>1</v>
      </c>
      <c r="AK145" s="273">
        <v>1</v>
      </c>
      <c r="AL145" s="273">
        <v>1</v>
      </c>
      <c r="AM145" s="273">
        <v>1</v>
      </c>
      <c r="AN145" s="268"/>
      <c r="AO145" s="268"/>
      <c r="AP145" s="258"/>
      <c r="AQ145" s="269"/>
      <c r="AR145" s="270"/>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c r="BR145" s="323"/>
      <c r="BS145" s="323"/>
      <c r="BT145" s="323"/>
      <c r="BU145" s="323"/>
      <c r="BV145" s="323"/>
      <c r="BW145" s="323"/>
      <c r="BX145" s="323"/>
      <c r="BY145" s="323"/>
    </row>
    <row r="146" spans="1:77" s="113" customFormat="1" ht="10.5" hidden="1" customHeight="1" x14ac:dyDescent="0.2">
      <c r="A146" s="437"/>
      <c r="B146" s="438"/>
      <c r="C146" s="434"/>
      <c r="D146" s="434"/>
      <c r="E146" s="434"/>
      <c r="F146" s="435"/>
      <c r="G146" s="436"/>
      <c r="H146" s="435"/>
      <c r="I146" s="435"/>
      <c r="J146" s="439"/>
      <c r="K146" s="430"/>
      <c r="L146" s="431"/>
      <c r="M146" s="432"/>
      <c r="N146" s="310">
        <f ca="1">IF(NOT(ISERROR(MATCH(M146,_xlfn.ANCHORARRAY(G49),0))),L51&amp;"Por favor no seleccionar los criterios de impacto",M146)</f>
        <v>0</v>
      </c>
      <c r="O146" s="430"/>
      <c r="P146" s="431"/>
      <c r="Q146" s="433"/>
      <c r="R146" s="316">
        <v>2</v>
      </c>
      <c r="S146" s="330"/>
      <c r="T146" s="312"/>
      <c r="U146" s="302" t="str">
        <f>IF(OR(V146="Preventivo",V146="Detectivo"),"Probabilidad",IF(V146="Correctivo","Impacto",""))</f>
        <v/>
      </c>
      <c r="V146" s="237"/>
      <c r="W146" s="237"/>
      <c r="X146" s="209" t="str">
        <f>IF(AND(V146="Preventivo",W146="Automático"),"50%",IF(AND(V146="Preventivo",W146="Manual"),"40%",IF(AND(V146="Detectivo",W146="Automático"),"40%",IF(AND(V146="Detectivo",W146="Manual"),"30%",IF(AND(V146="Correctivo",W146="Automático"),"35%",IF(AND(V146="Correctivo",W146="Manual"),"25%",""))))))</f>
        <v/>
      </c>
      <c r="Y146" s="237"/>
      <c r="Z146" s="237"/>
      <c r="AA146" s="237"/>
      <c r="AB146" s="210" t="str">
        <f t="shared" ref="AB146" si="274">IFERROR(IF(AND(U145="Probabilidad",U146="Probabilidad"),(AD145-(+AD145*X146)),IF(U146="Probabilidad",(L145-(+L145*X146)),IF(U146="Impacto",AD145,""))),"")</f>
        <v/>
      </c>
      <c r="AC146" s="211" t="str">
        <f t="shared" ref="AC146:AC150" si="275">IFERROR(IF(AB146="","",IF(AB146&lt;=0.2,"Muy Baja",IF(AB146&lt;=0.4,"Baja",IF(AB146&lt;=0.6,"Media",IF(AB146&lt;=0.8,"Alta","Muy Alta"))))),"")</f>
        <v/>
      </c>
      <c r="AD146" s="209" t="str">
        <f>+AB146</f>
        <v/>
      </c>
      <c r="AE146" s="211" t="str">
        <f t="shared" ref="AE146:AE150" si="276">IFERROR(IF(AF146="","",IF(AF146&lt;=0.2,"Leve",IF(AF146&lt;=0.4,"Menor",IF(AF146&lt;=0.6,"Moderado",IF(AF146&lt;=0.8,"Mayor","Catastrófico"))))),"")</f>
        <v/>
      </c>
      <c r="AF146" s="209" t="str">
        <f>IFERROR(IF(AND(U145="Impacto",U146="Impacto"),(AF145-(+AF145*X146)),IF(U146="Impacto",($P$37-(+$P$37*X146)),IF(U146="Probabilidad",AF145,""))),"")</f>
        <v/>
      </c>
      <c r="AG146" s="212" t="str">
        <f t="shared" ref="AG146:AG147" si="277">IFERROR(IF(OR(AND(AC146="Muy Baja",AE146="Leve"),AND(AC146="Muy Baja",AE146="Menor"),AND(AC146="Baja",AE146="Leve")),"Bajo",IF(OR(AND(AC146="Muy baja",AE146="Moderado"),AND(AC146="Baja",AE146="Menor"),AND(AC146="Baja",AE146="Moderado"),AND(AC146="Media",AE146="Leve"),AND(AC146="Media",AE146="Menor"),AND(AC146="Media",AE146="Moderado"),AND(AC146="Alta",AE146="Leve"),AND(AC146="Alta",AE146="Menor")),"Moderado",IF(OR(AND(AC146="Muy Baja",AE146="Mayor"),AND(AC146="Baja",AE146="Mayor"),AND(AC146="Media",AE146="Mayor"),AND(AC146="Alta",AE146="Moderado"),AND(AC146="Alta",AE146="Mayor"),AND(AC146="Muy Alta",AE146="Leve"),AND(AC146="Muy Alta",AE146="Menor"),AND(AC146="Muy Alta",AE146="Moderado"),AND(AC146="Muy Alta",AE146="Mayor")),"Alto",IF(OR(AND(AC146="Muy Baja",AE146="Catastrófico"),AND(AC146="Baja",AE146="Catastrófico"),AND(AC146="Media",AE146="Catastrófico"),AND(AC146="Alta",AE146="Catastrófico"),AND(AC146="Muy Alta",AE146="Catastrófico")),"Extremo","")))),"")</f>
        <v/>
      </c>
      <c r="AH146" s="237"/>
      <c r="AI146" s="318"/>
      <c r="AJ146" s="318"/>
      <c r="AK146" s="318"/>
      <c r="AL146" s="318"/>
      <c r="AM146" s="318"/>
      <c r="AN146" s="307"/>
      <c r="AO146" s="307"/>
      <c r="AP146" s="259"/>
      <c r="AQ146" s="220"/>
      <c r="AR146" s="307"/>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c r="BR146" s="323"/>
      <c r="BS146" s="323"/>
      <c r="BT146" s="323"/>
      <c r="BU146" s="323"/>
      <c r="BV146" s="323"/>
      <c r="BW146" s="323"/>
      <c r="BX146" s="323"/>
      <c r="BY146" s="323"/>
    </row>
    <row r="147" spans="1:77" s="113" customFormat="1" ht="10.5" hidden="1" customHeight="1" x14ac:dyDescent="0.2">
      <c r="A147" s="437"/>
      <c r="B147" s="438"/>
      <c r="C147" s="434"/>
      <c r="D147" s="434"/>
      <c r="E147" s="434"/>
      <c r="F147" s="435"/>
      <c r="G147" s="436"/>
      <c r="H147" s="435"/>
      <c r="I147" s="435"/>
      <c r="J147" s="439"/>
      <c r="K147" s="430"/>
      <c r="L147" s="431"/>
      <c r="M147" s="432"/>
      <c r="N147" s="310">
        <f ca="1">IF(NOT(ISERROR(MATCH(M147,_xlfn.ANCHORARRAY(G50),0))),L52&amp;"Por favor no seleccionar los criterios de impacto",M147)</f>
        <v>0</v>
      </c>
      <c r="O147" s="430"/>
      <c r="P147" s="431"/>
      <c r="Q147" s="433"/>
      <c r="R147" s="316">
        <v>3</v>
      </c>
      <c r="S147" s="330"/>
      <c r="T147" s="312"/>
      <c r="U147" s="302" t="str">
        <f>IF(OR(V147="Preventivo",V147="Detectivo"),"Probabilidad",IF(V147="Correctivo","Impacto",""))</f>
        <v/>
      </c>
      <c r="V147" s="237"/>
      <c r="W147" s="237"/>
      <c r="X147" s="209" t="str">
        <f>IF(AND(V147="Preventivo",W147="Automático"),"50%",IF(AND(V147="Preventivo",W147="Manual"),"40%",IF(AND(V147="Detectivo",W147="Automático"),"40%",IF(AND(V147="Detectivo",W147="Manual"),"30%",IF(AND(V147="Correctivo",W147="Automático"),"35%",IF(AND(V147="Correctivo",W147="Manual"),"25%",""))))))</f>
        <v/>
      </c>
      <c r="Y147" s="237"/>
      <c r="Z147" s="237"/>
      <c r="AA147" s="237"/>
      <c r="AB147" s="210" t="str">
        <f t="shared" ref="AB147:AB150" si="278">IFERROR(IF(AND(U146="Probabilidad",U147="Probabilidad"),(AD146-(+AD146*X147)),IF(AND(U146="Impacto",U147="Probabilidad"),(AD145-(+AD145*X147)),IF(U147="Impacto",AD146,""))),"")</f>
        <v/>
      </c>
      <c r="AC147" s="211" t="str">
        <f t="shared" si="275"/>
        <v/>
      </c>
      <c r="AD147" s="209" t="str">
        <f t="shared" ref="AD147:AD150" si="279">+AB147</f>
        <v/>
      </c>
      <c r="AE147" s="211" t="str">
        <f t="shared" si="276"/>
        <v/>
      </c>
      <c r="AF147" s="209" t="str">
        <f>IFERROR(IF(AND(U146="Impacto",U147="Impacto"),(AF146-(+AF146*X147)),IF(U147="Impacto",($P$31-(+$P$31*X147)),IF(U147="Probabilidad",AF146,""))),"")</f>
        <v/>
      </c>
      <c r="AG147" s="212" t="str">
        <f t="shared" si="277"/>
        <v/>
      </c>
      <c r="AH147" s="237"/>
      <c r="AI147" s="318"/>
      <c r="AJ147" s="318"/>
      <c r="AK147" s="318"/>
      <c r="AL147" s="318"/>
      <c r="AM147" s="318"/>
      <c r="AN147" s="307"/>
      <c r="AO147" s="307"/>
      <c r="AP147" s="259"/>
      <c r="AQ147" s="220"/>
      <c r="AR147" s="307"/>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c r="BR147" s="323"/>
      <c r="BS147" s="323"/>
      <c r="BT147" s="323"/>
      <c r="BU147" s="323"/>
      <c r="BV147" s="323"/>
      <c r="BW147" s="323"/>
      <c r="BX147" s="323"/>
      <c r="BY147" s="323"/>
    </row>
    <row r="148" spans="1:77" s="113" customFormat="1" ht="10.5" hidden="1" customHeight="1" x14ac:dyDescent="0.2">
      <c r="A148" s="437"/>
      <c r="B148" s="438"/>
      <c r="C148" s="434"/>
      <c r="D148" s="434"/>
      <c r="E148" s="434"/>
      <c r="F148" s="435"/>
      <c r="G148" s="436"/>
      <c r="H148" s="435"/>
      <c r="I148" s="435"/>
      <c r="J148" s="439"/>
      <c r="K148" s="430"/>
      <c r="L148" s="431"/>
      <c r="M148" s="432"/>
      <c r="N148" s="310">
        <f ca="1">IF(NOT(ISERROR(MATCH(M148,_xlfn.ANCHORARRAY(G51),0))),L53&amp;"Por favor no seleccionar los criterios de impacto",M148)</f>
        <v>0</v>
      </c>
      <c r="O148" s="430"/>
      <c r="P148" s="431"/>
      <c r="Q148" s="433"/>
      <c r="R148" s="316">
        <v>4</v>
      </c>
      <c r="S148" s="330"/>
      <c r="T148" s="312"/>
      <c r="U148" s="208" t="str">
        <f t="shared" ref="U148:U150" si="280">IF(OR(V148="Preventivo",V148="Detectivo"),"Probabilidad",IF(V148="Correctivo","Impacto",""))</f>
        <v/>
      </c>
      <c r="V148" s="237"/>
      <c r="W148" s="237"/>
      <c r="X148" s="209" t="str">
        <f t="shared" ref="X148:X150" si="281">IF(AND(V148="Preventivo",W148="Automático"),"50%",IF(AND(V148="Preventivo",W148="Manual"),"40%",IF(AND(V148="Detectivo",W148="Automático"),"40%",IF(AND(V148="Detectivo",W148="Manual"),"30%",IF(AND(V148="Correctivo",W148="Automático"),"35%",IF(AND(V148="Correctivo",W148="Manual"),"25%",""))))))</f>
        <v/>
      </c>
      <c r="Y148" s="237"/>
      <c r="Z148" s="237"/>
      <c r="AA148" s="237"/>
      <c r="AB148" s="210" t="str">
        <f t="shared" si="278"/>
        <v/>
      </c>
      <c r="AC148" s="211" t="str">
        <f t="shared" si="275"/>
        <v/>
      </c>
      <c r="AD148" s="209" t="str">
        <f t="shared" si="279"/>
        <v/>
      </c>
      <c r="AE148" s="211" t="str">
        <f t="shared" si="276"/>
        <v/>
      </c>
      <c r="AF148" s="209" t="str">
        <f t="shared" ref="AF148:AF149" si="282">IFERROR(IF(AND(U147="Impacto",U148="Impacto"),(AF147-(+AF147*X148)),IF(U148="Impacto",($P$31-(+$P$31*X148)),IF(U148="Probabilidad",AF147,""))),"")</f>
        <v/>
      </c>
      <c r="AG148" s="212" t="str">
        <f>IFERROR(IF(OR(AND(AC148="Muy Baja",AE148="Leve"),AND(AC148="Muy Baja",AE148="Menor"),AND(AC148="Baja",AE148="Leve")),"Bajo",IF(OR(AND(AC148="Muy baja",AE148="Moderado"),AND(AC148="Baja",AE148="Menor"),AND(AC148="Baja",AE148="Moderado"),AND(AC148="Media",AE148="Leve"),AND(AC148="Media",AE148="Menor"),AND(AC148="Media",AE148="Moderado"),AND(AC148="Alta",AE148="Leve"),AND(AC148="Alta",AE148="Menor")),"Moderado",IF(OR(AND(AC148="Muy Baja",AE148="Mayor"),AND(AC148="Baja",AE148="Mayor"),AND(AC148="Media",AE148="Mayor"),AND(AC148="Alta",AE148="Moderado"),AND(AC148="Alta",AE148="Mayor"),AND(AC148="Muy Alta",AE148="Leve"),AND(AC148="Muy Alta",AE148="Menor"),AND(AC148="Muy Alta",AE148="Moderado"),AND(AC148="Muy Alta",AE148="Mayor")),"Alto",IF(OR(AND(AC148="Muy Baja",AE148="Catastrófico"),AND(AC148="Baja",AE148="Catastrófico"),AND(AC148="Media",AE148="Catastrófico"),AND(AC148="Alta",AE148="Catastrófico"),AND(AC148="Muy Alta",AE148="Catastrófico")),"Extremo","")))),"")</f>
        <v/>
      </c>
      <c r="AH148" s="237"/>
      <c r="AI148" s="318"/>
      <c r="AJ148" s="318"/>
      <c r="AK148" s="318"/>
      <c r="AL148" s="318"/>
      <c r="AM148" s="318"/>
      <c r="AN148" s="213"/>
      <c r="AO148" s="213"/>
      <c r="AP148" s="308"/>
      <c r="AQ148" s="220"/>
      <c r="AR148" s="21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row>
    <row r="149" spans="1:77" s="113" customFormat="1" ht="10.5" hidden="1" customHeight="1" x14ac:dyDescent="0.2">
      <c r="A149" s="437"/>
      <c r="B149" s="438"/>
      <c r="C149" s="434"/>
      <c r="D149" s="434"/>
      <c r="E149" s="434"/>
      <c r="F149" s="435"/>
      <c r="G149" s="436"/>
      <c r="H149" s="435"/>
      <c r="I149" s="435"/>
      <c r="J149" s="439"/>
      <c r="K149" s="430"/>
      <c r="L149" s="431"/>
      <c r="M149" s="432"/>
      <c r="N149" s="310">
        <f ca="1">IF(NOT(ISERROR(MATCH(M149,_xlfn.ANCHORARRAY(G52),0))),L54&amp;"Por favor no seleccionar los criterios de impacto",M149)</f>
        <v>0</v>
      </c>
      <c r="O149" s="430"/>
      <c r="P149" s="431"/>
      <c r="Q149" s="433"/>
      <c r="R149" s="316">
        <v>5</v>
      </c>
      <c r="S149" s="330"/>
      <c r="T149" s="312"/>
      <c r="U149" s="208" t="str">
        <f t="shared" si="280"/>
        <v/>
      </c>
      <c r="V149" s="237"/>
      <c r="W149" s="237"/>
      <c r="X149" s="209" t="str">
        <f t="shared" si="281"/>
        <v/>
      </c>
      <c r="Y149" s="237"/>
      <c r="Z149" s="237"/>
      <c r="AA149" s="237"/>
      <c r="AB149" s="210" t="str">
        <f t="shared" si="278"/>
        <v/>
      </c>
      <c r="AC149" s="211" t="str">
        <f t="shared" si="275"/>
        <v/>
      </c>
      <c r="AD149" s="209" t="str">
        <f t="shared" si="279"/>
        <v/>
      </c>
      <c r="AE149" s="211" t="str">
        <f t="shared" si="276"/>
        <v/>
      </c>
      <c r="AF149" s="209" t="str">
        <f t="shared" si="282"/>
        <v/>
      </c>
      <c r="AG149" s="212" t="str">
        <f t="shared" ref="AG149:AG150" si="283">IFERROR(IF(OR(AND(AC149="Muy Baja",AE149="Leve"),AND(AC149="Muy Baja",AE149="Menor"),AND(AC149="Baja",AE149="Leve")),"Bajo",IF(OR(AND(AC149="Muy baja",AE149="Moderado"),AND(AC149="Baja",AE149="Menor"),AND(AC149="Baja",AE149="Moderado"),AND(AC149="Media",AE149="Leve"),AND(AC149="Media",AE149="Menor"),AND(AC149="Media",AE149="Moderado"),AND(AC149="Alta",AE149="Leve"),AND(AC149="Alta",AE149="Menor")),"Moderado",IF(OR(AND(AC149="Muy Baja",AE149="Mayor"),AND(AC149="Baja",AE149="Mayor"),AND(AC149="Media",AE149="Mayor"),AND(AC149="Alta",AE149="Moderado"),AND(AC149="Alta",AE149="Mayor"),AND(AC149="Muy Alta",AE149="Leve"),AND(AC149="Muy Alta",AE149="Menor"),AND(AC149="Muy Alta",AE149="Moderado"),AND(AC149="Muy Alta",AE149="Mayor")),"Alto",IF(OR(AND(AC149="Muy Baja",AE149="Catastrófico"),AND(AC149="Baja",AE149="Catastrófico"),AND(AC149="Media",AE149="Catastrófico"),AND(AC149="Alta",AE149="Catastrófico"),AND(AC149="Muy Alta",AE149="Catastrófico")),"Extremo","")))),"")</f>
        <v/>
      </c>
      <c r="AH149" s="237"/>
      <c r="AI149" s="318"/>
      <c r="AJ149" s="318"/>
      <c r="AK149" s="318"/>
      <c r="AL149" s="318"/>
      <c r="AM149" s="318"/>
      <c r="AN149" s="305"/>
      <c r="AO149" s="305"/>
      <c r="AP149" s="306"/>
      <c r="AQ149" s="216"/>
      <c r="AR149" s="216"/>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row>
    <row r="150" spans="1:77" s="113" customFormat="1" ht="10.5" hidden="1" customHeight="1" x14ac:dyDescent="0.2">
      <c r="A150" s="437"/>
      <c r="B150" s="438"/>
      <c r="C150" s="434"/>
      <c r="D150" s="434"/>
      <c r="E150" s="434"/>
      <c r="F150" s="435"/>
      <c r="G150" s="436"/>
      <c r="H150" s="435"/>
      <c r="I150" s="435"/>
      <c r="J150" s="439"/>
      <c r="K150" s="430"/>
      <c r="L150" s="431"/>
      <c r="M150" s="432"/>
      <c r="N150" s="310">
        <f ca="1">IF(NOT(ISERROR(MATCH(M150,_xlfn.ANCHORARRAY(G53),0))),L55&amp;"Por favor no seleccionar los criterios de impacto",M150)</f>
        <v>0</v>
      </c>
      <c r="O150" s="430"/>
      <c r="P150" s="431"/>
      <c r="Q150" s="433"/>
      <c r="R150" s="316">
        <v>6</v>
      </c>
      <c r="S150" s="330"/>
      <c r="T150" s="312"/>
      <c r="U150" s="208" t="str">
        <f t="shared" si="280"/>
        <v/>
      </c>
      <c r="V150" s="237"/>
      <c r="W150" s="237"/>
      <c r="X150" s="209" t="str">
        <f t="shared" si="281"/>
        <v/>
      </c>
      <c r="Y150" s="237"/>
      <c r="Z150" s="237"/>
      <c r="AA150" s="237"/>
      <c r="AB150" s="210" t="str">
        <f t="shared" si="278"/>
        <v/>
      </c>
      <c r="AC150" s="211" t="str">
        <f t="shared" si="275"/>
        <v/>
      </c>
      <c r="AD150" s="209" t="str">
        <f t="shared" si="279"/>
        <v/>
      </c>
      <c r="AE150" s="211" t="str">
        <f t="shared" si="276"/>
        <v/>
      </c>
      <c r="AF150" s="209" t="str">
        <f>IFERROR(IF(AND(U149="Impacto",U150="Impacto"),(AF149-(+AF149*X150)),IF(U150="Impacto",($P$31-(+$P$31*X150)),IF(U150="Probabilidad",AF149,""))),"")</f>
        <v/>
      </c>
      <c r="AG150" s="212" t="str">
        <f t="shared" si="283"/>
        <v/>
      </c>
      <c r="AH150" s="237"/>
      <c r="AI150" s="318"/>
      <c r="AJ150" s="318"/>
      <c r="AK150" s="318"/>
      <c r="AL150" s="318"/>
      <c r="AM150" s="318"/>
      <c r="AN150" s="305"/>
      <c r="AO150" s="305"/>
      <c r="AP150" s="306"/>
      <c r="AQ150" s="216"/>
      <c r="AR150" s="216"/>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row>
    <row r="151" spans="1:77" s="271" customFormat="1" ht="154.5" customHeight="1" x14ac:dyDescent="0.2">
      <c r="A151" s="437" t="s">
        <v>863</v>
      </c>
      <c r="B151" s="438" t="s">
        <v>605</v>
      </c>
      <c r="C151" s="434" t="s">
        <v>621</v>
      </c>
      <c r="D151" s="434" t="s">
        <v>107</v>
      </c>
      <c r="E151" s="434" t="s">
        <v>862</v>
      </c>
      <c r="F151" s="435" t="s">
        <v>685</v>
      </c>
      <c r="G151" s="436" t="s">
        <v>861</v>
      </c>
      <c r="H151" s="435" t="s">
        <v>655</v>
      </c>
      <c r="I151" s="435" t="s">
        <v>808</v>
      </c>
      <c r="J151" s="439">
        <v>31</v>
      </c>
      <c r="K151" s="430" t="str">
        <f t="shared" ref="K151" si="284">IF(J151&lt;=0,"",IF(J151&lt;=2,"Muy Baja",IF(J151&lt;=24,"Baja",IF(J151&lt;=500,"Media",IF(J151&lt;=5000,"Alta","Muy Alta")))))</f>
        <v>Media</v>
      </c>
      <c r="L151" s="431">
        <f>IF(K151="","",IF(K151="Muy Baja",0.2,IF(K151="Baja",0.4,IF(K151="Media",0.6,IF(K151="Alta",0.8,IF(K151="Muy Alta",1,))))))</f>
        <v>0.6</v>
      </c>
      <c r="M151" s="432" t="s">
        <v>121</v>
      </c>
      <c r="N151" s="310" t="str">
        <f ca="1">IF(NOT(ISERROR(MATCH(M151,'Tabla Impacto'!$B$221:$B$223,0))),'Tabla Impacto'!$F$223&amp;"Por favor no seleccionar los criterios de impacto(Afectación Económica o presupuestal y Pérdida Reputacional)",M151)</f>
        <v xml:space="preserve">     El riesgo afecta la imagen de la entidad con algunos usuarios de relevancia frente al logro de los objetivos</v>
      </c>
      <c r="O151" s="430" t="str">
        <f ca="1">IF(OR(N151='Tabla Impacto'!$C$11,N151='Tabla Impacto'!$D$11),"Leve",IF(OR(N151='Tabla Impacto'!$C$12,N151='Tabla Impacto'!$D$12),"Menor",IF(OR(N151='Tabla Impacto'!$C$13,N151='Tabla Impacto'!$D$13),"Moderado",IF(OR(N151='Tabla Impacto'!$C$14,N151='Tabla Impacto'!$D$14),"Mayor",IF(OR(N151='Tabla Impacto'!$C$15,N151='Tabla Impacto'!$D$15),"Catastrófico","")))))</f>
        <v>Moderado</v>
      </c>
      <c r="P151" s="431">
        <f ca="1">IF(O151="","",IF(O151="Leve",0.2,IF(O151="Menor",0.4,IF(O151="Moderado",0.6,IF(O151="Mayor",0.8,IF(O151="Catastrófico",1,))))))</f>
        <v>0.6</v>
      </c>
      <c r="Q151" s="433" t="str">
        <f ca="1">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Moderado</v>
      </c>
      <c r="R151" s="261">
        <v>1</v>
      </c>
      <c r="S151" s="334" t="s">
        <v>864</v>
      </c>
      <c r="T151" s="272" t="s">
        <v>293</v>
      </c>
      <c r="U151" s="262" t="str">
        <f>IF(OR(V151="Preventivo",V151="Detectivo"),"Probabilidad",IF(V151="Correctivo","Impacto",""))</f>
        <v>Probabilidad</v>
      </c>
      <c r="V151" s="263" t="s">
        <v>13</v>
      </c>
      <c r="W151" s="263" t="s">
        <v>8</v>
      </c>
      <c r="X151" s="264" t="str">
        <f>IF(AND(V151="Preventivo",W151="Automático"),"50%",IF(AND(V151="Preventivo",W151="Manual"),"40%",IF(AND(V151="Detectivo",W151="Automático"),"40%",IF(AND(V151="Detectivo",W151="Manual"),"30%",IF(AND(V151="Correctivo",W151="Automático"),"35%",IF(AND(V151="Correctivo",W151="Manual"),"25%",""))))))</f>
        <v>40%</v>
      </c>
      <c r="Y151" s="263" t="s">
        <v>18</v>
      </c>
      <c r="Z151" s="263" t="s">
        <v>22</v>
      </c>
      <c r="AA151" s="263" t="s">
        <v>103</v>
      </c>
      <c r="AB151" s="265">
        <f>IFERROR(IF(U151="Probabilidad",(L151-(+L151*X151)),IF(U151="Impacto",L151,"")),"")</f>
        <v>0.36</v>
      </c>
      <c r="AC151" s="266" t="str">
        <f>IFERROR(IF(AB151="","",IF(AB151&lt;=0.2,"Muy Baja",IF(AB151&lt;=0.4,"Baja",IF(AB151&lt;=0.6,"Media",IF(AB151&lt;=0.8,"Alta","Muy Alta"))))),"")</f>
        <v>Baja</v>
      </c>
      <c r="AD151" s="264">
        <f>+AB151</f>
        <v>0.36</v>
      </c>
      <c r="AE151" s="266" t="str">
        <f ca="1">IFERROR(IF(AF151="","",IF(AF151&lt;=0.2,"Leve",IF(AF151&lt;=0.4,"Menor",IF(AF151&lt;=0.6,"Moderado",IF(AF151&lt;=0.8,"Mayor","Catastrófico"))))),"")</f>
        <v>Moderado</v>
      </c>
      <c r="AF151" s="264">
        <f ca="1">IFERROR(IF(U151="Impacto",(P151-(+P151*X151)),IF(U151="Probabilidad",P151,"")),"")</f>
        <v>0.6</v>
      </c>
      <c r="AG151" s="267" t="str">
        <f ca="1">IFERROR(IF(OR(AND(AC151="Muy Baja",AE151="Leve"),AND(AC151="Muy Baja",AE151="Menor"),AND(AC151="Baja",AE151="Leve")),"Bajo",IF(OR(AND(AC151="Muy baja",AE151="Moderado"),AND(AC151="Baja",AE151="Menor"),AND(AC151="Baja",AE151="Moderado"),AND(AC151="Media",AE151="Leve"),AND(AC151="Media",AE151="Menor"),AND(AC151="Media",AE151="Moderado"),AND(AC151="Alta",AE151="Leve"),AND(AC151="Alta",AE151="Menor")),"Moderado",IF(OR(AND(AC151="Muy Baja",AE151="Mayor"),AND(AC151="Baja",AE151="Mayor"),AND(AC151="Media",AE151="Mayor"),AND(AC151="Alta",AE151="Moderado"),AND(AC151="Alta",AE151="Mayor"),AND(AC151="Muy Alta",AE151="Leve"),AND(AC151="Muy Alta",AE151="Menor"),AND(AC151="Muy Alta",AE151="Moderado"),AND(AC151="Muy Alta",AE151="Mayor")),"Alto",IF(OR(AND(AC151="Muy Baja",AE151="Catastrófico"),AND(AC151="Baja",AE151="Catastrófico"),AND(AC151="Media",AE151="Catastrófico"),AND(AC151="Alta",AE151="Catastrófico"),AND(AC151="Muy Alta",AE151="Catastrófico")),"Extremo","")))),"")</f>
        <v>Moderado</v>
      </c>
      <c r="AH151" s="263" t="s">
        <v>26</v>
      </c>
      <c r="AI151" s="273">
        <v>24</v>
      </c>
      <c r="AJ151" s="273">
        <v>6</v>
      </c>
      <c r="AK151" s="273">
        <v>6</v>
      </c>
      <c r="AL151" s="273">
        <v>6</v>
      </c>
      <c r="AM151" s="273">
        <v>6</v>
      </c>
      <c r="AN151" s="268"/>
      <c r="AO151" s="268"/>
      <c r="AP151" s="258"/>
      <c r="AQ151" s="269"/>
      <c r="AR151" s="270"/>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row>
    <row r="152" spans="1:77" s="113" customFormat="1" ht="9.75" hidden="1" customHeight="1" x14ac:dyDescent="0.2">
      <c r="A152" s="437"/>
      <c r="B152" s="438"/>
      <c r="C152" s="434"/>
      <c r="D152" s="434"/>
      <c r="E152" s="434"/>
      <c r="F152" s="435"/>
      <c r="G152" s="436"/>
      <c r="H152" s="435"/>
      <c r="I152" s="435"/>
      <c r="J152" s="439"/>
      <c r="K152" s="430"/>
      <c r="L152" s="431"/>
      <c r="M152" s="432"/>
      <c r="N152" s="310">
        <f ca="1">IF(NOT(ISERROR(MATCH(M152,_xlfn.ANCHORARRAY(G49),0))),L51&amp;"Por favor no seleccionar los criterios de impacto",M152)</f>
        <v>0</v>
      </c>
      <c r="O152" s="430"/>
      <c r="P152" s="431"/>
      <c r="Q152" s="433"/>
      <c r="R152" s="316">
        <v>2</v>
      </c>
      <c r="S152" s="330"/>
      <c r="T152" s="312"/>
      <c r="U152" s="302" t="str">
        <f>IF(OR(V152="Preventivo",V152="Detectivo"),"Probabilidad",IF(V152="Correctivo","Impacto",""))</f>
        <v/>
      </c>
      <c r="V152" s="237"/>
      <c r="W152" s="237"/>
      <c r="X152" s="209" t="str">
        <f>IF(AND(V152="Preventivo",W152="Automático"),"50%",IF(AND(V152="Preventivo",W152="Manual"),"40%",IF(AND(V152="Detectivo",W152="Automático"),"40%",IF(AND(V152="Detectivo",W152="Manual"),"30%",IF(AND(V152="Correctivo",W152="Automático"),"35%",IF(AND(V152="Correctivo",W152="Manual"),"25%",""))))))</f>
        <v/>
      </c>
      <c r="Y152" s="237"/>
      <c r="Z152" s="237"/>
      <c r="AA152" s="237"/>
      <c r="AB152" s="210" t="str">
        <f t="shared" ref="AB152" si="285">IFERROR(IF(AND(U151="Probabilidad",U152="Probabilidad"),(AD151-(+AD151*X152)),IF(U152="Probabilidad",(L151-(+L151*X152)),IF(U152="Impacto",AD151,""))),"")</f>
        <v/>
      </c>
      <c r="AC152" s="211" t="str">
        <f t="shared" ref="AC152:AC156" si="286">IFERROR(IF(AB152="","",IF(AB152&lt;=0.2,"Muy Baja",IF(AB152&lt;=0.4,"Baja",IF(AB152&lt;=0.6,"Media",IF(AB152&lt;=0.8,"Alta","Muy Alta"))))),"")</f>
        <v/>
      </c>
      <c r="AD152" s="209" t="str">
        <f>+AB152</f>
        <v/>
      </c>
      <c r="AE152" s="211" t="str">
        <f t="shared" ref="AE152:AE156" si="287">IFERROR(IF(AF152="","",IF(AF152&lt;=0.2,"Leve",IF(AF152&lt;=0.4,"Menor",IF(AF152&lt;=0.6,"Moderado",IF(AF152&lt;=0.8,"Mayor","Catastrófico"))))),"")</f>
        <v/>
      </c>
      <c r="AF152" s="209" t="str">
        <f>IFERROR(IF(AND(U151="Impacto",U152="Impacto"),(AF151-(+AF151*X152)),IF(U152="Impacto",($P$37-(+$P$37*X152)),IF(U152="Probabilidad",AF151,""))),"")</f>
        <v/>
      </c>
      <c r="AG152" s="212" t="str">
        <f t="shared" ref="AG152:AG153" si="288">IFERROR(IF(OR(AND(AC152="Muy Baja",AE152="Leve"),AND(AC152="Muy Baja",AE152="Menor"),AND(AC152="Baja",AE152="Leve")),"Bajo",IF(OR(AND(AC152="Muy baja",AE152="Moderado"),AND(AC152="Baja",AE152="Menor"),AND(AC152="Baja",AE152="Moderado"),AND(AC152="Media",AE152="Leve"),AND(AC152="Media",AE152="Menor"),AND(AC152="Media",AE152="Moderado"),AND(AC152="Alta",AE152="Leve"),AND(AC152="Alta",AE152="Menor")),"Moderado",IF(OR(AND(AC152="Muy Baja",AE152="Mayor"),AND(AC152="Baja",AE152="Mayor"),AND(AC152="Media",AE152="Mayor"),AND(AC152="Alta",AE152="Moderado"),AND(AC152="Alta",AE152="Mayor"),AND(AC152="Muy Alta",AE152="Leve"),AND(AC152="Muy Alta",AE152="Menor"),AND(AC152="Muy Alta",AE152="Moderado"),AND(AC152="Muy Alta",AE152="Mayor")),"Alto",IF(OR(AND(AC152="Muy Baja",AE152="Catastrófico"),AND(AC152="Baja",AE152="Catastrófico"),AND(AC152="Media",AE152="Catastrófico"),AND(AC152="Alta",AE152="Catastrófico"),AND(AC152="Muy Alta",AE152="Catastrófico")),"Extremo","")))),"")</f>
        <v/>
      </c>
      <c r="AH152" s="237"/>
      <c r="AI152" s="318"/>
      <c r="AJ152" s="318"/>
      <c r="AK152" s="318"/>
      <c r="AL152" s="318"/>
      <c r="AM152" s="318"/>
      <c r="AN152" s="307"/>
      <c r="AO152" s="307"/>
      <c r="AP152" s="259"/>
      <c r="AQ152" s="220"/>
      <c r="AR152" s="307"/>
      <c r="AS152" s="323"/>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c r="BR152" s="323"/>
      <c r="BS152" s="323"/>
      <c r="BT152" s="323"/>
      <c r="BU152" s="323"/>
      <c r="BV152" s="323"/>
      <c r="BW152" s="323"/>
      <c r="BX152" s="323"/>
      <c r="BY152" s="323"/>
    </row>
    <row r="153" spans="1:77" s="113" customFormat="1" ht="9.75" hidden="1" customHeight="1" x14ac:dyDescent="0.2">
      <c r="A153" s="437"/>
      <c r="B153" s="438"/>
      <c r="C153" s="434"/>
      <c r="D153" s="434"/>
      <c r="E153" s="434"/>
      <c r="F153" s="435"/>
      <c r="G153" s="436"/>
      <c r="H153" s="435"/>
      <c r="I153" s="435"/>
      <c r="J153" s="439"/>
      <c r="K153" s="430"/>
      <c r="L153" s="431"/>
      <c r="M153" s="432"/>
      <c r="N153" s="310">
        <f ca="1">IF(NOT(ISERROR(MATCH(M153,_xlfn.ANCHORARRAY(G50),0))),L52&amp;"Por favor no seleccionar los criterios de impacto",M153)</f>
        <v>0</v>
      </c>
      <c r="O153" s="430"/>
      <c r="P153" s="431"/>
      <c r="Q153" s="433"/>
      <c r="R153" s="316">
        <v>3</v>
      </c>
      <c r="S153" s="330"/>
      <c r="T153" s="312"/>
      <c r="U153" s="302" t="str">
        <f>IF(OR(V153="Preventivo",V153="Detectivo"),"Probabilidad",IF(V153="Correctivo","Impacto",""))</f>
        <v/>
      </c>
      <c r="V153" s="237"/>
      <c r="W153" s="237"/>
      <c r="X153" s="209" t="str">
        <f>IF(AND(V153="Preventivo",W153="Automático"),"50%",IF(AND(V153="Preventivo",W153="Manual"),"40%",IF(AND(V153="Detectivo",W153="Automático"),"40%",IF(AND(V153="Detectivo",W153="Manual"),"30%",IF(AND(V153="Correctivo",W153="Automático"),"35%",IF(AND(V153="Correctivo",W153="Manual"),"25%",""))))))</f>
        <v/>
      </c>
      <c r="Y153" s="237"/>
      <c r="Z153" s="237"/>
      <c r="AA153" s="237"/>
      <c r="AB153" s="210" t="str">
        <f t="shared" ref="AB153:AB156" si="289">IFERROR(IF(AND(U152="Probabilidad",U153="Probabilidad"),(AD152-(+AD152*X153)),IF(AND(U152="Impacto",U153="Probabilidad"),(AD151-(+AD151*X153)),IF(U153="Impacto",AD152,""))),"")</f>
        <v/>
      </c>
      <c r="AC153" s="211" t="str">
        <f t="shared" si="286"/>
        <v/>
      </c>
      <c r="AD153" s="209" t="str">
        <f t="shared" ref="AD153:AD156" si="290">+AB153</f>
        <v/>
      </c>
      <c r="AE153" s="211" t="str">
        <f t="shared" si="287"/>
        <v/>
      </c>
      <c r="AF153" s="209" t="str">
        <f>IFERROR(IF(AND(U152="Impacto",U153="Impacto"),(AF152-(+AF152*X153)),IF(U153="Impacto",($P$31-(+$P$31*X153)),IF(U153="Probabilidad",AF152,""))),"")</f>
        <v/>
      </c>
      <c r="AG153" s="212" t="str">
        <f t="shared" si="288"/>
        <v/>
      </c>
      <c r="AH153" s="237"/>
      <c r="AI153" s="318"/>
      <c r="AJ153" s="318"/>
      <c r="AK153" s="318"/>
      <c r="AL153" s="318"/>
      <c r="AM153" s="318"/>
      <c r="AN153" s="307"/>
      <c r="AO153" s="307"/>
      <c r="AP153" s="259"/>
      <c r="AQ153" s="220"/>
      <c r="AR153" s="307"/>
      <c r="AS153" s="323"/>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c r="BR153" s="323"/>
      <c r="BS153" s="323"/>
      <c r="BT153" s="323"/>
      <c r="BU153" s="323"/>
      <c r="BV153" s="323"/>
      <c r="BW153" s="323"/>
      <c r="BX153" s="323"/>
      <c r="BY153" s="323"/>
    </row>
    <row r="154" spans="1:77" s="113" customFormat="1" ht="9.75" hidden="1" customHeight="1" x14ac:dyDescent="0.2">
      <c r="A154" s="437"/>
      <c r="B154" s="438"/>
      <c r="C154" s="434"/>
      <c r="D154" s="434"/>
      <c r="E154" s="434"/>
      <c r="F154" s="435"/>
      <c r="G154" s="436"/>
      <c r="H154" s="435"/>
      <c r="I154" s="435"/>
      <c r="J154" s="439"/>
      <c r="K154" s="430"/>
      <c r="L154" s="431"/>
      <c r="M154" s="432"/>
      <c r="N154" s="310">
        <f ca="1">IF(NOT(ISERROR(MATCH(M154,_xlfn.ANCHORARRAY(G51),0))),L53&amp;"Por favor no seleccionar los criterios de impacto",M154)</f>
        <v>0</v>
      </c>
      <c r="O154" s="430"/>
      <c r="P154" s="431"/>
      <c r="Q154" s="433"/>
      <c r="R154" s="316">
        <v>4</v>
      </c>
      <c r="S154" s="330"/>
      <c r="T154" s="312"/>
      <c r="U154" s="208" t="str">
        <f t="shared" ref="U154:U156" si="291">IF(OR(V154="Preventivo",V154="Detectivo"),"Probabilidad",IF(V154="Correctivo","Impacto",""))</f>
        <v/>
      </c>
      <c r="V154" s="237"/>
      <c r="W154" s="237"/>
      <c r="X154" s="209" t="str">
        <f t="shared" ref="X154:X156" si="292">IF(AND(V154="Preventivo",W154="Automático"),"50%",IF(AND(V154="Preventivo",W154="Manual"),"40%",IF(AND(V154="Detectivo",W154="Automático"),"40%",IF(AND(V154="Detectivo",W154="Manual"),"30%",IF(AND(V154="Correctivo",W154="Automático"),"35%",IF(AND(V154="Correctivo",W154="Manual"),"25%",""))))))</f>
        <v/>
      </c>
      <c r="Y154" s="237"/>
      <c r="Z154" s="237"/>
      <c r="AA154" s="237"/>
      <c r="AB154" s="210" t="str">
        <f t="shared" si="289"/>
        <v/>
      </c>
      <c r="AC154" s="211" t="str">
        <f t="shared" si="286"/>
        <v/>
      </c>
      <c r="AD154" s="209" t="str">
        <f t="shared" si="290"/>
        <v/>
      </c>
      <c r="AE154" s="211" t="str">
        <f t="shared" si="287"/>
        <v/>
      </c>
      <c r="AF154" s="209" t="str">
        <f t="shared" ref="AF154:AF155" si="293">IFERROR(IF(AND(U153="Impacto",U154="Impacto"),(AF153-(+AF153*X154)),IF(U154="Impacto",($P$31-(+$P$31*X154)),IF(U154="Probabilidad",AF153,""))),"")</f>
        <v/>
      </c>
      <c r="AG154" s="212" t="str">
        <f>IFERROR(IF(OR(AND(AC154="Muy Baja",AE154="Leve"),AND(AC154="Muy Baja",AE154="Menor"),AND(AC154="Baja",AE154="Leve")),"Bajo",IF(OR(AND(AC154="Muy baja",AE154="Moderado"),AND(AC154="Baja",AE154="Menor"),AND(AC154="Baja",AE154="Moderado"),AND(AC154="Media",AE154="Leve"),AND(AC154="Media",AE154="Menor"),AND(AC154="Media",AE154="Moderado"),AND(AC154="Alta",AE154="Leve"),AND(AC154="Alta",AE154="Menor")),"Moderado",IF(OR(AND(AC154="Muy Baja",AE154="Mayor"),AND(AC154="Baja",AE154="Mayor"),AND(AC154="Media",AE154="Mayor"),AND(AC154="Alta",AE154="Moderado"),AND(AC154="Alta",AE154="Mayor"),AND(AC154="Muy Alta",AE154="Leve"),AND(AC154="Muy Alta",AE154="Menor"),AND(AC154="Muy Alta",AE154="Moderado"),AND(AC154="Muy Alta",AE154="Mayor")),"Alto",IF(OR(AND(AC154="Muy Baja",AE154="Catastrófico"),AND(AC154="Baja",AE154="Catastrófico"),AND(AC154="Media",AE154="Catastrófico"),AND(AC154="Alta",AE154="Catastrófico"),AND(AC154="Muy Alta",AE154="Catastrófico")),"Extremo","")))),"")</f>
        <v/>
      </c>
      <c r="AH154" s="237"/>
      <c r="AI154" s="318"/>
      <c r="AJ154" s="318"/>
      <c r="AK154" s="318"/>
      <c r="AL154" s="318"/>
      <c r="AM154" s="318"/>
      <c r="AN154" s="213"/>
      <c r="AO154" s="213"/>
      <c r="AP154" s="308"/>
      <c r="AQ154" s="220"/>
      <c r="AR154" s="21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c r="BU154" s="323"/>
      <c r="BV154" s="323"/>
      <c r="BW154" s="323"/>
      <c r="BX154" s="323"/>
      <c r="BY154" s="323"/>
    </row>
    <row r="155" spans="1:77" s="113" customFormat="1" ht="9.75" hidden="1" customHeight="1" x14ac:dyDescent="0.2">
      <c r="A155" s="437"/>
      <c r="B155" s="438"/>
      <c r="C155" s="434"/>
      <c r="D155" s="434"/>
      <c r="E155" s="434"/>
      <c r="F155" s="435"/>
      <c r="G155" s="436"/>
      <c r="H155" s="435"/>
      <c r="I155" s="435"/>
      <c r="J155" s="439"/>
      <c r="K155" s="430"/>
      <c r="L155" s="431"/>
      <c r="M155" s="432"/>
      <c r="N155" s="310">
        <f ca="1">IF(NOT(ISERROR(MATCH(M155,_xlfn.ANCHORARRAY(G52),0))),L54&amp;"Por favor no seleccionar los criterios de impacto",M155)</f>
        <v>0</v>
      </c>
      <c r="O155" s="430"/>
      <c r="P155" s="431"/>
      <c r="Q155" s="433"/>
      <c r="R155" s="316">
        <v>5</v>
      </c>
      <c r="S155" s="330"/>
      <c r="T155" s="312"/>
      <c r="U155" s="208" t="str">
        <f t="shared" si="291"/>
        <v/>
      </c>
      <c r="V155" s="237"/>
      <c r="W155" s="237"/>
      <c r="X155" s="209" t="str">
        <f t="shared" si="292"/>
        <v/>
      </c>
      <c r="Y155" s="237"/>
      <c r="Z155" s="237"/>
      <c r="AA155" s="237"/>
      <c r="AB155" s="210" t="str">
        <f t="shared" si="289"/>
        <v/>
      </c>
      <c r="AC155" s="211" t="str">
        <f t="shared" si="286"/>
        <v/>
      </c>
      <c r="AD155" s="209" t="str">
        <f t="shared" si="290"/>
        <v/>
      </c>
      <c r="AE155" s="211" t="str">
        <f t="shared" si="287"/>
        <v/>
      </c>
      <c r="AF155" s="209" t="str">
        <f t="shared" si="293"/>
        <v/>
      </c>
      <c r="AG155" s="212" t="str">
        <f t="shared" ref="AG155:AG156" si="294">IFERROR(IF(OR(AND(AC155="Muy Baja",AE155="Leve"),AND(AC155="Muy Baja",AE155="Menor"),AND(AC155="Baja",AE155="Leve")),"Bajo",IF(OR(AND(AC155="Muy baja",AE155="Moderado"),AND(AC155="Baja",AE155="Menor"),AND(AC155="Baja",AE155="Moderado"),AND(AC155="Media",AE155="Leve"),AND(AC155="Media",AE155="Menor"),AND(AC155="Media",AE155="Moderado"),AND(AC155="Alta",AE155="Leve"),AND(AC155="Alta",AE155="Menor")),"Moderado",IF(OR(AND(AC155="Muy Baja",AE155="Mayor"),AND(AC155="Baja",AE155="Mayor"),AND(AC155="Media",AE155="Mayor"),AND(AC155="Alta",AE155="Moderado"),AND(AC155="Alta",AE155="Mayor"),AND(AC155="Muy Alta",AE155="Leve"),AND(AC155="Muy Alta",AE155="Menor"),AND(AC155="Muy Alta",AE155="Moderado"),AND(AC155="Muy Alta",AE155="Mayor")),"Alto",IF(OR(AND(AC155="Muy Baja",AE155="Catastrófico"),AND(AC155="Baja",AE155="Catastrófico"),AND(AC155="Media",AE155="Catastrófico"),AND(AC155="Alta",AE155="Catastrófico"),AND(AC155="Muy Alta",AE155="Catastrófico")),"Extremo","")))),"")</f>
        <v/>
      </c>
      <c r="AH155" s="237"/>
      <c r="AI155" s="318"/>
      <c r="AJ155" s="318"/>
      <c r="AK155" s="318"/>
      <c r="AL155" s="318"/>
      <c r="AM155" s="318"/>
      <c r="AN155" s="305"/>
      <c r="AO155" s="305"/>
      <c r="AP155" s="306"/>
      <c r="AQ155" s="216"/>
      <c r="AR155" s="216"/>
      <c r="AS155" s="323"/>
      <c r="AT155" s="323"/>
      <c r="AU155" s="323"/>
      <c r="AV155" s="323"/>
      <c r="AW155" s="323"/>
      <c r="AX155" s="323"/>
      <c r="AY155" s="323"/>
      <c r="AZ155" s="323"/>
      <c r="BA155" s="323"/>
      <c r="BB155" s="323"/>
      <c r="BC155" s="323"/>
      <c r="BD155" s="323"/>
      <c r="BE155" s="323"/>
      <c r="BF155" s="323"/>
      <c r="BG155" s="323"/>
      <c r="BH155" s="323"/>
      <c r="BI155" s="323"/>
      <c r="BJ155" s="323"/>
      <c r="BK155" s="323"/>
      <c r="BL155" s="323"/>
      <c r="BM155" s="323"/>
      <c r="BN155" s="323"/>
      <c r="BO155" s="323"/>
      <c r="BP155" s="323"/>
      <c r="BQ155" s="323"/>
      <c r="BR155" s="323"/>
      <c r="BS155" s="323"/>
      <c r="BT155" s="323"/>
      <c r="BU155" s="323"/>
      <c r="BV155" s="323"/>
      <c r="BW155" s="323"/>
      <c r="BX155" s="323"/>
      <c r="BY155" s="323"/>
    </row>
    <row r="156" spans="1:77" s="113" customFormat="1" ht="9.75" hidden="1" customHeight="1" x14ac:dyDescent="0.2">
      <c r="A156" s="437"/>
      <c r="B156" s="438"/>
      <c r="C156" s="434"/>
      <c r="D156" s="434"/>
      <c r="E156" s="434"/>
      <c r="F156" s="435"/>
      <c r="G156" s="436"/>
      <c r="H156" s="435"/>
      <c r="I156" s="435"/>
      <c r="J156" s="439"/>
      <c r="K156" s="430"/>
      <c r="L156" s="431"/>
      <c r="M156" s="432"/>
      <c r="N156" s="310">
        <f ca="1">IF(NOT(ISERROR(MATCH(M156,_xlfn.ANCHORARRAY(G53),0))),L55&amp;"Por favor no seleccionar los criterios de impacto",M156)</f>
        <v>0</v>
      </c>
      <c r="O156" s="430"/>
      <c r="P156" s="431"/>
      <c r="Q156" s="433"/>
      <c r="R156" s="316">
        <v>6</v>
      </c>
      <c r="S156" s="330"/>
      <c r="T156" s="312"/>
      <c r="U156" s="208" t="str">
        <f t="shared" si="291"/>
        <v/>
      </c>
      <c r="V156" s="237"/>
      <c r="W156" s="237"/>
      <c r="X156" s="209" t="str">
        <f t="shared" si="292"/>
        <v/>
      </c>
      <c r="Y156" s="237"/>
      <c r="Z156" s="237"/>
      <c r="AA156" s="237"/>
      <c r="AB156" s="210" t="str">
        <f t="shared" si="289"/>
        <v/>
      </c>
      <c r="AC156" s="211" t="str">
        <f t="shared" si="286"/>
        <v/>
      </c>
      <c r="AD156" s="209" t="str">
        <f t="shared" si="290"/>
        <v/>
      </c>
      <c r="AE156" s="211" t="str">
        <f t="shared" si="287"/>
        <v/>
      </c>
      <c r="AF156" s="209" t="str">
        <f>IFERROR(IF(AND(U155="Impacto",U156="Impacto"),(AF155-(+AF155*X156)),IF(U156="Impacto",($P$31-(+$P$31*X156)),IF(U156="Probabilidad",AF155,""))),"")</f>
        <v/>
      </c>
      <c r="AG156" s="212" t="str">
        <f t="shared" si="294"/>
        <v/>
      </c>
      <c r="AH156" s="237"/>
      <c r="AI156" s="318"/>
      <c r="AJ156" s="318"/>
      <c r="AK156" s="318"/>
      <c r="AL156" s="318"/>
      <c r="AM156" s="318"/>
      <c r="AN156" s="305"/>
      <c r="AO156" s="305"/>
      <c r="AP156" s="306"/>
      <c r="AQ156" s="216"/>
      <c r="AR156" s="216"/>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c r="BR156" s="323"/>
      <c r="BS156" s="323"/>
      <c r="BT156" s="323"/>
      <c r="BU156" s="323"/>
      <c r="BV156" s="323"/>
      <c r="BW156" s="323"/>
      <c r="BX156" s="323"/>
      <c r="BY156" s="323"/>
    </row>
    <row r="157" spans="1:77" s="271" customFormat="1" ht="128.25" x14ac:dyDescent="0.2">
      <c r="A157" s="437" t="s">
        <v>871</v>
      </c>
      <c r="B157" s="438" t="s">
        <v>609</v>
      </c>
      <c r="C157" s="434" t="s">
        <v>621</v>
      </c>
      <c r="D157" s="434" t="s">
        <v>107</v>
      </c>
      <c r="E157" s="434" t="s">
        <v>884</v>
      </c>
      <c r="F157" s="435" t="s">
        <v>685</v>
      </c>
      <c r="G157" s="436" t="s">
        <v>883</v>
      </c>
      <c r="H157" s="435" t="s">
        <v>655</v>
      </c>
      <c r="I157" s="435" t="s">
        <v>753</v>
      </c>
      <c r="J157" s="439">
        <v>25</v>
      </c>
      <c r="K157" s="430" t="str">
        <f t="shared" ref="K157" si="295">IF(J157&lt;=0,"",IF(J157&lt;=2,"Muy Baja",IF(J157&lt;=24,"Baja",IF(J157&lt;=500,"Media",IF(J157&lt;=5000,"Alta","Muy Alta")))))</f>
        <v>Media</v>
      </c>
      <c r="L157" s="431">
        <f>IF(K157="","",IF(K157="Muy Baja",0.2,IF(K157="Baja",0.4,IF(K157="Media",0.6,IF(K157="Alta",0.8,IF(K157="Muy Alta",1,))))))</f>
        <v>0.6</v>
      </c>
      <c r="M157" s="432" t="s">
        <v>123</v>
      </c>
      <c r="N157" s="310" t="str">
        <f ca="1">IF(NOT(ISERROR(MATCH(M157,'Tabla Impacto'!$B$221:$B$223,0))),'Tabla Impacto'!$F$223&amp;"Por favor no seleccionar los criterios de impacto(Afectación Económica o presupuestal y Pérdida Reputacional)",M157)</f>
        <v xml:space="preserve">     El riesgo afecta la imagen de la entidad a nivel nacional, con efecto publicitarios sostenible a nivel país</v>
      </c>
      <c r="O157" s="430" t="str">
        <f ca="1">IF(OR(N157='Tabla Impacto'!$C$11,N157='Tabla Impacto'!$D$11),"Leve",IF(OR(N157='Tabla Impacto'!$C$12,N157='Tabla Impacto'!$D$12),"Menor",IF(OR(N157='Tabla Impacto'!$C$13,N157='Tabla Impacto'!$D$13),"Moderado",IF(OR(N157='Tabla Impacto'!$C$14,N157='Tabla Impacto'!$D$14),"Mayor",IF(OR(N157='Tabla Impacto'!$C$15,N157='Tabla Impacto'!$D$15),"Catastrófico","")))))</f>
        <v>Catastrófico</v>
      </c>
      <c r="P157" s="431">
        <f ca="1">IF(O157="","",IF(O157="Leve",0.2,IF(O157="Menor",0.4,IF(O157="Moderado",0.6,IF(O157="Mayor",0.8,IF(O157="Catastrófico",1,))))))</f>
        <v>1</v>
      </c>
      <c r="Q157" s="433" t="str">
        <f ca="1">IF(OR(AND(K157="Muy Baja",O157="Leve"),AND(K157="Muy Baja",O157="Menor"),AND(K157="Baja",O157="Leve")),"Bajo",IF(OR(AND(K157="Muy baja",O157="Moderado"),AND(K157="Baja",O157="Menor"),AND(K157="Baja",O157="Moderado"),AND(K157="Media",O157="Leve"),AND(K157="Media",O157="Menor"),AND(K157="Media",O157="Moderado"),AND(K157="Alta",O157="Leve"),AND(K157="Alta",O157="Menor")),"Moderado",IF(OR(AND(K157="Muy Baja",O157="Mayor"),AND(K157="Baja",O157="Mayor"),AND(K157="Media",O157="Mayor"),AND(K157="Alta",O157="Moderado"),AND(K157="Alta",O157="Mayor"),AND(K157="Muy Alta",O157="Leve"),AND(K157="Muy Alta",O157="Menor"),AND(K157="Muy Alta",O157="Moderado"),AND(K157="Muy Alta",O157="Mayor")),"Alto",IF(OR(AND(K157="Muy Baja",O157="Catastrófico"),AND(K157="Baja",O157="Catastrófico"),AND(K157="Media",O157="Catastrófico"),AND(K157="Alta",O157="Catastrófico"),AND(K157="Muy Alta",O157="Catastrófico")),"Extremo",""))))</f>
        <v>Extremo</v>
      </c>
      <c r="R157" s="261">
        <v>1</v>
      </c>
      <c r="S157" s="334" t="s">
        <v>885</v>
      </c>
      <c r="T157" s="272" t="s">
        <v>293</v>
      </c>
      <c r="U157" s="262" t="str">
        <f>IF(OR(V157="Preventivo",V157="Detectivo"),"Probabilidad",IF(V157="Correctivo","Impacto",""))</f>
        <v>Probabilidad</v>
      </c>
      <c r="V157" s="263" t="s">
        <v>13</v>
      </c>
      <c r="W157" s="263" t="s">
        <v>8</v>
      </c>
      <c r="X157" s="264" t="str">
        <f>IF(AND(V157="Preventivo",W157="Automático"),"50%",IF(AND(V157="Preventivo",W157="Manual"),"40%",IF(AND(V157="Detectivo",W157="Automático"),"40%",IF(AND(V157="Detectivo",W157="Manual"),"30%",IF(AND(V157="Correctivo",W157="Automático"),"35%",IF(AND(V157="Correctivo",W157="Manual"),"25%",""))))))</f>
        <v>40%</v>
      </c>
      <c r="Y157" s="263" t="s">
        <v>18</v>
      </c>
      <c r="Z157" s="263" t="s">
        <v>21</v>
      </c>
      <c r="AA157" s="263" t="s">
        <v>103</v>
      </c>
      <c r="AB157" s="265">
        <f t="shared" ref="AB157" si="296">IFERROR(IF(U157="Probabilidad",(L157-(+L157*X157)),IF(U157="Impacto",L157,"")),"")</f>
        <v>0.36</v>
      </c>
      <c r="AC157" s="266" t="str">
        <f>IFERROR(IF(AB157="","",IF(AB157&lt;=0.2,"Muy Baja",IF(AB157&lt;=0.4,"Baja",IF(AB157&lt;=0.6,"Media",IF(AB157&lt;=0.8,"Alta","Muy Alta"))))),"")</f>
        <v>Baja</v>
      </c>
      <c r="AD157" s="264">
        <f>+AB157</f>
        <v>0.36</v>
      </c>
      <c r="AE157" s="266" t="str">
        <f ca="1">IFERROR(IF(AF157="","",IF(AF157&lt;=0.2,"Leve",IF(AF157&lt;=0.4,"Menor",IF(AF157&lt;=0.6,"Moderado",IF(AF157&lt;=0.8,"Mayor","Catastrófico"))))),"")</f>
        <v>Catastrófico</v>
      </c>
      <c r="AF157" s="264">
        <f ca="1">IFERROR(IF(U157="Impacto",(P157-(+P157*X157)),IF(U157="Probabilidad",P157,"")),"")</f>
        <v>1</v>
      </c>
      <c r="AG157" s="267" t="str">
        <f ca="1">IFERROR(IF(OR(AND(AC157="Muy Baja",AE157="Leve"),AND(AC157="Muy Baja",AE157="Menor"),AND(AC157="Baja",AE157="Leve")),"Bajo",IF(OR(AND(AC157="Muy baja",AE157="Moderado"),AND(AC157="Baja",AE157="Menor"),AND(AC157="Baja",AE157="Moderado"),AND(AC157="Media",AE157="Leve"),AND(AC157="Media",AE157="Menor"),AND(AC157="Media",AE157="Moderado"),AND(AC157="Alta",AE157="Leve"),AND(AC157="Alta",AE157="Menor")),"Moderado",IF(OR(AND(AC157="Muy Baja",AE157="Mayor"),AND(AC157="Baja",AE157="Mayor"),AND(AC157="Media",AE157="Mayor"),AND(AC157="Alta",AE157="Moderado"),AND(AC157="Alta",AE157="Mayor"),AND(AC157="Muy Alta",AE157="Leve"),AND(AC157="Muy Alta",AE157="Menor"),AND(AC157="Muy Alta",AE157="Moderado"),AND(AC157="Muy Alta",AE157="Mayor")),"Alto",IF(OR(AND(AC157="Muy Baja",AE157="Catastrófico"),AND(AC157="Baja",AE157="Catastrófico"),AND(AC157="Media",AE157="Catastrófico"),AND(AC157="Alta",AE157="Catastrófico"),AND(AC157="Muy Alta",AE157="Catastrófico")),"Extremo","")))),"")</f>
        <v>Extremo</v>
      </c>
      <c r="AH157" s="263" t="s">
        <v>26</v>
      </c>
      <c r="AI157" s="273">
        <v>0</v>
      </c>
      <c r="AJ157" s="273">
        <v>0</v>
      </c>
      <c r="AK157" s="273">
        <v>0</v>
      </c>
      <c r="AL157" s="273">
        <v>0</v>
      </c>
      <c r="AM157" s="273">
        <v>0</v>
      </c>
      <c r="AN157" s="268"/>
      <c r="AO157" s="268"/>
      <c r="AP157" s="258"/>
      <c r="AQ157" s="269"/>
      <c r="AR157" s="270"/>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c r="BR157" s="323"/>
      <c r="BS157" s="323"/>
      <c r="BT157" s="323"/>
      <c r="BU157" s="323"/>
      <c r="BV157" s="323"/>
      <c r="BW157" s="323"/>
      <c r="BX157" s="323"/>
      <c r="BY157" s="323"/>
    </row>
    <row r="158" spans="1:77" s="113" customFormat="1" ht="102.75" customHeight="1" x14ac:dyDescent="0.2">
      <c r="A158" s="437"/>
      <c r="B158" s="438"/>
      <c r="C158" s="434"/>
      <c r="D158" s="434"/>
      <c r="E158" s="434"/>
      <c r="F158" s="435"/>
      <c r="G158" s="436"/>
      <c r="H158" s="435"/>
      <c r="I158" s="435"/>
      <c r="J158" s="439"/>
      <c r="K158" s="430"/>
      <c r="L158" s="431"/>
      <c r="M158" s="432"/>
      <c r="N158" s="310">
        <f ca="1">IF(NOT(ISERROR(MATCH(M158,_xlfn.ANCHORARRAY(G37),0))),L39&amp;"Por favor no seleccionar los criterios de impacto",M158)</f>
        <v>0</v>
      </c>
      <c r="O158" s="430"/>
      <c r="P158" s="431"/>
      <c r="Q158" s="433"/>
      <c r="R158" s="316">
        <v>2</v>
      </c>
      <c r="S158" s="330" t="s">
        <v>886</v>
      </c>
      <c r="T158" s="312" t="s">
        <v>293</v>
      </c>
      <c r="U158" s="302" t="str">
        <f>IF(OR(V158="Preventivo",V158="Detectivo"),"Probabilidad",IF(V158="Correctivo","Impacto",""))</f>
        <v>Probabilidad</v>
      </c>
      <c r="V158" s="237" t="s">
        <v>13</v>
      </c>
      <c r="W158" s="237" t="s">
        <v>8</v>
      </c>
      <c r="X158" s="209" t="str">
        <f>IF(AND(V158="Preventivo",W158="Automático"),"50%",IF(AND(V158="Preventivo",W158="Manual"),"40%",IF(AND(V158="Detectivo",W158="Automático"),"40%",IF(AND(V158="Detectivo",W158="Manual"),"30%",IF(AND(V158="Correctivo",W158="Automático"),"35%",IF(AND(V158="Correctivo",W158="Manual"),"25%",""))))))</f>
        <v>40%</v>
      </c>
      <c r="Y158" s="237" t="s">
        <v>18</v>
      </c>
      <c r="Z158" s="237" t="s">
        <v>21</v>
      </c>
      <c r="AA158" s="237" t="s">
        <v>103</v>
      </c>
      <c r="AB158" s="210">
        <f t="shared" ref="AB158" si="297">IFERROR(IF(AND(U157="Probabilidad",U158="Probabilidad"),(AD157-(+AD157*X158)),IF(U158="Probabilidad",(L157-(+L157*X158)),IF(U158="Impacto",AD157,""))),"")</f>
        <v>0.216</v>
      </c>
      <c r="AC158" s="211" t="str">
        <f t="shared" ref="AC158:AC162" si="298">IFERROR(IF(AB158="","",IF(AB158&lt;=0.2,"Muy Baja",IF(AB158&lt;=0.4,"Baja",IF(AB158&lt;=0.6,"Media",IF(AB158&lt;=0.8,"Alta","Muy Alta"))))),"")</f>
        <v>Baja</v>
      </c>
      <c r="AD158" s="209">
        <f>+AB158</f>
        <v>0.216</v>
      </c>
      <c r="AE158" s="211" t="str">
        <f t="shared" ref="AE158:AE162" ca="1" si="299">IFERROR(IF(AF158="","",IF(AF158&lt;=0.2,"Leve",IF(AF158&lt;=0.4,"Menor",IF(AF158&lt;=0.6,"Moderado",IF(AF158&lt;=0.8,"Mayor","Catastrófico"))))),"")</f>
        <v>Catastrófico</v>
      </c>
      <c r="AF158" s="209">
        <f ca="1">IFERROR(IF(AND(U157="Impacto",U158="Impacto"),(AF157-(+AF157*X158)),IF(U158="Impacto",($P$37-(+$P$37*X158)),IF(U158="Probabilidad",AF157,""))),"")</f>
        <v>1</v>
      </c>
      <c r="AG158" s="212" t="str">
        <f t="shared" ref="AG158:AG159" ca="1" si="300">IFERROR(IF(OR(AND(AC158="Muy Baja",AE158="Leve"),AND(AC158="Muy Baja",AE158="Menor"),AND(AC158="Baja",AE158="Leve")),"Bajo",IF(OR(AND(AC158="Muy baja",AE158="Moderado"),AND(AC158="Baja",AE158="Menor"),AND(AC158="Baja",AE158="Moderado"),AND(AC158="Media",AE158="Leve"),AND(AC158="Media",AE158="Menor"),AND(AC158="Media",AE158="Moderado"),AND(AC158="Alta",AE158="Leve"),AND(AC158="Alta",AE158="Menor")),"Moderado",IF(OR(AND(AC158="Muy Baja",AE158="Mayor"),AND(AC158="Baja",AE158="Mayor"),AND(AC158="Media",AE158="Mayor"),AND(AC158="Alta",AE158="Moderado"),AND(AC158="Alta",AE158="Mayor"),AND(AC158="Muy Alta",AE158="Leve"),AND(AC158="Muy Alta",AE158="Menor"),AND(AC158="Muy Alta",AE158="Moderado"),AND(AC158="Muy Alta",AE158="Mayor")),"Alto",IF(OR(AND(AC158="Muy Baja",AE158="Catastrófico"),AND(AC158="Baja",AE158="Catastrófico"),AND(AC158="Media",AE158="Catastrófico"),AND(AC158="Alta",AE158="Catastrófico"),AND(AC158="Muy Alta",AE158="Catastrófico")),"Extremo","")))),"")</f>
        <v>Extremo</v>
      </c>
      <c r="AH158" s="237" t="s">
        <v>26</v>
      </c>
      <c r="AI158" s="318">
        <v>0</v>
      </c>
      <c r="AJ158" s="318">
        <v>0</v>
      </c>
      <c r="AK158" s="318">
        <v>0</v>
      </c>
      <c r="AL158" s="318">
        <v>0</v>
      </c>
      <c r="AM158" s="318">
        <v>0</v>
      </c>
      <c r="AN158" s="307"/>
      <c r="AO158" s="307"/>
      <c r="AP158" s="259"/>
      <c r="AQ158" s="220"/>
      <c r="AR158" s="307"/>
      <c r="AS158" s="323"/>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3"/>
      <c r="BO158" s="323"/>
      <c r="BP158" s="323"/>
      <c r="BQ158" s="323"/>
      <c r="BR158" s="323"/>
      <c r="BS158" s="323"/>
      <c r="BT158" s="323"/>
      <c r="BU158" s="323"/>
      <c r="BV158" s="323"/>
      <c r="BW158" s="323"/>
      <c r="BX158" s="323"/>
      <c r="BY158" s="323"/>
    </row>
    <row r="159" spans="1:77" s="113" customFormat="1" ht="14.25" hidden="1" customHeight="1" x14ac:dyDescent="0.2">
      <c r="A159" s="437"/>
      <c r="B159" s="438"/>
      <c r="C159" s="434"/>
      <c r="D159" s="434"/>
      <c r="E159" s="434"/>
      <c r="F159" s="435"/>
      <c r="G159" s="436"/>
      <c r="H159" s="435"/>
      <c r="I159" s="435"/>
      <c r="J159" s="439"/>
      <c r="K159" s="430"/>
      <c r="L159" s="431"/>
      <c r="M159" s="432"/>
      <c r="N159" s="310">
        <f ca="1">IF(NOT(ISERROR(MATCH(M159,_xlfn.ANCHORARRAY(G38),0))),L40&amp;"Por favor no seleccionar los criterios de impacto",M159)</f>
        <v>0</v>
      </c>
      <c r="O159" s="430"/>
      <c r="P159" s="431"/>
      <c r="Q159" s="433"/>
      <c r="R159" s="316">
        <v>3</v>
      </c>
      <c r="S159" s="330"/>
      <c r="T159" s="312"/>
      <c r="U159" s="302" t="str">
        <f>IF(OR(V159="Preventivo",V159="Detectivo"),"Probabilidad",IF(V159="Correctivo","Impacto",""))</f>
        <v/>
      </c>
      <c r="V159" s="237"/>
      <c r="W159" s="237"/>
      <c r="X159" s="209" t="str">
        <f>IF(AND(V159="Preventivo",W159="Automático"),"50%",IF(AND(V159="Preventivo",W159="Manual"),"40%",IF(AND(V159="Detectivo",W159="Automático"),"40%",IF(AND(V159="Detectivo",W159="Manual"),"30%",IF(AND(V159="Correctivo",W159="Automático"),"35%",IF(AND(V159="Correctivo",W159="Manual"),"25%",""))))))</f>
        <v/>
      </c>
      <c r="Y159" s="237"/>
      <c r="Z159" s="237"/>
      <c r="AA159" s="237"/>
      <c r="AB159" s="210" t="str">
        <f t="shared" ref="AB159:AB162" si="301">IFERROR(IF(AND(U158="Probabilidad",U159="Probabilidad"),(AD158-(+AD158*X159)),IF(AND(U158="Impacto",U159="Probabilidad"),(AD157-(+AD157*X159)),IF(U159="Impacto",AD158,""))),"")</f>
        <v/>
      </c>
      <c r="AC159" s="211" t="str">
        <f t="shared" si="298"/>
        <v/>
      </c>
      <c r="AD159" s="209" t="str">
        <f t="shared" ref="AD159:AD162" si="302">+AB159</f>
        <v/>
      </c>
      <c r="AE159" s="211" t="str">
        <f t="shared" si="299"/>
        <v/>
      </c>
      <c r="AF159" s="209" t="str">
        <f>IFERROR(IF(AND(U158="Impacto",U159="Impacto"),(AF158-(+AF158*X159)),IF(U159="Impacto",($P$31-(+$P$31*X159)),IF(U159="Probabilidad",AF158,""))),"")</f>
        <v/>
      </c>
      <c r="AG159" s="212" t="str">
        <f t="shared" si="300"/>
        <v/>
      </c>
      <c r="AH159" s="237"/>
      <c r="AI159" s="318"/>
      <c r="AJ159" s="318"/>
      <c r="AK159" s="318"/>
      <c r="AL159" s="318"/>
      <c r="AM159" s="318"/>
      <c r="AN159" s="307"/>
      <c r="AO159" s="307"/>
      <c r="AP159" s="259"/>
      <c r="AQ159" s="220"/>
      <c r="AR159" s="307"/>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3"/>
      <c r="BO159" s="323"/>
      <c r="BP159" s="323"/>
      <c r="BQ159" s="323"/>
      <c r="BR159" s="323"/>
      <c r="BS159" s="323"/>
      <c r="BT159" s="323"/>
      <c r="BU159" s="323"/>
      <c r="BV159" s="323"/>
      <c r="BW159" s="323"/>
      <c r="BX159" s="323"/>
      <c r="BY159" s="323"/>
    </row>
    <row r="160" spans="1:77" s="113" customFormat="1" ht="14.25" hidden="1" customHeight="1" x14ac:dyDescent="0.2">
      <c r="A160" s="437"/>
      <c r="B160" s="438"/>
      <c r="C160" s="434"/>
      <c r="D160" s="434"/>
      <c r="E160" s="434"/>
      <c r="F160" s="435"/>
      <c r="G160" s="436"/>
      <c r="H160" s="435"/>
      <c r="I160" s="435"/>
      <c r="J160" s="439"/>
      <c r="K160" s="430"/>
      <c r="L160" s="431"/>
      <c r="M160" s="432"/>
      <c r="N160" s="310">
        <f ca="1">IF(NOT(ISERROR(MATCH(M160,_xlfn.ANCHORARRAY(G39),0))),L41&amp;"Por favor no seleccionar los criterios de impacto",M160)</f>
        <v>0</v>
      </c>
      <c r="O160" s="430"/>
      <c r="P160" s="431"/>
      <c r="Q160" s="433"/>
      <c r="R160" s="316">
        <v>4</v>
      </c>
      <c r="S160" s="330"/>
      <c r="T160" s="312"/>
      <c r="U160" s="208" t="str">
        <f t="shared" ref="U160:U162" si="303">IF(OR(V160="Preventivo",V160="Detectivo"),"Probabilidad",IF(V160="Correctivo","Impacto",""))</f>
        <v/>
      </c>
      <c r="V160" s="237"/>
      <c r="W160" s="237"/>
      <c r="X160" s="209" t="str">
        <f t="shared" ref="X160:X162" si="304">IF(AND(V160="Preventivo",W160="Automático"),"50%",IF(AND(V160="Preventivo",W160="Manual"),"40%",IF(AND(V160="Detectivo",W160="Automático"),"40%",IF(AND(V160="Detectivo",W160="Manual"),"30%",IF(AND(V160="Correctivo",W160="Automático"),"35%",IF(AND(V160="Correctivo",W160="Manual"),"25%",""))))))</f>
        <v/>
      </c>
      <c r="Y160" s="237"/>
      <c r="Z160" s="237"/>
      <c r="AA160" s="237"/>
      <c r="AB160" s="210" t="str">
        <f t="shared" si="301"/>
        <v/>
      </c>
      <c r="AC160" s="211" t="str">
        <f t="shared" si="298"/>
        <v/>
      </c>
      <c r="AD160" s="209" t="str">
        <f t="shared" si="302"/>
        <v/>
      </c>
      <c r="AE160" s="211" t="str">
        <f t="shared" si="299"/>
        <v/>
      </c>
      <c r="AF160" s="209" t="str">
        <f t="shared" ref="AF160:AF161" si="305">IFERROR(IF(AND(U159="Impacto",U160="Impacto"),(AF159-(+AF159*X160)),IF(U160="Impacto",($P$31-(+$P$31*X160)),IF(U160="Probabilidad",AF159,""))),"")</f>
        <v/>
      </c>
      <c r="AG160" s="212" t="str">
        <f>IFERROR(IF(OR(AND(AC160="Muy Baja",AE160="Leve"),AND(AC160="Muy Baja",AE160="Menor"),AND(AC160="Baja",AE160="Leve")),"Bajo",IF(OR(AND(AC160="Muy baja",AE160="Moderado"),AND(AC160="Baja",AE160="Menor"),AND(AC160="Baja",AE160="Moderado"),AND(AC160="Media",AE160="Leve"),AND(AC160="Media",AE160="Menor"),AND(AC160="Media",AE160="Moderado"),AND(AC160="Alta",AE160="Leve"),AND(AC160="Alta",AE160="Menor")),"Moderado",IF(OR(AND(AC160="Muy Baja",AE160="Mayor"),AND(AC160="Baja",AE160="Mayor"),AND(AC160="Media",AE160="Mayor"),AND(AC160="Alta",AE160="Moderado"),AND(AC160="Alta",AE160="Mayor"),AND(AC160="Muy Alta",AE160="Leve"),AND(AC160="Muy Alta",AE160="Menor"),AND(AC160="Muy Alta",AE160="Moderado"),AND(AC160="Muy Alta",AE160="Mayor")),"Alto",IF(OR(AND(AC160="Muy Baja",AE160="Catastrófico"),AND(AC160="Baja",AE160="Catastrófico"),AND(AC160="Media",AE160="Catastrófico"),AND(AC160="Alta",AE160="Catastrófico"),AND(AC160="Muy Alta",AE160="Catastrófico")),"Extremo","")))),"")</f>
        <v/>
      </c>
      <c r="AH160" s="237"/>
      <c r="AI160" s="318"/>
      <c r="AJ160" s="318"/>
      <c r="AK160" s="318"/>
      <c r="AL160" s="318"/>
      <c r="AM160" s="318"/>
      <c r="AN160" s="213"/>
      <c r="AO160" s="213"/>
      <c r="AP160" s="308"/>
      <c r="AQ160" s="220"/>
      <c r="AR160" s="21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3"/>
      <c r="BO160" s="323"/>
      <c r="BP160" s="323"/>
      <c r="BQ160" s="323"/>
      <c r="BR160" s="323"/>
      <c r="BS160" s="323"/>
      <c r="BT160" s="323"/>
      <c r="BU160" s="323"/>
      <c r="BV160" s="323"/>
      <c r="BW160" s="323"/>
      <c r="BX160" s="323"/>
      <c r="BY160" s="323"/>
    </row>
    <row r="161" spans="1:77" s="113" customFormat="1" ht="14.25" hidden="1" customHeight="1" x14ac:dyDescent="0.2">
      <c r="A161" s="437"/>
      <c r="B161" s="438"/>
      <c r="C161" s="434"/>
      <c r="D161" s="434"/>
      <c r="E161" s="434"/>
      <c r="F161" s="435"/>
      <c r="G161" s="436"/>
      <c r="H161" s="435"/>
      <c r="I161" s="435"/>
      <c r="J161" s="439"/>
      <c r="K161" s="430"/>
      <c r="L161" s="431"/>
      <c r="M161" s="432"/>
      <c r="N161" s="310">
        <f ca="1">IF(NOT(ISERROR(MATCH(M161,_xlfn.ANCHORARRAY(G40),0))),L42&amp;"Por favor no seleccionar los criterios de impacto",M161)</f>
        <v>0</v>
      </c>
      <c r="O161" s="430"/>
      <c r="P161" s="431"/>
      <c r="Q161" s="433"/>
      <c r="R161" s="316">
        <v>5</v>
      </c>
      <c r="S161" s="330"/>
      <c r="T161" s="312"/>
      <c r="U161" s="208" t="str">
        <f t="shared" si="303"/>
        <v/>
      </c>
      <c r="V161" s="237"/>
      <c r="W161" s="237"/>
      <c r="X161" s="209" t="str">
        <f t="shared" si="304"/>
        <v/>
      </c>
      <c r="Y161" s="237"/>
      <c r="Z161" s="237"/>
      <c r="AA161" s="237"/>
      <c r="AB161" s="210" t="str">
        <f t="shared" si="301"/>
        <v/>
      </c>
      <c r="AC161" s="211" t="str">
        <f t="shared" si="298"/>
        <v/>
      </c>
      <c r="AD161" s="209" t="str">
        <f t="shared" si="302"/>
        <v/>
      </c>
      <c r="AE161" s="211" t="str">
        <f t="shared" si="299"/>
        <v/>
      </c>
      <c r="AF161" s="209" t="str">
        <f t="shared" si="305"/>
        <v/>
      </c>
      <c r="AG161" s="212" t="str">
        <f t="shared" ref="AG161:AG162" si="306">IFERROR(IF(OR(AND(AC161="Muy Baja",AE161="Leve"),AND(AC161="Muy Baja",AE161="Menor"),AND(AC161="Baja",AE161="Leve")),"Bajo",IF(OR(AND(AC161="Muy baja",AE161="Moderado"),AND(AC161="Baja",AE161="Menor"),AND(AC161="Baja",AE161="Moderado"),AND(AC161="Media",AE161="Leve"),AND(AC161="Media",AE161="Menor"),AND(AC161="Media",AE161="Moderado"),AND(AC161="Alta",AE161="Leve"),AND(AC161="Alta",AE161="Menor")),"Moderado",IF(OR(AND(AC161="Muy Baja",AE161="Mayor"),AND(AC161="Baja",AE161="Mayor"),AND(AC161="Media",AE161="Mayor"),AND(AC161="Alta",AE161="Moderado"),AND(AC161="Alta",AE161="Mayor"),AND(AC161="Muy Alta",AE161="Leve"),AND(AC161="Muy Alta",AE161="Menor"),AND(AC161="Muy Alta",AE161="Moderado"),AND(AC161="Muy Alta",AE161="Mayor")),"Alto",IF(OR(AND(AC161="Muy Baja",AE161="Catastrófico"),AND(AC161="Baja",AE161="Catastrófico"),AND(AC161="Media",AE161="Catastrófico"),AND(AC161="Alta",AE161="Catastrófico"),AND(AC161="Muy Alta",AE161="Catastrófico")),"Extremo","")))),"")</f>
        <v/>
      </c>
      <c r="AH161" s="237"/>
      <c r="AI161" s="318"/>
      <c r="AJ161" s="318"/>
      <c r="AK161" s="318"/>
      <c r="AL161" s="318"/>
      <c r="AM161" s="318"/>
      <c r="AN161" s="305"/>
      <c r="AO161" s="305"/>
      <c r="AP161" s="306"/>
      <c r="AQ161" s="216"/>
      <c r="AR161" s="216"/>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3"/>
      <c r="BO161" s="323"/>
      <c r="BP161" s="323"/>
      <c r="BQ161" s="323"/>
      <c r="BR161" s="323"/>
      <c r="BS161" s="323"/>
      <c r="BT161" s="323"/>
      <c r="BU161" s="323"/>
      <c r="BV161" s="323"/>
      <c r="BW161" s="323"/>
      <c r="BX161" s="323"/>
      <c r="BY161" s="323"/>
    </row>
    <row r="162" spans="1:77" s="113" customFormat="1" ht="14.25" hidden="1" customHeight="1" x14ac:dyDescent="0.2">
      <c r="A162" s="437"/>
      <c r="B162" s="438"/>
      <c r="C162" s="434"/>
      <c r="D162" s="434"/>
      <c r="E162" s="434"/>
      <c r="F162" s="435"/>
      <c r="G162" s="436"/>
      <c r="H162" s="435"/>
      <c r="I162" s="435"/>
      <c r="J162" s="439"/>
      <c r="K162" s="430"/>
      <c r="L162" s="431"/>
      <c r="M162" s="432"/>
      <c r="N162" s="310">
        <f ca="1">IF(NOT(ISERROR(MATCH(M162,_xlfn.ANCHORARRAY(G41),0))),L43&amp;"Por favor no seleccionar los criterios de impacto",M162)</f>
        <v>0</v>
      </c>
      <c r="O162" s="430"/>
      <c r="P162" s="431"/>
      <c r="Q162" s="433"/>
      <c r="R162" s="316">
        <v>6</v>
      </c>
      <c r="S162" s="330"/>
      <c r="T162" s="312"/>
      <c r="U162" s="208" t="str">
        <f t="shared" si="303"/>
        <v/>
      </c>
      <c r="V162" s="237"/>
      <c r="W162" s="237"/>
      <c r="X162" s="209" t="str">
        <f t="shared" si="304"/>
        <v/>
      </c>
      <c r="Y162" s="237"/>
      <c r="Z162" s="237"/>
      <c r="AA162" s="237"/>
      <c r="AB162" s="210" t="str">
        <f t="shared" si="301"/>
        <v/>
      </c>
      <c r="AC162" s="211" t="str">
        <f t="shared" si="298"/>
        <v/>
      </c>
      <c r="AD162" s="209" t="str">
        <f t="shared" si="302"/>
        <v/>
      </c>
      <c r="AE162" s="211" t="str">
        <f t="shared" si="299"/>
        <v/>
      </c>
      <c r="AF162" s="209" t="str">
        <f>IFERROR(IF(AND(U161="Impacto",U162="Impacto"),(AF161-(+AF161*X162)),IF(U162="Impacto",($P$31-(+$P$31*X162)),IF(U162="Probabilidad",AF161,""))),"")</f>
        <v/>
      </c>
      <c r="AG162" s="212" t="str">
        <f t="shared" si="306"/>
        <v/>
      </c>
      <c r="AH162" s="237"/>
      <c r="AI162" s="318"/>
      <c r="AJ162" s="318"/>
      <c r="AK162" s="318"/>
      <c r="AL162" s="318"/>
      <c r="AM162" s="318"/>
      <c r="AN162" s="305"/>
      <c r="AO162" s="305"/>
      <c r="AP162" s="306"/>
      <c r="AQ162" s="216"/>
      <c r="AR162" s="216"/>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row>
    <row r="163" spans="1:77" s="271" customFormat="1" ht="114" x14ac:dyDescent="0.2">
      <c r="A163" s="437" t="s">
        <v>889</v>
      </c>
      <c r="B163" s="438" t="s">
        <v>609</v>
      </c>
      <c r="C163" s="434" t="s">
        <v>621</v>
      </c>
      <c r="D163" s="434" t="s">
        <v>107</v>
      </c>
      <c r="E163" s="434" t="s">
        <v>888</v>
      </c>
      <c r="F163" s="435" t="s">
        <v>685</v>
      </c>
      <c r="G163" s="436" t="s">
        <v>887</v>
      </c>
      <c r="H163" s="435" t="s">
        <v>655</v>
      </c>
      <c r="I163" s="435" t="s">
        <v>890</v>
      </c>
      <c r="J163" s="439">
        <v>12</v>
      </c>
      <c r="K163" s="430" t="str">
        <f t="shared" ref="K163" si="307">IF(J163&lt;=0,"",IF(J163&lt;=2,"Muy Baja",IF(J163&lt;=24,"Baja",IF(J163&lt;=500,"Media",IF(J163&lt;=5000,"Alta","Muy Alta")))))</f>
        <v>Baja</v>
      </c>
      <c r="L163" s="431">
        <f>IF(K163="","",IF(K163="Muy Baja",0.2,IF(K163="Baja",0.4,IF(K163="Media",0.6,IF(K163="Alta",0.8,IF(K163="Muy Alta",1,))))))</f>
        <v>0.4</v>
      </c>
      <c r="M163" s="432" t="s">
        <v>122</v>
      </c>
      <c r="N163" s="310" t="str">
        <f ca="1">IF(NOT(ISERROR(MATCH(M163,'Tabla Impacto'!$B$221:$B$223,0))),'Tabla Impacto'!$F$223&amp;"Por favor no seleccionar los criterios de impacto(Afectación Económica o presupuestal y Pérdida Reputacional)",M163)</f>
        <v xml:space="preserve">     El riesgo afecta la imagen de de la entidad con efecto publicitario sostenido a nivel de sector administrativo, nivel departamental o municipal</v>
      </c>
      <c r="O163" s="430" t="str">
        <f ca="1">IF(OR(N163='Tabla Impacto'!$C$11,N163='Tabla Impacto'!$D$11),"Leve",IF(OR(N163='Tabla Impacto'!$C$12,N163='Tabla Impacto'!$D$12),"Menor",IF(OR(N163='Tabla Impacto'!$C$13,N163='Tabla Impacto'!$D$13),"Moderado",IF(OR(N163='Tabla Impacto'!$C$14,N163='Tabla Impacto'!$D$14),"Mayor",IF(OR(N163='Tabla Impacto'!$C$15,N163='Tabla Impacto'!$D$15),"Catastrófico","")))))</f>
        <v>Mayor</v>
      </c>
      <c r="P163" s="431">
        <f ca="1">IF(O163="","",IF(O163="Leve",0.2,IF(O163="Menor",0.4,IF(O163="Moderado",0.6,IF(O163="Mayor",0.8,IF(O163="Catastrófico",1,))))))</f>
        <v>0.8</v>
      </c>
      <c r="Q163" s="433" t="str">
        <f ca="1">IF(OR(AND(K163="Muy Baja",O163="Leve"),AND(K163="Muy Baja",O163="Menor"),AND(K163="Baja",O163="Leve")),"Bajo",IF(OR(AND(K163="Muy baja",O163="Moderado"),AND(K163="Baja",O163="Menor"),AND(K163="Baja",O163="Moderado"),AND(K163="Media",O163="Leve"),AND(K163="Media",O163="Menor"),AND(K163="Media",O163="Moderado"),AND(K163="Alta",O163="Leve"),AND(K163="Alta",O163="Menor")),"Moderado",IF(OR(AND(K163="Muy Baja",O163="Mayor"),AND(K163="Baja",O163="Mayor"),AND(K163="Media",O163="Mayor"),AND(K163="Alta",O163="Moderado"),AND(K163="Alta",O163="Mayor"),AND(K163="Muy Alta",O163="Leve"),AND(K163="Muy Alta",O163="Menor"),AND(K163="Muy Alta",O163="Moderado"),AND(K163="Muy Alta",O163="Mayor")),"Alto",IF(OR(AND(K163="Muy Baja",O163="Catastrófico"),AND(K163="Baja",O163="Catastrófico"),AND(K163="Media",O163="Catastrófico"),AND(K163="Alta",O163="Catastrófico"),AND(K163="Muy Alta",O163="Catastrófico")),"Extremo",""))))</f>
        <v>Alto</v>
      </c>
      <c r="R163" s="261">
        <v>1</v>
      </c>
      <c r="S163" s="334" t="s">
        <v>891</v>
      </c>
      <c r="T163" s="272" t="s">
        <v>293</v>
      </c>
      <c r="U163" s="262" t="str">
        <f>IF(OR(V163="Preventivo",V163="Detectivo"),"Probabilidad",IF(V163="Correctivo","Impacto",""))</f>
        <v>Probabilidad</v>
      </c>
      <c r="V163" s="263" t="s">
        <v>13</v>
      </c>
      <c r="W163" s="263" t="s">
        <v>8</v>
      </c>
      <c r="X163" s="264" t="str">
        <f>IF(AND(V163="Preventivo",W163="Automático"),"50%",IF(AND(V163="Preventivo",W163="Manual"),"40%",IF(AND(V163="Detectivo",W163="Automático"),"40%",IF(AND(V163="Detectivo",W163="Manual"),"30%",IF(AND(V163="Correctivo",W163="Automático"),"35%",IF(AND(V163="Correctivo",W163="Manual"),"25%",""))))))</f>
        <v>40%</v>
      </c>
      <c r="Y163" s="263" t="s">
        <v>18</v>
      </c>
      <c r="Z163" s="263" t="s">
        <v>21</v>
      </c>
      <c r="AA163" s="263" t="s">
        <v>103</v>
      </c>
      <c r="AB163" s="265">
        <f t="shared" ref="AB163" si="308">IFERROR(IF(U163="Probabilidad",(L163-(+L163*X163)),IF(U163="Impacto",L163,"")),"")</f>
        <v>0.24</v>
      </c>
      <c r="AC163" s="266" t="str">
        <f>IFERROR(IF(AB163="","",IF(AB163&lt;=0.2,"Muy Baja",IF(AB163&lt;=0.4,"Baja",IF(AB163&lt;=0.6,"Media",IF(AB163&lt;=0.8,"Alta","Muy Alta"))))),"")</f>
        <v>Baja</v>
      </c>
      <c r="AD163" s="264">
        <f>+AB163</f>
        <v>0.24</v>
      </c>
      <c r="AE163" s="266" t="str">
        <f ca="1">IFERROR(IF(AF163="","",IF(AF163&lt;=0.2,"Leve",IF(AF163&lt;=0.4,"Menor",IF(AF163&lt;=0.6,"Moderado",IF(AF163&lt;=0.8,"Mayor","Catastrófico"))))),"")</f>
        <v>Mayor</v>
      </c>
      <c r="AF163" s="264">
        <f ca="1">IFERROR(IF(U163="Impacto",(P163-(+P163*X163)),IF(U163="Probabilidad",P163,"")),"")</f>
        <v>0.8</v>
      </c>
      <c r="AG163" s="267" t="str">
        <f ca="1">IFERROR(IF(OR(AND(AC163="Muy Baja",AE163="Leve"),AND(AC163="Muy Baja",AE163="Menor"),AND(AC163="Baja",AE163="Leve")),"Bajo",IF(OR(AND(AC163="Muy baja",AE163="Moderado"),AND(AC163="Baja",AE163="Menor"),AND(AC163="Baja",AE163="Moderado"),AND(AC163="Media",AE163="Leve"),AND(AC163="Media",AE163="Menor"),AND(AC163="Media",AE163="Moderado"),AND(AC163="Alta",AE163="Leve"),AND(AC163="Alta",AE163="Menor")),"Moderado",IF(OR(AND(AC163="Muy Baja",AE163="Mayor"),AND(AC163="Baja",AE163="Mayor"),AND(AC163="Media",AE163="Mayor"),AND(AC163="Alta",AE163="Moderado"),AND(AC163="Alta",AE163="Mayor"),AND(AC163="Muy Alta",AE163="Leve"),AND(AC163="Muy Alta",AE163="Menor"),AND(AC163="Muy Alta",AE163="Moderado"),AND(AC163="Muy Alta",AE163="Mayor")),"Alto",IF(OR(AND(AC163="Muy Baja",AE163="Catastrófico"),AND(AC163="Baja",AE163="Catastrófico"),AND(AC163="Media",AE163="Catastrófico"),AND(AC163="Alta",AE163="Catastrófico"),AND(AC163="Muy Alta",AE163="Catastrófico")),"Extremo","")))),"")</f>
        <v>Alto</v>
      </c>
      <c r="AH163" s="263" t="s">
        <v>26</v>
      </c>
      <c r="AI163" s="273">
        <v>12</v>
      </c>
      <c r="AJ163" s="273">
        <v>3</v>
      </c>
      <c r="AK163" s="273">
        <v>3</v>
      </c>
      <c r="AL163" s="273">
        <v>3</v>
      </c>
      <c r="AM163" s="273">
        <v>3</v>
      </c>
      <c r="AN163" s="268"/>
      <c r="AO163" s="268"/>
      <c r="AP163" s="258"/>
      <c r="AQ163" s="269"/>
      <c r="AR163" s="270"/>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3"/>
      <c r="BO163" s="323"/>
      <c r="BP163" s="323"/>
      <c r="BQ163" s="323"/>
      <c r="BR163" s="323"/>
      <c r="BS163" s="323"/>
      <c r="BT163" s="323"/>
      <c r="BU163" s="323"/>
      <c r="BV163" s="323"/>
      <c r="BW163" s="323"/>
      <c r="BX163" s="323"/>
      <c r="BY163" s="323"/>
    </row>
    <row r="164" spans="1:77" s="113" customFormat="1" ht="115.15" customHeight="1" x14ac:dyDescent="0.2">
      <c r="A164" s="437"/>
      <c r="B164" s="438"/>
      <c r="C164" s="434"/>
      <c r="D164" s="434"/>
      <c r="E164" s="434"/>
      <c r="F164" s="435"/>
      <c r="G164" s="436"/>
      <c r="H164" s="435"/>
      <c r="I164" s="435"/>
      <c r="J164" s="439"/>
      <c r="K164" s="430"/>
      <c r="L164" s="431"/>
      <c r="M164" s="432"/>
      <c r="N164" s="310">
        <f ca="1">IF(NOT(ISERROR(MATCH(M164,_xlfn.ANCHORARRAY(G43),0))),L45&amp;"Por favor no seleccionar los criterios de impacto",M164)</f>
        <v>0</v>
      </c>
      <c r="O164" s="430"/>
      <c r="P164" s="431"/>
      <c r="Q164" s="433"/>
      <c r="R164" s="316">
        <v>2</v>
      </c>
      <c r="S164" s="330" t="s">
        <v>892</v>
      </c>
      <c r="T164" s="312" t="s">
        <v>293</v>
      </c>
      <c r="U164" s="302" t="str">
        <f>IF(OR(V164="Preventivo",V164="Detectivo"),"Probabilidad",IF(V164="Correctivo","Impacto",""))</f>
        <v>Probabilidad</v>
      </c>
      <c r="V164" s="237" t="s">
        <v>13</v>
      </c>
      <c r="W164" s="237" t="s">
        <v>8</v>
      </c>
      <c r="X164" s="209" t="str">
        <f>IF(AND(V164="Preventivo",W164="Automático"),"50%",IF(AND(V164="Preventivo",W164="Manual"),"40%",IF(AND(V164="Detectivo",W164="Automático"),"40%",IF(AND(V164="Detectivo",W164="Manual"),"30%",IF(AND(V164="Correctivo",W164="Automático"),"35%",IF(AND(V164="Correctivo",W164="Manual"),"25%",""))))))</f>
        <v>40%</v>
      </c>
      <c r="Y164" s="237" t="s">
        <v>18</v>
      </c>
      <c r="Z164" s="237" t="s">
        <v>21</v>
      </c>
      <c r="AA164" s="237" t="s">
        <v>103</v>
      </c>
      <c r="AB164" s="210">
        <f t="shared" ref="AB164" si="309">IFERROR(IF(AND(U163="Probabilidad",U164="Probabilidad"),(AD163-(+AD163*X164)),IF(U164="Probabilidad",(L163-(+L163*X164)),IF(U164="Impacto",AD163,""))),"")</f>
        <v>0.14399999999999999</v>
      </c>
      <c r="AC164" s="211" t="str">
        <f t="shared" ref="AC164:AC168" si="310">IFERROR(IF(AB164="","",IF(AB164&lt;=0.2,"Muy Baja",IF(AB164&lt;=0.4,"Baja",IF(AB164&lt;=0.6,"Media",IF(AB164&lt;=0.8,"Alta","Muy Alta"))))),"")</f>
        <v>Muy Baja</v>
      </c>
      <c r="AD164" s="209">
        <f>+AB164</f>
        <v>0.14399999999999999</v>
      </c>
      <c r="AE164" s="211" t="str">
        <f t="shared" ref="AE164:AE168" ca="1" si="311">IFERROR(IF(AF164="","",IF(AF164&lt;=0.2,"Leve",IF(AF164&lt;=0.4,"Menor",IF(AF164&lt;=0.6,"Moderado",IF(AF164&lt;=0.8,"Mayor","Catastrófico"))))),"")</f>
        <v>Mayor</v>
      </c>
      <c r="AF164" s="209">
        <f ca="1">IFERROR(IF(AND(U163="Impacto",U164="Impacto"),(AF163-(+AF163*X164)),IF(U164="Impacto",($P$37-(+$P$37*X164)),IF(U164="Probabilidad",AF163,""))),"")</f>
        <v>0.8</v>
      </c>
      <c r="AG164" s="212" t="str">
        <f t="shared" ref="AG164:AG165" ca="1" si="312">IFERROR(IF(OR(AND(AC164="Muy Baja",AE164="Leve"),AND(AC164="Muy Baja",AE164="Menor"),AND(AC164="Baja",AE164="Leve")),"Bajo",IF(OR(AND(AC164="Muy baja",AE164="Moderado"),AND(AC164="Baja",AE164="Menor"),AND(AC164="Baja",AE164="Moderado"),AND(AC164="Media",AE164="Leve"),AND(AC164="Media",AE164="Menor"),AND(AC164="Media",AE164="Moderado"),AND(AC164="Alta",AE164="Leve"),AND(AC164="Alta",AE164="Menor")),"Moderado",IF(OR(AND(AC164="Muy Baja",AE164="Mayor"),AND(AC164="Baja",AE164="Mayor"),AND(AC164="Media",AE164="Mayor"),AND(AC164="Alta",AE164="Moderado"),AND(AC164="Alta",AE164="Mayor"),AND(AC164="Muy Alta",AE164="Leve"),AND(AC164="Muy Alta",AE164="Menor"),AND(AC164="Muy Alta",AE164="Moderado"),AND(AC164="Muy Alta",AE164="Mayor")),"Alto",IF(OR(AND(AC164="Muy Baja",AE164="Catastrófico"),AND(AC164="Baja",AE164="Catastrófico"),AND(AC164="Media",AE164="Catastrófico"),AND(AC164="Alta",AE164="Catastrófico"),AND(AC164="Muy Alta",AE164="Catastrófico")),"Extremo","")))),"")</f>
        <v>Alto</v>
      </c>
      <c r="AH164" s="237" t="s">
        <v>26</v>
      </c>
      <c r="AI164" s="318">
        <v>0</v>
      </c>
      <c r="AJ164" s="318">
        <v>0</v>
      </c>
      <c r="AK164" s="318">
        <v>0</v>
      </c>
      <c r="AL164" s="318">
        <v>0</v>
      </c>
      <c r="AM164" s="318">
        <v>0</v>
      </c>
      <c r="AN164" s="307"/>
      <c r="AO164" s="307"/>
      <c r="AP164" s="259"/>
      <c r="AQ164" s="220"/>
      <c r="AR164" s="307"/>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3"/>
      <c r="BO164" s="323"/>
      <c r="BP164" s="323"/>
      <c r="BQ164" s="323"/>
      <c r="BR164" s="323"/>
      <c r="BS164" s="323"/>
      <c r="BT164" s="323"/>
      <c r="BU164" s="323"/>
      <c r="BV164" s="323"/>
      <c r="BW164" s="323"/>
      <c r="BX164" s="323"/>
      <c r="BY164" s="323"/>
    </row>
    <row r="165" spans="1:77" s="113" customFormat="1" ht="9.75" hidden="1" customHeight="1" x14ac:dyDescent="0.2">
      <c r="A165" s="437"/>
      <c r="B165" s="438"/>
      <c r="C165" s="434"/>
      <c r="D165" s="434"/>
      <c r="E165" s="434"/>
      <c r="F165" s="435"/>
      <c r="G165" s="436"/>
      <c r="H165" s="435"/>
      <c r="I165" s="435"/>
      <c r="J165" s="439"/>
      <c r="K165" s="430"/>
      <c r="L165" s="431"/>
      <c r="M165" s="432"/>
      <c r="N165" s="310">
        <f ca="1">IF(NOT(ISERROR(MATCH(M165,_xlfn.ANCHORARRAY(G44),0))),L46&amp;"Por favor no seleccionar los criterios de impacto",M165)</f>
        <v>0</v>
      </c>
      <c r="O165" s="430"/>
      <c r="P165" s="431"/>
      <c r="Q165" s="433"/>
      <c r="R165" s="316">
        <v>3</v>
      </c>
      <c r="S165" s="330"/>
      <c r="T165" s="312"/>
      <c r="U165" s="302" t="str">
        <f>IF(OR(V165="Preventivo",V165="Detectivo"),"Probabilidad",IF(V165="Correctivo","Impacto",""))</f>
        <v/>
      </c>
      <c r="V165" s="237"/>
      <c r="W165" s="237"/>
      <c r="X165" s="209" t="str">
        <f>IF(AND(V165="Preventivo",W165="Automático"),"50%",IF(AND(V165="Preventivo",W165="Manual"),"40%",IF(AND(V165="Detectivo",W165="Automático"),"40%",IF(AND(V165="Detectivo",W165="Manual"),"30%",IF(AND(V165="Correctivo",W165="Automático"),"35%",IF(AND(V165="Correctivo",W165="Manual"),"25%",""))))))</f>
        <v/>
      </c>
      <c r="Y165" s="237"/>
      <c r="Z165" s="237"/>
      <c r="AA165" s="237"/>
      <c r="AB165" s="210" t="str">
        <f t="shared" ref="AB165:AB168" si="313">IFERROR(IF(AND(U164="Probabilidad",U165="Probabilidad"),(AD164-(+AD164*X165)),IF(AND(U164="Impacto",U165="Probabilidad"),(AD163-(+AD163*X165)),IF(U165="Impacto",AD164,""))),"")</f>
        <v/>
      </c>
      <c r="AC165" s="211" t="str">
        <f t="shared" si="310"/>
        <v/>
      </c>
      <c r="AD165" s="209" t="str">
        <f t="shared" ref="AD165:AD168" si="314">+AB165</f>
        <v/>
      </c>
      <c r="AE165" s="211" t="str">
        <f t="shared" si="311"/>
        <v/>
      </c>
      <c r="AF165" s="209" t="str">
        <f>IFERROR(IF(AND(U164="Impacto",U165="Impacto"),(AF164-(+AF164*X165)),IF(U165="Impacto",($P$31-(+$P$31*X165)),IF(U165="Probabilidad",AF164,""))),"")</f>
        <v/>
      </c>
      <c r="AG165" s="212" t="str">
        <f t="shared" si="312"/>
        <v/>
      </c>
      <c r="AH165" s="237"/>
      <c r="AI165" s="318"/>
      <c r="AJ165" s="318"/>
      <c r="AK165" s="318"/>
      <c r="AL165" s="318"/>
      <c r="AM165" s="318"/>
      <c r="AN165" s="307"/>
      <c r="AO165" s="307"/>
      <c r="AP165" s="259"/>
      <c r="AQ165" s="220"/>
      <c r="AR165" s="307"/>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3"/>
      <c r="BO165" s="323"/>
      <c r="BP165" s="323"/>
      <c r="BQ165" s="323"/>
      <c r="BR165" s="323"/>
      <c r="BS165" s="323"/>
      <c r="BT165" s="323"/>
      <c r="BU165" s="323"/>
      <c r="BV165" s="323"/>
      <c r="BW165" s="323"/>
      <c r="BX165" s="323"/>
      <c r="BY165" s="323"/>
    </row>
    <row r="166" spans="1:77" s="113" customFormat="1" ht="9.75" hidden="1" customHeight="1" x14ac:dyDescent="0.2">
      <c r="A166" s="437"/>
      <c r="B166" s="438"/>
      <c r="C166" s="434"/>
      <c r="D166" s="434"/>
      <c r="E166" s="434"/>
      <c r="F166" s="435"/>
      <c r="G166" s="436"/>
      <c r="H166" s="435"/>
      <c r="I166" s="435"/>
      <c r="J166" s="439"/>
      <c r="K166" s="430"/>
      <c r="L166" s="431"/>
      <c r="M166" s="432"/>
      <c r="N166" s="310">
        <f ca="1">IF(NOT(ISERROR(MATCH(M166,_xlfn.ANCHORARRAY(G45),0))),L47&amp;"Por favor no seleccionar los criterios de impacto",M166)</f>
        <v>0</v>
      </c>
      <c r="O166" s="430"/>
      <c r="P166" s="431"/>
      <c r="Q166" s="433"/>
      <c r="R166" s="316">
        <v>4</v>
      </c>
      <c r="S166" s="330"/>
      <c r="T166" s="312"/>
      <c r="U166" s="208" t="str">
        <f t="shared" ref="U166:U168" si="315">IF(OR(V166="Preventivo",V166="Detectivo"),"Probabilidad",IF(V166="Correctivo","Impacto",""))</f>
        <v/>
      </c>
      <c r="V166" s="237"/>
      <c r="W166" s="237"/>
      <c r="X166" s="209" t="str">
        <f t="shared" ref="X166:X168" si="316">IF(AND(V166="Preventivo",W166="Automático"),"50%",IF(AND(V166="Preventivo",W166="Manual"),"40%",IF(AND(V166="Detectivo",W166="Automático"),"40%",IF(AND(V166="Detectivo",W166="Manual"),"30%",IF(AND(V166="Correctivo",W166="Automático"),"35%",IF(AND(V166="Correctivo",W166="Manual"),"25%",""))))))</f>
        <v/>
      </c>
      <c r="Y166" s="237"/>
      <c r="Z166" s="237"/>
      <c r="AA166" s="237"/>
      <c r="AB166" s="210" t="str">
        <f t="shared" si="313"/>
        <v/>
      </c>
      <c r="AC166" s="211" t="str">
        <f t="shared" si="310"/>
        <v/>
      </c>
      <c r="AD166" s="209" t="str">
        <f t="shared" si="314"/>
        <v/>
      </c>
      <c r="AE166" s="211" t="str">
        <f t="shared" si="311"/>
        <v/>
      </c>
      <c r="AF166" s="209" t="str">
        <f t="shared" ref="AF166:AF167" si="317">IFERROR(IF(AND(U165="Impacto",U166="Impacto"),(AF165-(+AF165*X166)),IF(U166="Impacto",($P$31-(+$P$31*X166)),IF(U166="Probabilidad",AF165,""))),"")</f>
        <v/>
      </c>
      <c r="AG166" s="212" t="str">
        <f>IFERROR(IF(OR(AND(AC166="Muy Baja",AE166="Leve"),AND(AC166="Muy Baja",AE166="Menor"),AND(AC166="Baja",AE166="Leve")),"Bajo",IF(OR(AND(AC166="Muy baja",AE166="Moderado"),AND(AC166="Baja",AE166="Menor"),AND(AC166="Baja",AE166="Moderado"),AND(AC166="Media",AE166="Leve"),AND(AC166="Media",AE166="Menor"),AND(AC166="Media",AE166="Moderado"),AND(AC166="Alta",AE166="Leve"),AND(AC166="Alta",AE166="Menor")),"Moderado",IF(OR(AND(AC166="Muy Baja",AE166="Mayor"),AND(AC166="Baja",AE166="Mayor"),AND(AC166="Media",AE166="Mayor"),AND(AC166="Alta",AE166="Moderado"),AND(AC166="Alta",AE166="Mayor"),AND(AC166="Muy Alta",AE166="Leve"),AND(AC166="Muy Alta",AE166="Menor"),AND(AC166="Muy Alta",AE166="Moderado"),AND(AC166="Muy Alta",AE166="Mayor")),"Alto",IF(OR(AND(AC166="Muy Baja",AE166="Catastrófico"),AND(AC166="Baja",AE166="Catastrófico"),AND(AC166="Media",AE166="Catastrófico"),AND(AC166="Alta",AE166="Catastrófico"),AND(AC166="Muy Alta",AE166="Catastrófico")),"Extremo","")))),"")</f>
        <v/>
      </c>
      <c r="AH166" s="237"/>
      <c r="AI166" s="318"/>
      <c r="AJ166" s="318"/>
      <c r="AK166" s="318"/>
      <c r="AL166" s="318"/>
      <c r="AM166" s="318"/>
      <c r="AN166" s="213"/>
      <c r="AO166" s="213"/>
      <c r="AP166" s="308"/>
      <c r="AQ166" s="220"/>
      <c r="AR166" s="213"/>
      <c r="AS166" s="323"/>
      <c r="AT166" s="323"/>
      <c r="AU166" s="323"/>
      <c r="AV166" s="323"/>
      <c r="AW166" s="323"/>
      <c r="AX166" s="323"/>
      <c r="AY166" s="323"/>
      <c r="AZ166" s="323"/>
      <c r="BA166" s="323"/>
      <c r="BB166" s="323"/>
      <c r="BC166" s="323"/>
      <c r="BD166" s="323"/>
      <c r="BE166" s="323"/>
      <c r="BF166" s="323"/>
      <c r="BG166" s="323"/>
      <c r="BH166" s="323"/>
      <c r="BI166" s="323"/>
      <c r="BJ166" s="323"/>
      <c r="BK166" s="323"/>
      <c r="BL166" s="323"/>
      <c r="BM166" s="323"/>
      <c r="BN166" s="323"/>
      <c r="BO166" s="323"/>
      <c r="BP166" s="323"/>
      <c r="BQ166" s="323"/>
      <c r="BR166" s="323"/>
      <c r="BS166" s="323"/>
      <c r="BT166" s="323"/>
      <c r="BU166" s="323"/>
      <c r="BV166" s="323"/>
      <c r="BW166" s="323"/>
      <c r="BX166" s="323"/>
      <c r="BY166" s="323"/>
    </row>
    <row r="167" spans="1:77" s="113" customFormat="1" ht="9.75" hidden="1" customHeight="1" x14ac:dyDescent="0.2">
      <c r="A167" s="437"/>
      <c r="B167" s="438"/>
      <c r="C167" s="434"/>
      <c r="D167" s="434"/>
      <c r="E167" s="434"/>
      <c r="F167" s="435"/>
      <c r="G167" s="436"/>
      <c r="H167" s="435"/>
      <c r="I167" s="435"/>
      <c r="J167" s="439"/>
      <c r="K167" s="430"/>
      <c r="L167" s="431"/>
      <c r="M167" s="432"/>
      <c r="N167" s="310">
        <f ca="1">IF(NOT(ISERROR(MATCH(M167,_xlfn.ANCHORARRAY(G46),0))),L48&amp;"Por favor no seleccionar los criterios de impacto",M167)</f>
        <v>0</v>
      </c>
      <c r="O167" s="430"/>
      <c r="P167" s="431"/>
      <c r="Q167" s="433"/>
      <c r="R167" s="316">
        <v>5</v>
      </c>
      <c r="S167" s="330"/>
      <c r="T167" s="312"/>
      <c r="U167" s="208" t="str">
        <f t="shared" si="315"/>
        <v/>
      </c>
      <c r="V167" s="237"/>
      <c r="W167" s="237"/>
      <c r="X167" s="209" t="str">
        <f t="shared" si="316"/>
        <v/>
      </c>
      <c r="Y167" s="237"/>
      <c r="Z167" s="237"/>
      <c r="AA167" s="237"/>
      <c r="AB167" s="210" t="str">
        <f t="shared" si="313"/>
        <v/>
      </c>
      <c r="AC167" s="211" t="str">
        <f t="shared" si="310"/>
        <v/>
      </c>
      <c r="AD167" s="209" t="str">
        <f t="shared" si="314"/>
        <v/>
      </c>
      <c r="AE167" s="211" t="str">
        <f t="shared" si="311"/>
        <v/>
      </c>
      <c r="AF167" s="209" t="str">
        <f t="shared" si="317"/>
        <v/>
      </c>
      <c r="AG167" s="212" t="str">
        <f t="shared" ref="AG167:AG168" si="318">IFERROR(IF(OR(AND(AC167="Muy Baja",AE167="Leve"),AND(AC167="Muy Baja",AE167="Menor"),AND(AC167="Baja",AE167="Leve")),"Bajo",IF(OR(AND(AC167="Muy baja",AE167="Moderado"),AND(AC167="Baja",AE167="Menor"),AND(AC167="Baja",AE167="Moderado"),AND(AC167="Media",AE167="Leve"),AND(AC167="Media",AE167="Menor"),AND(AC167="Media",AE167="Moderado"),AND(AC167="Alta",AE167="Leve"),AND(AC167="Alta",AE167="Menor")),"Moderado",IF(OR(AND(AC167="Muy Baja",AE167="Mayor"),AND(AC167="Baja",AE167="Mayor"),AND(AC167="Media",AE167="Mayor"),AND(AC167="Alta",AE167="Moderado"),AND(AC167="Alta",AE167="Mayor"),AND(AC167="Muy Alta",AE167="Leve"),AND(AC167="Muy Alta",AE167="Menor"),AND(AC167="Muy Alta",AE167="Moderado"),AND(AC167="Muy Alta",AE167="Mayor")),"Alto",IF(OR(AND(AC167="Muy Baja",AE167="Catastrófico"),AND(AC167="Baja",AE167="Catastrófico"),AND(AC167="Media",AE167="Catastrófico"),AND(AC167="Alta",AE167="Catastrófico"),AND(AC167="Muy Alta",AE167="Catastrófico")),"Extremo","")))),"")</f>
        <v/>
      </c>
      <c r="AH167" s="237"/>
      <c r="AI167" s="318"/>
      <c r="AJ167" s="318"/>
      <c r="AK167" s="318"/>
      <c r="AL167" s="318"/>
      <c r="AM167" s="318"/>
      <c r="AN167" s="305"/>
      <c r="AO167" s="305"/>
      <c r="AP167" s="306"/>
      <c r="AQ167" s="216"/>
      <c r="AR167" s="216"/>
      <c r="AS167" s="323"/>
      <c r="AT167" s="323"/>
      <c r="AU167" s="323"/>
      <c r="AV167" s="323"/>
      <c r="AW167" s="323"/>
      <c r="AX167" s="323"/>
      <c r="AY167" s="323"/>
      <c r="AZ167" s="323"/>
      <c r="BA167" s="323"/>
      <c r="BB167" s="323"/>
      <c r="BC167" s="323"/>
      <c r="BD167" s="323"/>
      <c r="BE167" s="323"/>
      <c r="BF167" s="323"/>
      <c r="BG167" s="323"/>
      <c r="BH167" s="323"/>
      <c r="BI167" s="323"/>
      <c r="BJ167" s="323"/>
      <c r="BK167" s="323"/>
      <c r="BL167" s="323"/>
      <c r="BM167" s="323"/>
      <c r="BN167" s="323"/>
      <c r="BO167" s="323"/>
      <c r="BP167" s="323"/>
      <c r="BQ167" s="323"/>
      <c r="BR167" s="323"/>
      <c r="BS167" s="323"/>
      <c r="BT167" s="323"/>
      <c r="BU167" s="323"/>
      <c r="BV167" s="323"/>
      <c r="BW167" s="323"/>
      <c r="BX167" s="323"/>
      <c r="BY167" s="323"/>
    </row>
    <row r="168" spans="1:77" s="113" customFormat="1" ht="9.75" hidden="1" customHeight="1" x14ac:dyDescent="0.2">
      <c r="A168" s="437"/>
      <c r="B168" s="438"/>
      <c r="C168" s="434"/>
      <c r="D168" s="434"/>
      <c r="E168" s="434"/>
      <c r="F168" s="435"/>
      <c r="G168" s="436"/>
      <c r="H168" s="435"/>
      <c r="I168" s="435"/>
      <c r="J168" s="439"/>
      <c r="K168" s="430"/>
      <c r="L168" s="431"/>
      <c r="M168" s="432"/>
      <c r="N168" s="310">
        <f ca="1">IF(NOT(ISERROR(MATCH(M168,_xlfn.ANCHORARRAY(G47),0))),L49&amp;"Por favor no seleccionar los criterios de impacto",M168)</f>
        <v>0</v>
      </c>
      <c r="O168" s="430"/>
      <c r="P168" s="431"/>
      <c r="Q168" s="433"/>
      <c r="R168" s="316">
        <v>6</v>
      </c>
      <c r="S168" s="330"/>
      <c r="T168" s="312"/>
      <c r="U168" s="208" t="str">
        <f t="shared" si="315"/>
        <v/>
      </c>
      <c r="V168" s="237"/>
      <c r="W168" s="237"/>
      <c r="X168" s="209" t="str">
        <f t="shared" si="316"/>
        <v/>
      </c>
      <c r="Y168" s="237"/>
      <c r="Z168" s="237"/>
      <c r="AA168" s="237"/>
      <c r="AB168" s="210" t="str">
        <f t="shared" si="313"/>
        <v/>
      </c>
      <c r="AC168" s="211" t="str">
        <f t="shared" si="310"/>
        <v/>
      </c>
      <c r="AD168" s="209" t="str">
        <f t="shared" si="314"/>
        <v/>
      </c>
      <c r="AE168" s="211" t="str">
        <f t="shared" si="311"/>
        <v/>
      </c>
      <c r="AF168" s="209" t="str">
        <f>IFERROR(IF(AND(U167="Impacto",U168="Impacto"),(AF167-(+AF167*X168)),IF(U168="Impacto",($P$31-(+$P$31*X168)),IF(U168="Probabilidad",AF167,""))),"")</f>
        <v/>
      </c>
      <c r="AG168" s="212" t="str">
        <f t="shared" si="318"/>
        <v/>
      </c>
      <c r="AH168" s="237"/>
      <c r="AI168" s="318"/>
      <c r="AJ168" s="318"/>
      <c r="AK168" s="318"/>
      <c r="AL168" s="318"/>
      <c r="AM168" s="318"/>
      <c r="AN168" s="305"/>
      <c r="AO168" s="305"/>
      <c r="AP168" s="306"/>
      <c r="AQ168" s="216"/>
      <c r="AR168" s="216"/>
      <c r="AS168" s="323"/>
      <c r="AT168" s="323"/>
      <c r="AU168" s="323"/>
      <c r="AV168" s="323"/>
      <c r="AW168" s="323"/>
      <c r="AX168" s="323"/>
      <c r="AY168" s="323"/>
      <c r="AZ168" s="323"/>
      <c r="BA168" s="323"/>
      <c r="BB168" s="323"/>
      <c r="BC168" s="323"/>
      <c r="BD168" s="323"/>
      <c r="BE168" s="323"/>
      <c r="BF168" s="323"/>
      <c r="BG168" s="323"/>
      <c r="BH168" s="323"/>
      <c r="BI168" s="323"/>
      <c r="BJ168" s="323"/>
      <c r="BK168" s="323"/>
      <c r="BL168" s="323"/>
      <c r="BM168" s="323"/>
      <c r="BN168" s="323"/>
      <c r="BO168" s="323"/>
      <c r="BP168" s="323"/>
      <c r="BQ168" s="323"/>
      <c r="BR168" s="323"/>
      <c r="BS168" s="323"/>
      <c r="BT168" s="323"/>
      <c r="BU168" s="323"/>
      <c r="BV168" s="323"/>
      <c r="BW168" s="323"/>
      <c r="BX168" s="323"/>
      <c r="BY168" s="323"/>
    </row>
    <row r="169" spans="1:77" s="271" customFormat="1" ht="114" x14ac:dyDescent="0.2">
      <c r="A169" s="437" t="s">
        <v>893</v>
      </c>
      <c r="B169" s="438" t="s">
        <v>608</v>
      </c>
      <c r="C169" s="434" t="s">
        <v>621</v>
      </c>
      <c r="D169" s="434" t="s">
        <v>109</v>
      </c>
      <c r="E169" s="434" t="s">
        <v>895</v>
      </c>
      <c r="F169" s="435" t="s">
        <v>896</v>
      </c>
      <c r="G169" s="436" t="s">
        <v>894</v>
      </c>
      <c r="H169" s="435" t="s">
        <v>655</v>
      </c>
      <c r="I169" s="435" t="s">
        <v>897</v>
      </c>
      <c r="J169" s="439">
        <v>365</v>
      </c>
      <c r="K169" s="430" t="str">
        <f t="shared" ref="K169" si="319">IF(J169&lt;=0,"",IF(J169&lt;=2,"Muy Baja",IF(J169&lt;=24,"Baja",IF(J169&lt;=500,"Media",IF(J169&lt;=5000,"Alta","Muy Alta")))))</f>
        <v>Media</v>
      </c>
      <c r="L169" s="431">
        <f>IF(K169="","",IF(K169="Muy Baja",0.2,IF(K169="Baja",0.4,IF(K169="Media",0.6,IF(K169="Alta",0.8,IF(K169="Muy Alta",1,))))))</f>
        <v>0.6</v>
      </c>
      <c r="M169" s="432" t="s">
        <v>117</v>
      </c>
      <c r="N169" s="310" t="str">
        <f ca="1">IF(NOT(ISERROR(MATCH(M169,'Tabla Impacto'!$B$221:$B$223,0))),'Tabla Impacto'!$F$223&amp;"Por favor no seleccionar los criterios de impacto(Afectación Económica o presupuestal y Pérdida Reputacional)",M169)</f>
        <v xml:space="preserve">     Entre 100 y 500 SMLMV </v>
      </c>
      <c r="O169" s="430" t="str">
        <f ca="1">IF(OR(N169='Tabla Impacto'!$C$11,N169='Tabla Impacto'!$D$11),"Leve",IF(OR(N169='Tabla Impacto'!$C$12,N169='Tabla Impacto'!$D$12),"Menor",IF(OR(N169='Tabla Impacto'!$C$13,N169='Tabla Impacto'!$D$13),"Moderado",IF(OR(N169='Tabla Impacto'!$C$14,N169='Tabla Impacto'!$D$14),"Mayor",IF(OR(N169='Tabla Impacto'!$C$15,N169='Tabla Impacto'!$D$15),"Catastrófico","")))))</f>
        <v>Mayor</v>
      </c>
      <c r="P169" s="431">
        <f ca="1">IF(O169="","",IF(O169="Leve",0.2,IF(O169="Menor",0.4,IF(O169="Moderado",0.6,IF(O169="Mayor",0.8,IF(O169="Catastrófico",1,))))))</f>
        <v>0.8</v>
      </c>
      <c r="Q169" s="433" t="str">
        <f ca="1">IF(OR(AND(K169="Muy Baja",O169="Leve"),AND(K169="Muy Baja",O169="Menor"),AND(K169="Baja",O169="Leve")),"Bajo",IF(OR(AND(K169="Muy baja",O169="Moderado"),AND(K169="Baja",O169="Menor"),AND(K169="Baja",O169="Moderado"),AND(K169="Media",O169="Leve"),AND(K169="Media",O169="Menor"),AND(K169="Media",O169="Moderado"),AND(K169="Alta",O169="Leve"),AND(K169="Alta",O169="Menor")),"Moderado",IF(OR(AND(K169="Muy Baja",O169="Mayor"),AND(K169="Baja",O169="Mayor"),AND(K169="Media",O169="Mayor"),AND(K169="Alta",O169="Moderado"),AND(K169="Alta",O169="Mayor"),AND(K169="Muy Alta",O169="Leve"),AND(K169="Muy Alta",O169="Menor"),AND(K169="Muy Alta",O169="Moderado"),AND(K169="Muy Alta",O169="Mayor")),"Alto",IF(OR(AND(K169="Muy Baja",O169="Catastrófico"),AND(K169="Baja",O169="Catastrófico"),AND(K169="Media",O169="Catastrófico"),AND(K169="Alta",O169="Catastrófico"),AND(K169="Muy Alta",O169="Catastrófico")),"Extremo",""))))</f>
        <v>Alto</v>
      </c>
      <c r="R169" s="261">
        <v>1</v>
      </c>
      <c r="S169" s="334" t="s">
        <v>898</v>
      </c>
      <c r="T169" s="272" t="s">
        <v>293</v>
      </c>
      <c r="U169" s="262" t="str">
        <f>IF(OR(V169="Preventivo",V169="Detectivo"),"Probabilidad",IF(V169="Correctivo","Impacto",""))</f>
        <v>Impacto</v>
      </c>
      <c r="V169" s="263" t="s">
        <v>15</v>
      </c>
      <c r="W169" s="263" t="s">
        <v>8</v>
      </c>
      <c r="X169" s="264" t="str">
        <f>IF(AND(V169="Preventivo",W169="Automático"),"50%",IF(AND(V169="Preventivo",W169="Manual"),"40%",IF(AND(V169="Detectivo",W169="Automático"),"40%",IF(AND(V169="Detectivo",W169="Manual"),"30%",IF(AND(V169="Correctivo",W169="Automático"),"35%",IF(AND(V169="Correctivo",W169="Manual"),"25%",""))))))</f>
        <v>25%</v>
      </c>
      <c r="Y169" s="263" t="s">
        <v>18</v>
      </c>
      <c r="Z169" s="263" t="s">
        <v>21</v>
      </c>
      <c r="AA169" s="263" t="s">
        <v>103</v>
      </c>
      <c r="AB169" s="265">
        <f t="shared" ref="AB169" si="320">IFERROR(IF(U169="Probabilidad",(L169-(+L169*X169)),IF(U169="Impacto",L169,"")),"")</f>
        <v>0.6</v>
      </c>
      <c r="AC169" s="266" t="str">
        <f>IFERROR(IF(AB169="","",IF(AB169&lt;=0.2,"Muy Baja",IF(AB169&lt;=0.4,"Baja",IF(AB169&lt;=0.6,"Media",IF(AB169&lt;=0.8,"Alta","Muy Alta"))))),"")</f>
        <v>Media</v>
      </c>
      <c r="AD169" s="264">
        <f>+AB169</f>
        <v>0.6</v>
      </c>
      <c r="AE169" s="266" t="str">
        <f ca="1">IFERROR(IF(AF169="","",IF(AF169&lt;=0.2,"Leve",IF(AF169&lt;=0.4,"Menor",IF(AF169&lt;=0.6,"Moderado",IF(AF169&lt;=0.8,"Mayor","Catastrófico"))))),"")</f>
        <v>Moderado</v>
      </c>
      <c r="AF169" s="264">
        <f ca="1">IFERROR(IF(U169="Impacto",(P169-(+P169*X169)),IF(U169="Probabilidad",P169,"")),"")</f>
        <v>0.60000000000000009</v>
      </c>
      <c r="AG169" s="267" t="str">
        <f ca="1">IFERROR(IF(OR(AND(AC169="Muy Baja",AE169="Leve"),AND(AC169="Muy Baja",AE169="Menor"),AND(AC169="Baja",AE169="Leve")),"Bajo",IF(OR(AND(AC169="Muy baja",AE169="Moderado"),AND(AC169="Baja",AE169="Menor"),AND(AC169="Baja",AE169="Moderado"),AND(AC169="Media",AE169="Leve"),AND(AC169="Media",AE169="Menor"),AND(AC169="Media",AE169="Moderado"),AND(AC169="Alta",AE169="Leve"),AND(AC169="Alta",AE169="Menor")),"Moderado",IF(OR(AND(AC169="Muy Baja",AE169="Mayor"),AND(AC169="Baja",AE169="Mayor"),AND(AC169="Media",AE169="Mayor"),AND(AC169="Alta",AE169="Moderado"),AND(AC169="Alta",AE169="Mayor"),AND(AC169="Muy Alta",AE169="Leve"),AND(AC169="Muy Alta",AE169="Menor"),AND(AC169="Muy Alta",AE169="Moderado"),AND(AC169="Muy Alta",AE169="Mayor")),"Alto",IF(OR(AND(AC169="Muy Baja",AE169="Catastrófico"),AND(AC169="Baja",AE169="Catastrófico"),AND(AC169="Media",AE169="Catastrófico"),AND(AC169="Alta",AE169="Catastrófico"),AND(AC169="Muy Alta",AE169="Catastrófico")),"Extremo","")))),"")</f>
        <v>Moderado</v>
      </c>
      <c r="AH169" s="263" t="s">
        <v>26</v>
      </c>
      <c r="AI169" s="273">
        <v>12</v>
      </c>
      <c r="AJ169" s="273">
        <v>3</v>
      </c>
      <c r="AK169" s="273">
        <v>3</v>
      </c>
      <c r="AL169" s="273">
        <v>3</v>
      </c>
      <c r="AM169" s="273">
        <v>3</v>
      </c>
      <c r="AN169" s="268"/>
      <c r="AO169" s="268"/>
      <c r="AP169" s="258"/>
      <c r="AQ169" s="269"/>
      <c r="AR169" s="270"/>
      <c r="AS169" s="323"/>
      <c r="AT169" s="323"/>
      <c r="AU169" s="323"/>
      <c r="AV169" s="323"/>
      <c r="AW169" s="323"/>
      <c r="AX169" s="323"/>
      <c r="AY169" s="323"/>
      <c r="AZ169" s="323"/>
      <c r="BA169" s="323"/>
      <c r="BB169" s="323"/>
      <c r="BC169" s="323"/>
      <c r="BD169" s="323"/>
      <c r="BE169" s="323"/>
      <c r="BF169" s="323"/>
      <c r="BG169" s="323"/>
      <c r="BH169" s="323"/>
      <c r="BI169" s="323"/>
      <c r="BJ169" s="323"/>
      <c r="BK169" s="323"/>
      <c r="BL169" s="323"/>
      <c r="BM169" s="323"/>
      <c r="BN169" s="323"/>
      <c r="BO169" s="323"/>
      <c r="BP169" s="323"/>
      <c r="BQ169" s="323"/>
      <c r="BR169" s="323"/>
      <c r="BS169" s="323"/>
      <c r="BT169" s="323"/>
      <c r="BU169" s="323"/>
      <c r="BV169" s="323"/>
      <c r="BW169" s="323"/>
      <c r="BX169" s="323"/>
      <c r="BY169" s="323"/>
    </row>
    <row r="170" spans="1:77" s="113" customFormat="1" ht="114" x14ac:dyDescent="0.2">
      <c r="A170" s="437"/>
      <c r="B170" s="438"/>
      <c r="C170" s="434"/>
      <c r="D170" s="434"/>
      <c r="E170" s="434"/>
      <c r="F170" s="435"/>
      <c r="G170" s="436"/>
      <c r="H170" s="435"/>
      <c r="I170" s="435"/>
      <c r="J170" s="439"/>
      <c r="K170" s="430"/>
      <c r="L170" s="431"/>
      <c r="M170" s="432"/>
      <c r="N170" s="310">
        <f ca="1">IF(NOT(ISERROR(MATCH(M170,_xlfn.ANCHORARRAY(G31),0))),L33&amp;"Por favor no seleccionar los criterios de impacto",M170)</f>
        <v>0</v>
      </c>
      <c r="O170" s="430"/>
      <c r="P170" s="431"/>
      <c r="Q170" s="433"/>
      <c r="R170" s="316">
        <v>2</v>
      </c>
      <c r="S170" s="330" t="s">
        <v>899</v>
      </c>
      <c r="T170" s="312" t="s">
        <v>293</v>
      </c>
      <c r="U170" s="302" t="str">
        <f>IF(OR(V170="Preventivo",V170="Detectivo"),"Probabilidad",IF(V170="Correctivo","Impacto",""))</f>
        <v>Probabilidad</v>
      </c>
      <c r="V170" s="237" t="s">
        <v>13</v>
      </c>
      <c r="W170" s="237" t="s">
        <v>8</v>
      </c>
      <c r="X170" s="209" t="str">
        <f>IF(AND(V170="Preventivo",W170="Automático"),"50%",IF(AND(V170="Preventivo",W170="Manual"),"40%",IF(AND(V170="Detectivo",W170="Automático"),"40%",IF(AND(V170="Detectivo",W170="Manual"),"30%",IF(AND(V170="Correctivo",W170="Automático"),"35%",IF(AND(V170="Correctivo",W170="Manual"),"25%",""))))))</f>
        <v>40%</v>
      </c>
      <c r="Y170" s="237" t="s">
        <v>18</v>
      </c>
      <c r="Z170" s="237" t="s">
        <v>21</v>
      </c>
      <c r="AA170" s="237" t="s">
        <v>103</v>
      </c>
      <c r="AB170" s="210">
        <f t="shared" ref="AB170" si="321">IFERROR(IF(AND(U169="Probabilidad",U170="Probabilidad"),(AD169-(+AD169*X170)),IF(U170="Probabilidad",(L169-(+L169*X170)),IF(U170="Impacto",AD169,""))),"")</f>
        <v>0.36</v>
      </c>
      <c r="AC170" s="211" t="str">
        <f t="shared" ref="AC170:AC174" si="322">IFERROR(IF(AB170="","",IF(AB170&lt;=0.2,"Muy Baja",IF(AB170&lt;=0.4,"Baja",IF(AB170&lt;=0.6,"Media",IF(AB170&lt;=0.8,"Alta","Muy Alta"))))),"")</f>
        <v>Baja</v>
      </c>
      <c r="AD170" s="209">
        <f>+AB170</f>
        <v>0.36</v>
      </c>
      <c r="AE170" s="211" t="str">
        <f t="shared" ref="AE170:AE174" ca="1" si="323">IFERROR(IF(AF170="","",IF(AF170&lt;=0.2,"Leve",IF(AF170&lt;=0.4,"Menor",IF(AF170&lt;=0.6,"Moderado",IF(AF170&lt;=0.8,"Mayor","Catastrófico"))))),"")</f>
        <v>Moderado</v>
      </c>
      <c r="AF170" s="209">
        <f ca="1">IFERROR(IF(AND(U169="Impacto",U170="Impacto"),(AF169-(+AF169*X170)),IF(U170="Impacto",($P$37-(+$P$37*X170)),IF(U170="Probabilidad",AF169,""))),"")</f>
        <v>0.60000000000000009</v>
      </c>
      <c r="AG170" s="212" t="str">
        <f t="shared" ref="AG170:AG171" ca="1" si="324">IFERROR(IF(OR(AND(AC170="Muy Baja",AE170="Leve"),AND(AC170="Muy Baja",AE170="Menor"),AND(AC170="Baja",AE170="Leve")),"Bajo",IF(OR(AND(AC170="Muy baja",AE170="Moderado"),AND(AC170="Baja",AE170="Menor"),AND(AC170="Baja",AE170="Moderado"),AND(AC170="Media",AE170="Leve"),AND(AC170="Media",AE170="Menor"),AND(AC170="Media",AE170="Moderado"),AND(AC170="Alta",AE170="Leve"),AND(AC170="Alta",AE170="Menor")),"Moderado",IF(OR(AND(AC170="Muy Baja",AE170="Mayor"),AND(AC170="Baja",AE170="Mayor"),AND(AC170="Media",AE170="Mayor"),AND(AC170="Alta",AE170="Moderado"),AND(AC170="Alta",AE170="Mayor"),AND(AC170="Muy Alta",AE170="Leve"),AND(AC170="Muy Alta",AE170="Menor"),AND(AC170="Muy Alta",AE170="Moderado"),AND(AC170="Muy Alta",AE170="Mayor")),"Alto",IF(OR(AND(AC170="Muy Baja",AE170="Catastrófico"),AND(AC170="Baja",AE170="Catastrófico"),AND(AC170="Media",AE170="Catastrófico"),AND(AC170="Alta",AE170="Catastrófico"),AND(AC170="Muy Alta",AE170="Catastrófico")),"Extremo","")))),"")</f>
        <v>Moderado</v>
      </c>
      <c r="AH170" s="237" t="s">
        <v>26</v>
      </c>
      <c r="AI170" s="327">
        <v>12</v>
      </c>
      <c r="AJ170" s="327">
        <v>3</v>
      </c>
      <c r="AK170" s="327">
        <v>3</v>
      </c>
      <c r="AL170" s="327">
        <v>3</v>
      </c>
      <c r="AM170" s="327">
        <v>3</v>
      </c>
      <c r="AN170" s="307"/>
      <c r="AO170" s="307"/>
      <c r="AP170" s="259"/>
      <c r="AQ170" s="220"/>
      <c r="AR170" s="307"/>
      <c r="AS170" s="323"/>
      <c r="AT170" s="323"/>
      <c r="AU170" s="323"/>
      <c r="AV170" s="323"/>
      <c r="AW170" s="323"/>
      <c r="AX170" s="323"/>
      <c r="AY170" s="323"/>
      <c r="AZ170" s="323"/>
      <c r="BA170" s="323"/>
      <c r="BB170" s="323"/>
      <c r="BC170" s="323"/>
      <c r="BD170" s="323"/>
      <c r="BE170" s="323"/>
      <c r="BF170" s="323"/>
      <c r="BG170" s="323"/>
      <c r="BH170" s="323"/>
      <c r="BI170" s="323"/>
      <c r="BJ170" s="323"/>
      <c r="BK170" s="323"/>
      <c r="BL170" s="323"/>
      <c r="BM170" s="323"/>
      <c r="BN170" s="323"/>
      <c r="BO170" s="323"/>
      <c r="BP170" s="323"/>
      <c r="BQ170" s="323"/>
      <c r="BR170" s="323"/>
      <c r="BS170" s="323"/>
      <c r="BT170" s="323"/>
      <c r="BU170" s="323"/>
      <c r="BV170" s="323"/>
      <c r="BW170" s="323"/>
      <c r="BX170" s="323"/>
      <c r="BY170" s="323"/>
    </row>
    <row r="171" spans="1:77" s="113" customFormat="1" ht="85.5" x14ac:dyDescent="0.2">
      <c r="A171" s="437"/>
      <c r="B171" s="438"/>
      <c r="C171" s="434"/>
      <c r="D171" s="434"/>
      <c r="E171" s="434"/>
      <c r="F171" s="435"/>
      <c r="G171" s="436"/>
      <c r="H171" s="435"/>
      <c r="I171" s="435"/>
      <c r="J171" s="439"/>
      <c r="K171" s="430"/>
      <c r="L171" s="431"/>
      <c r="M171" s="432"/>
      <c r="N171" s="310">
        <f ca="1">IF(NOT(ISERROR(MATCH(M171,_xlfn.ANCHORARRAY(G32),0))),L34&amp;"Por favor no seleccionar los criterios de impacto",M171)</f>
        <v>0</v>
      </c>
      <c r="O171" s="430"/>
      <c r="P171" s="431"/>
      <c r="Q171" s="433"/>
      <c r="R171" s="316">
        <v>3</v>
      </c>
      <c r="S171" s="330" t="s">
        <v>900</v>
      </c>
      <c r="T171" s="312" t="s">
        <v>293</v>
      </c>
      <c r="U171" s="302" t="str">
        <f>IF(OR(V171="Preventivo",V171="Detectivo"),"Probabilidad",IF(V171="Correctivo","Impacto",""))</f>
        <v>Probabilidad</v>
      </c>
      <c r="V171" s="237" t="s">
        <v>13</v>
      </c>
      <c r="W171" s="237" t="s">
        <v>8</v>
      </c>
      <c r="X171" s="209" t="str">
        <f>IF(AND(V171="Preventivo",W171="Automático"),"50%",IF(AND(V171="Preventivo",W171="Manual"),"40%",IF(AND(V171="Detectivo",W171="Automático"),"40%",IF(AND(V171="Detectivo",W171="Manual"),"30%",IF(AND(V171="Correctivo",W171="Automático"),"35%",IF(AND(V171="Correctivo",W171="Manual"),"25%",""))))))</f>
        <v>40%</v>
      </c>
      <c r="Y171" s="237" t="s">
        <v>18</v>
      </c>
      <c r="Z171" s="237" t="s">
        <v>21</v>
      </c>
      <c r="AA171" s="237" t="s">
        <v>103</v>
      </c>
      <c r="AB171" s="210">
        <f t="shared" ref="AB171:AB174" si="325">IFERROR(IF(AND(U170="Probabilidad",U171="Probabilidad"),(AD170-(+AD170*X171)),IF(AND(U170="Impacto",U171="Probabilidad"),(AD169-(+AD169*X171)),IF(U171="Impacto",AD170,""))),"")</f>
        <v>0.216</v>
      </c>
      <c r="AC171" s="211" t="str">
        <f t="shared" si="322"/>
        <v>Baja</v>
      </c>
      <c r="AD171" s="209">
        <f t="shared" ref="AD171:AD174" si="326">+AB171</f>
        <v>0.216</v>
      </c>
      <c r="AE171" s="211" t="str">
        <f t="shared" ca="1" si="323"/>
        <v>Moderado</v>
      </c>
      <c r="AF171" s="209">
        <f ca="1">IFERROR(IF(AND(U170="Impacto",U171="Impacto"),(AF170-(+AF170*X171)),IF(U171="Impacto",($P$31-(+$P$31*X171)),IF(U171="Probabilidad",AF170,""))),"")</f>
        <v>0.60000000000000009</v>
      </c>
      <c r="AG171" s="212" t="str">
        <f t="shared" ca="1" si="324"/>
        <v>Moderado</v>
      </c>
      <c r="AH171" s="237" t="s">
        <v>26</v>
      </c>
      <c r="AI171" s="318">
        <v>0</v>
      </c>
      <c r="AJ171" s="318">
        <v>0</v>
      </c>
      <c r="AK171" s="318">
        <v>0</v>
      </c>
      <c r="AL171" s="318">
        <v>0</v>
      </c>
      <c r="AM171" s="318">
        <v>0</v>
      </c>
      <c r="AN171" s="307"/>
      <c r="AO171" s="307"/>
      <c r="AP171" s="259"/>
      <c r="AQ171" s="220"/>
      <c r="AR171" s="307"/>
      <c r="AS171" s="323"/>
      <c r="AT171" s="323"/>
      <c r="AU171" s="323"/>
      <c r="AV171" s="323"/>
      <c r="AW171" s="323"/>
      <c r="AX171" s="323"/>
      <c r="AY171" s="323"/>
      <c r="AZ171" s="323"/>
      <c r="BA171" s="323"/>
      <c r="BB171" s="323"/>
      <c r="BC171" s="323"/>
      <c r="BD171" s="323"/>
      <c r="BE171" s="323"/>
      <c r="BF171" s="323"/>
      <c r="BG171" s="323"/>
      <c r="BH171" s="323"/>
      <c r="BI171" s="323"/>
      <c r="BJ171" s="323"/>
      <c r="BK171" s="323"/>
      <c r="BL171" s="323"/>
      <c r="BM171" s="323"/>
      <c r="BN171" s="323"/>
      <c r="BO171" s="323"/>
      <c r="BP171" s="323"/>
      <c r="BQ171" s="323"/>
      <c r="BR171" s="323"/>
      <c r="BS171" s="323"/>
      <c r="BT171" s="323"/>
      <c r="BU171" s="323"/>
      <c r="BV171" s="323"/>
      <c r="BW171" s="323"/>
      <c r="BX171" s="323"/>
      <c r="BY171" s="323"/>
    </row>
    <row r="172" spans="1:77" s="113" customFormat="1" ht="17.25" hidden="1" customHeight="1" x14ac:dyDescent="0.2">
      <c r="A172" s="437"/>
      <c r="B172" s="438"/>
      <c r="C172" s="434"/>
      <c r="D172" s="434"/>
      <c r="E172" s="434"/>
      <c r="F172" s="435"/>
      <c r="G172" s="436"/>
      <c r="H172" s="435"/>
      <c r="I172" s="435"/>
      <c r="J172" s="439"/>
      <c r="K172" s="430"/>
      <c r="L172" s="431"/>
      <c r="M172" s="432"/>
      <c r="N172" s="310">
        <f ca="1">IF(NOT(ISERROR(MATCH(M172,_xlfn.ANCHORARRAY(G33),0))),L35&amp;"Por favor no seleccionar los criterios de impacto",M172)</f>
        <v>0</v>
      </c>
      <c r="O172" s="430"/>
      <c r="P172" s="431"/>
      <c r="Q172" s="433"/>
      <c r="R172" s="316">
        <v>4</v>
      </c>
      <c r="S172" s="330"/>
      <c r="T172" s="312"/>
      <c r="U172" s="208" t="str">
        <f t="shared" ref="U172:U174" si="327">IF(OR(V172="Preventivo",V172="Detectivo"),"Probabilidad",IF(V172="Correctivo","Impacto",""))</f>
        <v/>
      </c>
      <c r="V172" s="237"/>
      <c r="W172" s="237"/>
      <c r="X172" s="209" t="str">
        <f t="shared" ref="X172:X174" si="328">IF(AND(V172="Preventivo",W172="Automático"),"50%",IF(AND(V172="Preventivo",W172="Manual"),"40%",IF(AND(V172="Detectivo",W172="Automático"),"40%",IF(AND(V172="Detectivo",W172="Manual"),"30%",IF(AND(V172="Correctivo",W172="Automático"),"35%",IF(AND(V172="Correctivo",W172="Manual"),"25%",""))))))</f>
        <v/>
      </c>
      <c r="Y172" s="237"/>
      <c r="Z172" s="237"/>
      <c r="AA172" s="237"/>
      <c r="AB172" s="210" t="str">
        <f t="shared" si="325"/>
        <v/>
      </c>
      <c r="AC172" s="211" t="str">
        <f t="shared" si="322"/>
        <v/>
      </c>
      <c r="AD172" s="209" t="str">
        <f t="shared" si="326"/>
        <v/>
      </c>
      <c r="AE172" s="211" t="str">
        <f t="shared" si="323"/>
        <v/>
      </c>
      <c r="AF172" s="209" t="str">
        <f t="shared" ref="AF172:AF173" si="329">IFERROR(IF(AND(U171="Impacto",U172="Impacto"),(AF171-(+AF171*X172)),IF(U172="Impacto",($P$31-(+$P$31*X172)),IF(U172="Probabilidad",AF171,""))),"")</f>
        <v/>
      </c>
      <c r="AG172" s="212" t="str">
        <f>IFERROR(IF(OR(AND(AC172="Muy Baja",AE172="Leve"),AND(AC172="Muy Baja",AE172="Menor"),AND(AC172="Baja",AE172="Leve")),"Bajo",IF(OR(AND(AC172="Muy baja",AE172="Moderado"),AND(AC172="Baja",AE172="Menor"),AND(AC172="Baja",AE172="Moderado"),AND(AC172="Media",AE172="Leve"),AND(AC172="Media",AE172="Menor"),AND(AC172="Media",AE172="Moderado"),AND(AC172="Alta",AE172="Leve"),AND(AC172="Alta",AE172="Menor")),"Moderado",IF(OR(AND(AC172="Muy Baja",AE172="Mayor"),AND(AC172="Baja",AE172="Mayor"),AND(AC172="Media",AE172="Mayor"),AND(AC172="Alta",AE172="Moderado"),AND(AC172="Alta",AE172="Mayor"),AND(AC172="Muy Alta",AE172="Leve"),AND(AC172="Muy Alta",AE172="Menor"),AND(AC172="Muy Alta",AE172="Moderado"),AND(AC172="Muy Alta",AE172="Mayor")),"Alto",IF(OR(AND(AC172="Muy Baja",AE172="Catastrófico"),AND(AC172="Baja",AE172="Catastrófico"),AND(AC172="Media",AE172="Catastrófico"),AND(AC172="Alta",AE172="Catastrófico"),AND(AC172="Muy Alta",AE172="Catastrófico")),"Extremo","")))),"")</f>
        <v/>
      </c>
      <c r="AH172" s="237"/>
      <c r="AI172" s="318"/>
      <c r="AJ172" s="318"/>
      <c r="AK172" s="318"/>
      <c r="AL172" s="318"/>
      <c r="AM172" s="318"/>
      <c r="AN172" s="213"/>
      <c r="AO172" s="213"/>
      <c r="AP172" s="308"/>
      <c r="AQ172" s="220"/>
      <c r="AR172" s="213"/>
      <c r="AS172" s="323"/>
      <c r="AT172" s="323"/>
      <c r="AU172" s="323"/>
      <c r="AV172" s="323"/>
      <c r="AW172" s="323"/>
      <c r="AX172" s="323"/>
      <c r="AY172" s="323"/>
      <c r="AZ172" s="323"/>
      <c r="BA172" s="323"/>
      <c r="BB172" s="323"/>
      <c r="BC172" s="323"/>
      <c r="BD172" s="323"/>
      <c r="BE172" s="323"/>
      <c r="BF172" s="323"/>
      <c r="BG172" s="323"/>
      <c r="BH172" s="323"/>
      <c r="BI172" s="323"/>
      <c r="BJ172" s="323"/>
      <c r="BK172" s="323"/>
      <c r="BL172" s="323"/>
      <c r="BM172" s="323"/>
      <c r="BN172" s="323"/>
      <c r="BO172" s="323"/>
      <c r="BP172" s="323"/>
      <c r="BQ172" s="323"/>
      <c r="BR172" s="323"/>
      <c r="BS172" s="323"/>
      <c r="BT172" s="323"/>
      <c r="BU172" s="323"/>
      <c r="BV172" s="323"/>
      <c r="BW172" s="323"/>
      <c r="BX172" s="323"/>
      <c r="BY172" s="323"/>
    </row>
    <row r="173" spans="1:77" s="113" customFormat="1" ht="17.25" hidden="1" customHeight="1" x14ac:dyDescent="0.2">
      <c r="A173" s="437"/>
      <c r="B173" s="438"/>
      <c r="C173" s="434"/>
      <c r="D173" s="434"/>
      <c r="E173" s="434"/>
      <c r="F173" s="435"/>
      <c r="G173" s="436"/>
      <c r="H173" s="435"/>
      <c r="I173" s="435"/>
      <c r="J173" s="439"/>
      <c r="K173" s="430"/>
      <c r="L173" s="431"/>
      <c r="M173" s="432"/>
      <c r="N173" s="310">
        <f ca="1">IF(NOT(ISERROR(MATCH(M173,_xlfn.ANCHORARRAY(G34),0))),L36&amp;"Por favor no seleccionar los criterios de impacto",M173)</f>
        <v>0</v>
      </c>
      <c r="O173" s="430"/>
      <c r="P173" s="431"/>
      <c r="Q173" s="433"/>
      <c r="R173" s="316">
        <v>5</v>
      </c>
      <c r="S173" s="330"/>
      <c r="T173" s="312"/>
      <c r="U173" s="208" t="str">
        <f t="shared" si="327"/>
        <v/>
      </c>
      <c r="V173" s="237"/>
      <c r="W173" s="237"/>
      <c r="X173" s="209" t="str">
        <f t="shared" si="328"/>
        <v/>
      </c>
      <c r="Y173" s="237"/>
      <c r="Z173" s="237"/>
      <c r="AA173" s="237"/>
      <c r="AB173" s="210" t="str">
        <f t="shared" si="325"/>
        <v/>
      </c>
      <c r="AC173" s="211" t="str">
        <f t="shared" si="322"/>
        <v/>
      </c>
      <c r="AD173" s="209" t="str">
        <f t="shared" si="326"/>
        <v/>
      </c>
      <c r="AE173" s="211" t="str">
        <f t="shared" si="323"/>
        <v/>
      </c>
      <c r="AF173" s="209" t="str">
        <f t="shared" si="329"/>
        <v/>
      </c>
      <c r="AG173" s="212" t="str">
        <f t="shared" ref="AG173:AG174" si="330">IFERROR(IF(OR(AND(AC173="Muy Baja",AE173="Leve"),AND(AC173="Muy Baja",AE173="Menor"),AND(AC173="Baja",AE173="Leve")),"Bajo",IF(OR(AND(AC173="Muy baja",AE173="Moderado"),AND(AC173="Baja",AE173="Menor"),AND(AC173="Baja",AE173="Moderado"),AND(AC173="Media",AE173="Leve"),AND(AC173="Media",AE173="Menor"),AND(AC173="Media",AE173="Moderado"),AND(AC173="Alta",AE173="Leve"),AND(AC173="Alta",AE173="Menor")),"Moderado",IF(OR(AND(AC173="Muy Baja",AE173="Mayor"),AND(AC173="Baja",AE173="Mayor"),AND(AC173="Media",AE173="Mayor"),AND(AC173="Alta",AE173="Moderado"),AND(AC173="Alta",AE173="Mayor"),AND(AC173="Muy Alta",AE173="Leve"),AND(AC173="Muy Alta",AE173="Menor"),AND(AC173="Muy Alta",AE173="Moderado"),AND(AC173="Muy Alta",AE173="Mayor")),"Alto",IF(OR(AND(AC173="Muy Baja",AE173="Catastrófico"),AND(AC173="Baja",AE173="Catastrófico"),AND(AC173="Media",AE173="Catastrófico"),AND(AC173="Alta",AE173="Catastrófico"),AND(AC173="Muy Alta",AE173="Catastrófico")),"Extremo","")))),"")</f>
        <v/>
      </c>
      <c r="AH173" s="237"/>
      <c r="AI173" s="318"/>
      <c r="AJ173" s="318"/>
      <c r="AK173" s="318"/>
      <c r="AL173" s="318"/>
      <c r="AM173" s="318"/>
      <c r="AN173" s="305"/>
      <c r="AO173" s="305"/>
      <c r="AP173" s="306"/>
      <c r="AQ173" s="216"/>
      <c r="AR173" s="216"/>
      <c r="AS173" s="323"/>
      <c r="AT173" s="323"/>
      <c r="AU173" s="323"/>
      <c r="AV173" s="323"/>
      <c r="AW173" s="323"/>
      <c r="AX173" s="323"/>
      <c r="AY173" s="323"/>
      <c r="AZ173" s="323"/>
      <c r="BA173" s="323"/>
      <c r="BB173" s="323"/>
      <c r="BC173" s="323"/>
      <c r="BD173" s="323"/>
      <c r="BE173" s="323"/>
      <c r="BF173" s="323"/>
      <c r="BG173" s="323"/>
      <c r="BH173" s="323"/>
      <c r="BI173" s="323"/>
      <c r="BJ173" s="323"/>
      <c r="BK173" s="323"/>
      <c r="BL173" s="323"/>
      <c r="BM173" s="323"/>
      <c r="BN173" s="323"/>
      <c r="BO173" s="323"/>
      <c r="BP173" s="323"/>
      <c r="BQ173" s="323"/>
      <c r="BR173" s="323"/>
      <c r="BS173" s="323"/>
      <c r="BT173" s="323"/>
      <c r="BU173" s="323"/>
      <c r="BV173" s="323"/>
      <c r="BW173" s="323"/>
      <c r="BX173" s="323"/>
      <c r="BY173" s="323"/>
    </row>
    <row r="174" spans="1:77" s="113" customFormat="1" ht="17.25" hidden="1" customHeight="1" x14ac:dyDescent="0.2">
      <c r="A174" s="437"/>
      <c r="B174" s="438"/>
      <c r="C174" s="434"/>
      <c r="D174" s="434"/>
      <c r="E174" s="434"/>
      <c r="F174" s="435"/>
      <c r="G174" s="436"/>
      <c r="H174" s="435"/>
      <c r="I174" s="435"/>
      <c r="J174" s="439"/>
      <c r="K174" s="430"/>
      <c r="L174" s="431"/>
      <c r="M174" s="432"/>
      <c r="N174" s="310">
        <f ca="1">IF(NOT(ISERROR(MATCH(M174,_xlfn.ANCHORARRAY(G35),0))),L37&amp;"Por favor no seleccionar los criterios de impacto",M174)</f>
        <v>0</v>
      </c>
      <c r="O174" s="430"/>
      <c r="P174" s="431"/>
      <c r="Q174" s="433"/>
      <c r="R174" s="316">
        <v>6</v>
      </c>
      <c r="S174" s="330"/>
      <c r="T174" s="312"/>
      <c r="U174" s="208" t="str">
        <f t="shared" si="327"/>
        <v/>
      </c>
      <c r="V174" s="237"/>
      <c r="W174" s="237"/>
      <c r="X174" s="209" t="str">
        <f t="shared" si="328"/>
        <v/>
      </c>
      <c r="Y174" s="237"/>
      <c r="Z174" s="237"/>
      <c r="AA174" s="237"/>
      <c r="AB174" s="210" t="str">
        <f t="shared" si="325"/>
        <v/>
      </c>
      <c r="AC174" s="211" t="str">
        <f t="shared" si="322"/>
        <v/>
      </c>
      <c r="AD174" s="209" t="str">
        <f t="shared" si="326"/>
        <v/>
      </c>
      <c r="AE174" s="211" t="str">
        <f t="shared" si="323"/>
        <v/>
      </c>
      <c r="AF174" s="209" t="str">
        <f>IFERROR(IF(AND(U173="Impacto",U174="Impacto"),(AF173-(+AF173*X174)),IF(U174="Impacto",($P$31-(+$P$31*X174)),IF(U174="Probabilidad",AF173,""))),"")</f>
        <v/>
      </c>
      <c r="AG174" s="212" t="str">
        <f t="shared" si="330"/>
        <v/>
      </c>
      <c r="AH174" s="237"/>
      <c r="AI174" s="318"/>
      <c r="AJ174" s="318"/>
      <c r="AK174" s="318"/>
      <c r="AL174" s="318"/>
      <c r="AM174" s="318"/>
      <c r="AN174" s="305"/>
      <c r="AO174" s="305"/>
      <c r="AP174" s="306"/>
      <c r="AQ174" s="216"/>
      <c r="AR174" s="216"/>
      <c r="AS174" s="323"/>
      <c r="AT174" s="323"/>
      <c r="AU174" s="323"/>
      <c r="AV174" s="323"/>
      <c r="AW174" s="323"/>
      <c r="AX174" s="323"/>
      <c r="AY174" s="323"/>
      <c r="AZ174" s="323"/>
      <c r="BA174" s="323"/>
      <c r="BB174" s="323"/>
      <c r="BC174" s="323"/>
      <c r="BD174" s="323"/>
      <c r="BE174" s="323"/>
      <c r="BF174" s="323"/>
      <c r="BG174" s="323"/>
      <c r="BH174" s="323"/>
      <c r="BI174" s="323"/>
      <c r="BJ174" s="323"/>
      <c r="BK174" s="323"/>
      <c r="BL174" s="323"/>
      <c r="BM174" s="323"/>
      <c r="BN174" s="323"/>
      <c r="BO174" s="323"/>
      <c r="BP174" s="323"/>
      <c r="BQ174" s="323"/>
      <c r="BR174" s="323"/>
      <c r="BS174" s="323"/>
      <c r="BT174" s="323"/>
      <c r="BU174" s="323"/>
      <c r="BV174" s="323"/>
      <c r="BW174" s="323"/>
      <c r="BX174" s="323"/>
      <c r="BY174" s="323"/>
    </row>
    <row r="175" spans="1:77" s="271" customFormat="1" ht="128.25" x14ac:dyDescent="0.2">
      <c r="A175" s="437" t="s">
        <v>901</v>
      </c>
      <c r="B175" s="438" t="s">
        <v>608</v>
      </c>
      <c r="C175" s="434" t="s">
        <v>621</v>
      </c>
      <c r="D175" s="434" t="s">
        <v>107</v>
      </c>
      <c r="E175" s="434" t="s">
        <v>903</v>
      </c>
      <c r="F175" s="435" t="s">
        <v>685</v>
      </c>
      <c r="G175" s="436" t="s">
        <v>902</v>
      </c>
      <c r="H175" s="435" t="s">
        <v>655</v>
      </c>
      <c r="I175" s="435" t="s">
        <v>808</v>
      </c>
      <c r="J175" s="439">
        <v>12</v>
      </c>
      <c r="K175" s="430" t="str">
        <f t="shared" ref="K175" si="331">IF(J175&lt;=0,"",IF(J175&lt;=2,"Muy Baja",IF(J175&lt;=24,"Baja",IF(J175&lt;=500,"Media",IF(J175&lt;=5000,"Alta","Muy Alta")))))</f>
        <v>Baja</v>
      </c>
      <c r="L175" s="431">
        <f>IF(K175="","",IF(K175="Muy Baja",0.2,IF(K175="Baja",0.4,IF(K175="Media",0.6,IF(K175="Alta",0.8,IF(K175="Muy Alta",1,))))))</f>
        <v>0.4</v>
      </c>
      <c r="M175" s="432" t="s">
        <v>122</v>
      </c>
      <c r="N175" s="310" t="str">
        <f ca="1">IF(NOT(ISERROR(MATCH(M175,'Tabla Impacto'!$B$221:$B$223,0))),'Tabla Impacto'!$F$223&amp;"Por favor no seleccionar los criterios de impacto(Afectación Económica o presupuestal y Pérdida Reputacional)",M175)</f>
        <v xml:space="preserve">     El riesgo afecta la imagen de de la entidad con efecto publicitario sostenido a nivel de sector administrativo, nivel departamental o municipal</v>
      </c>
      <c r="O175" s="430" t="str">
        <f ca="1">IF(OR(N175='Tabla Impacto'!$C$11,N175='Tabla Impacto'!$D$11),"Leve",IF(OR(N175='Tabla Impacto'!$C$12,N175='Tabla Impacto'!$D$12),"Menor",IF(OR(N175='Tabla Impacto'!$C$13,N175='Tabla Impacto'!$D$13),"Moderado",IF(OR(N175='Tabla Impacto'!$C$14,N175='Tabla Impacto'!$D$14),"Mayor",IF(OR(N175='Tabla Impacto'!$C$15,N175='Tabla Impacto'!$D$15),"Catastrófico","")))))</f>
        <v>Mayor</v>
      </c>
      <c r="P175" s="431">
        <f ca="1">IF(O175="","",IF(O175="Leve",0.2,IF(O175="Menor",0.4,IF(O175="Moderado",0.6,IF(O175="Mayor",0.8,IF(O175="Catastrófico",1,))))))</f>
        <v>0.8</v>
      </c>
      <c r="Q175" s="433" t="str">
        <f ca="1">IF(OR(AND(K175="Muy Baja",O175="Leve"),AND(K175="Muy Baja",O175="Menor"),AND(K175="Baja",O175="Leve")),"Bajo",IF(OR(AND(K175="Muy baja",O175="Moderado"),AND(K175="Baja",O175="Menor"),AND(K175="Baja",O175="Moderado"),AND(K175="Media",O175="Leve"),AND(K175="Media",O175="Menor"),AND(K175="Media",O175="Moderado"),AND(K175="Alta",O175="Leve"),AND(K175="Alta",O175="Menor")),"Moderado",IF(OR(AND(K175="Muy Baja",O175="Mayor"),AND(K175="Baja",O175="Mayor"),AND(K175="Media",O175="Mayor"),AND(K175="Alta",O175="Moderado"),AND(K175="Alta",O175="Mayor"),AND(K175="Muy Alta",O175="Leve"),AND(K175="Muy Alta",O175="Menor"),AND(K175="Muy Alta",O175="Moderado"),AND(K175="Muy Alta",O175="Mayor")),"Alto",IF(OR(AND(K175="Muy Baja",O175="Catastrófico"),AND(K175="Baja",O175="Catastrófico"),AND(K175="Media",O175="Catastrófico"),AND(K175="Alta",O175="Catastrófico"),AND(K175="Muy Alta",O175="Catastrófico")),"Extremo",""))))</f>
        <v>Alto</v>
      </c>
      <c r="R175" s="261">
        <v>1</v>
      </c>
      <c r="S175" s="334" t="s">
        <v>904</v>
      </c>
      <c r="T175" s="272" t="s">
        <v>293</v>
      </c>
      <c r="U175" s="262" t="str">
        <f>IF(OR(V175="Preventivo",V175="Detectivo"),"Probabilidad",IF(V175="Correctivo","Impacto",""))</f>
        <v>Probabilidad</v>
      </c>
      <c r="V175" s="263" t="s">
        <v>13</v>
      </c>
      <c r="W175" s="263" t="s">
        <v>9</v>
      </c>
      <c r="X175" s="264" t="str">
        <f>IF(AND(V175="Preventivo",W175="Automático"),"50%",IF(AND(V175="Preventivo",W175="Manual"),"40%",IF(AND(V175="Detectivo",W175="Automático"),"40%",IF(AND(V175="Detectivo",W175="Manual"),"30%",IF(AND(V175="Correctivo",W175="Automático"),"35%",IF(AND(V175="Correctivo",W175="Manual"),"25%",""))))))</f>
        <v>50%</v>
      </c>
      <c r="Y175" s="263" t="s">
        <v>18</v>
      </c>
      <c r="Z175" s="263" t="s">
        <v>21</v>
      </c>
      <c r="AA175" s="263" t="s">
        <v>103</v>
      </c>
      <c r="AB175" s="265">
        <f t="shared" ref="AB175" si="332">IFERROR(IF(U175="Probabilidad",(L175-(+L175*X175)),IF(U175="Impacto",L175,"")),"")</f>
        <v>0.2</v>
      </c>
      <c r="AC175" s="266" t="str">
        <f>IFERROR(IF(AB175="","",IF(AB175&lt;=0.2,"Muy Baja",IF(AB175&lt;=0.4,"Baja",IF(AB175&lt;=0.6,"Media",IF(AB175&lt;=0.8,"Alta","Muy Alta"))))),"")</f>
        <v>Muy Baja</v>
      </c>
      <c r="AD175" s="264">
        <f>+AB175</f>
        <v>0.2</v>
      </c>
      <c r="AE175" s="266" t="str">
        <f ca="1">IFERROR(IF(AF175="","",IF(AF175&lt;=0.2,"Leve",IF(AF175&lt;=0.4,"Menor",IF(AF175&lt;=0.6,"Moderado",IF(AF175&lt;=0.8,"Mayor","Catastrófico"))))),"")</f>
        <v>Mayor</v>
      </c>
      <c r="AF175" s="264">
        <f ca="1">IFERROR(IF(U175="Impacto",(P175-(+P175*X175)),IF(U175="Probabilidad",P175,"")),"")</f>
        <v>0.8</v>
      </c>
      <c r="AG175" s="267" t="str">
        <f ca="1">IFERROR(IF(OR(AND(AC175="Muy Baja",AE175="Leve"),AND(AC175="Muy Baja",AE175="Menor"),AND(AC175="Baja",AE175="Leve")),"Bajo",IF(OR(AND(AC175="Muy baja",AE175="Moderado"),AND(AC175="Baja",AE175="Menor"),AND(AC175="Baja",AE175="Moderado"),AND(AC175="Media",AE175="Leve"),AND(AC175="Media",AE175="Menor"),AND(AC175="Media",AE175="Moderado"),AND(AC175="Alta",AE175="Leve"),AND(AC175="Alta",AE175="Menor")),"Moderado",IF(OR(AND(AC175="Muy Baja",AE175="Mayor"),AND(AC175="Baja",AE175="Mayor"),AND(AC175="Media",AE175="Mayor"),AND(AC175="Alta",AE175="Moderado"),AND(AC175="Alta",AE175="Mayor"),AND(AC175="Muy Alta",AE175="Leve"),AND(AC175="Muy Alta",AE175="Menor"),AND(AC175="Muy Alta",AE175="Moderado"),AND(AC175="Muy Alta",AE175="Mayor")),"Alto",IF(OR(AND(AC175="Muy Baja",AE175="Catastrófico"),AND(AC175="Baja",AE175="Catastrófico"),AND(AC175="Media",AE175="Catastrófico"),AND(AC175="Alta",AE175="Catastrófico"),AND(AC175="Muy Alta",AE175="Catastrófico")),"Extremo","")))),"")</f>
        <v>Alto</v>
      </c>
      <c r="AH175" s="263" t="s">
        <v>26</v>
      </c>
      <c r="AI175" s="273">
        <v>0</v>
      </c>
      <c r="AJ175" s="273">
        <v>0</v>
      </c>
      <c r="AK175" s="273">
        <v>0</v>
      </c>
      <c r="AL175" s="273">
        <v>0</v>
      </c>
      <c r="AM175" s="273">
        <v>0</v>
      </c>
      <c r="AN175" s="268"/>
      <c r="AO175" s="268"/>
      <c r="AP175" s="258"/>
      <c r="AQ175" s="269"/>
      <c r="AR175" s="270"/>
      <c r="AS175" s="323"/>
      <c r="AT175" s="323"/>
      <c r="AU175" s="323"/>
      <c r="AV175" s="323"/>
      <c r="AW175" s="323"/>
      <c r="AX175" s="323"/>
      <c r="AY175" s="323"/>
      <c r="AZ175" s="323"/>
      <c r="BA175" s="323"/>
      <c r="BB175" s="323"/>
      <c r="BC175" s="323"/>
      <c r="BD175" s="323"/>
      <c r="BE175" s="323"/>
      <c r="BF175" s="323"/>
      <c r="BG175" s="323"/>
      <c r="BH175" s="323"/>
      <c r="BI175" s="323"/>
      <c r="BJ175" s="323"/>
      <c r="BK175" s="323"/>
      <c r="BL175" s="323"/>
      <c r="BM175" s="323"/>
      <c r="BN175" s="323"/>
      <c r="BO175" s="323"/>
      <c r="BP175" s="323"/>
      <c r="BQ175" s="323"/>
      <c r="BR175" s="323"/>
      <c r="BS175" s="323"/>
      <c r="BT175" s="323"/>
      <c r="BU175" s="323"/>
      <c r="BV175" s="323"/>
      <c r="BW175" s="323"/>
      <c r="BX175" s="323"/>
      <c r="BY175" s="323"/>
    </row>
    <row r="176" spans="1:77" s="113" customFormat="1" ht="85.5" x14ac:dyDescent="0.2">
      <c r="A176" s="437"/>
      <c r="B176" s="438"/>
      <c r="C176" s="434"/>
      <c r="D176" s="434"/>
      <c r="E176" s="434"/>
      <c r="F176" s="435"/>
      <c r="G176" s="436"/>
      <c r="H176" s="435"/>
      <c r="I176" s="435"/>
      <c r="J176" s="439"/>
      <c r="K176" s="430"/>
      <c r="L176" s="431"/>
      <c r="M176" s="432"/>
      <c r="N176" s="310">
        <f ca="1">IF(NOT(ISERROR(MATCH(M176,_xlfn.ANCHORARRAY(G37),0))),L39&amp;"Por favor no seleccionar los criterios de impacto",M176)</f>
        <v>0</v>
      </c>
      <c r="O176" s="430"/>
      <c r="P176" s="431"/>
      <c r="Q176" s="433"/>
      <c r="R176" s="316">
        <v>2</v>
      </c>
      <c r="S176" s="330" t="s">
        <v>905</v>
      </c>
      <c r="T176" s="312" t="s">
        <v>293</v>
      </c>
      <c r="U176" s="302" t="str">
        <f>IF(OR(V176="Preventivo",V176="Detectivo"),"Probabilidad",IF(V176="Correctivo","Impacto",""))</f>
        <v>Probabilidad</v>
      </c>
      <c r="V176" s="237" t="s">
        <v>13</v>
      </c>
      <c r="W176" s="237" t="s">
        <v>8</v>
      </c>
      <c r="X176" s="209" t="str">
        <f>IF(AND(V176="Preventivo",W176="Automático"),"50%",IF(AND(V176="Preventivo",W176="Manual"),"40%",IF(AND(V176="Detectivo",W176="Automático"),"40%",IF(AND(V176="Detectivo",W176="Manual"),"30%",IF(AND(V176="Correctivo",W176="Automático"),"35%",IF(AND(V176="Correctivo",W176="Manual"),"25%",""))))))</f>
        <v>40%</v>
      </c>
      <c r="Y176" s="237" t="s">
        <v>18</v>
      </c>
      <c r="Z176" s="237" t="s">
        <v>21</v>
      </c>
      <c r="AA176" s="237" t="s">
        <v>103</v>
      </c>
      <c r="AB176" s="210">
        <f t="shared" ref="AB176" si="333">IFERROR(IF(AND(U175="Probabilidad",U176="Probabilidad"),(AD175-(+AD175*X176)),IF(U176="Probabilidad",(L175-(+L175*X176)),IF(U176="Impacto",AD175,""))),"")</f>
        <v>0.12</v>
      </c>
      <c r="AC176" s="211" t="str">
        <f t="shared" ref="AC176:AC180" si="334">IFERROR(IF(AB176="","",IF(AB176&lt;=0.2,"Muy Baja",IF(AB176&lt;=0.4,"Baja",IF(AB176&lt;=0.6,"Media",IF(AB176&lt;=0.8,"Alta","Muy Alta"))))),"")</f>
        <v>Muy Baja</v>
      </c>
      <c r="AD176" s="209">
        <f>+AB176</f>
        <v>0.12</v>
      </c>
      <c r="AE176" s="211" t="str">
        <f t="shared" ref="AE176:AE180" ca="1" si="335">IFERROR(IF(AF176="","",IF(AF176&lt;=0.2,"Leve",IF(AF176&lt;=0.4,"Menor",IF(AF176&lt;=0.6,"Moderado",IF(AF176&lt;=0.8,"Mayor","Catastrófico"))))),"")</f>
        <v>Mayor</v>
      </c>
      <c r="AF176" s="209">
        <f ca="1">IFERROR(IF(AND(U175="Impacto",U176="Impacto"),(AF175-(+AF175*X176)),IF(U176="Impacto",($P$37-(+$P$37*X176)),IF(U176="Probabilidad",AF175,""))),"")</f>
        <v>0.8</v>
      </c>
      <c r="AG176" s="212" t="str">
        <f t="shared" ref="AG176:AG177" ca="1" si="336">IFERROR(IF(OR(AND(AC176="Muy Baja",AE176="Leve"),AND(AC176="Muy Baja",AE176="Menor"),AND(AC176="Baja",AE176="Leve")),"Bajo",IF(OR(AND(AC176="Muy baja",AE176="Moderado"),AND(AC176="Baja",AE176="Menor"),AND(AC176="Baja",AE176="Moderado"),AND(AC176="Media",AE176="Leve"),AND(AC176="Media",AE176="Menor"),AND(AC176="Media",AE176="Moderado"),AND(AC176="Alta",AE176="Leve"),AND(AC176="Alta",AE176="Menor")),"Moderado",IF(OR(AND(AC176="Muy Baja",AE176="Mayor"),AND(AC176="Baja",AE176="Mayor"),AND(AC176="Media",AE176="Mayor"),AND(AC176="Alta",AE176="Moderado"),AND(AC176="Alta",AE176="Mayor"),AND(AC176="Muy Alta",AE176="Leve"),AND(AC176="Muy Alta",AE176="Menor"),AND(AC176="Muy Alta",AE176="Moderado"),AND(AC176="Muy Alta",AE176="Mayor")),"Alto",IF(OR(AND(AC176="Muy Baja",AE176="Catastrófico"),AND(AC176="Baja",AE176="Catastrófico"),AND(AC176="Media",AE176="Catastrófico"),AND(AC176="Alta",AE176="Catastrófico"),AND(AC176="Muy Alta",AE176="Catastrófico")),"Extremo","")))),"")</f>
        <v>Alto</v>
      </c>
      <c r="AH176" s="237" t="s">
        <v>26</v>
      </c>
      <c r="AI176" s="318">
        <v>12</v>
      </c>
      <c r="AJ176" s="318">
        <v>3</v>
      </c>
      <c r="AK176" s="318">
        <v>3</v>
      </c>
      <c r="AL176" s="318">
        <v>3</v>
      </c>
      <c r="AM176" s="318">
        <v>3</v>
      </c>
      <c r="AN176" s="307"/>
      <c r="AO176" s="307"/>
      <c r="AP176" s="259"/>
      <c r="AQ176" s="220"/>
      <c r="AR176" s="307"/>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c r="BW176" s="323"/>
      <c r="BX176" s="323"/>
      <c r="BY176" s="323"/>
    </row>
    <row r="177" spans="1:77" s="113" customFormat="1" ht="85.5" x14ac:dyDescent="0.2">
      <c r="A177" s="437"/>
      <c r="B177" s="438"/>
      <c r="C177" s="434"/>
      <c r="D177" s="434"/>
      <c r="E177" s="434"/>
      <c r="F177" s="435"/>
      <c r="G177" s="436"/>
      <c r="H177" s="435"/>
      <c r="I177" s="435"/>
      <c r="J177" s="439"/>
      <c r="K177" s="430"/>
      <c r="L177" s="431"/>
      <c r="M177" s="432"/>
      <c r="N177" s="310">
        <f ca="1">IF(NOT(ISERROR(MATCH(M177,_xlfn.ANCHORARRAY(G38),0))),L40&amp;"Por favor no seleccionar los criterios de impacto",M177)</f>
        <v>0</v>
      </c>
      <c r="O177" s="430"/>
      <c r="P177" s="431"/>
      <c r="Q177" s="433"/>
      <c r="R177" s="316">
        <v>3</v>
      </c>
      <c r="S177" s="330" t="s">
        <v>906</v>
      </c>
      <c r="T177" s="312" t="s">
        <v>293</v>
      </c>
      <c r="U177" s="302" t="str">
        <f>IF(OR(V177="Preventivo",V177="Detectivo"),"Probabilidad",IF(V177="Correctivo","Impacto",""))</f>
        <v>Probabilidad</v>
      </c>
      <c r="V177" s="237" t="s">
        <v>13</v>
      </c>
      <c r="W177" s="237" t="s">
        <v>8</v>
      </c>
      <c r="X177" s="209" t="str">
        <f>IF(AND(V177="Preventivo",W177="Automático"),"50%",IF(AND(V177="Preventivo",W177="Manual"),"40%",IF(AND(V177="Detectivo",W177="Automático"),"40%",IF(AND(V177="Detectivo",W177="Manual"),"30%",IF(AND(V177="Correctivo",W177="Automático"),"35%",IF(AND(V177="Correctivo",W177="Manual"),"25%",""))))))</f>
        <v>40%</v>
      </c>
      <c r="Y177" s="237" t="s">
        <v>18</v>
      </c>
      <c r="Z177" s="237" t="s">
        <v>21</v>
      </c>
      <c r="AA177" s="237" t="s">
        <v>103</v>
      </c>
      <c r="AB177" s="210">
        <f t="shared" ref="AB177:AB180" si="337">IFERROR(IF(AND(U176="Probabilidad",U177="Probabilidad"),(AD176-(+AD176*X177)),IF(AND(U176="Impacto",U177="Probabilidad"),(AD175-(+AD175*X177)),IF(U177="Impacto",AD176,""))),"")</f>
        <v>7.1999999999999995E-2</v>
      </c>
      <c r="AC177" s="211" t="str">
        <f t="shared" si="334"/>
        <v>Muy Baja</v>
      </c>
      <c r="AD177" s="209">
        <f t="shared" ref="AD177:AD180" si="338">+AB177</f>
        <v>7.1999999999999995E-2</v>
      </c>
      <c r="AE177" s="211" t="str">
        <f t="shared" ca="1" si="335"/>
        <v>Mayor</v>
      </c>
      <c r="AF177" s="209">
        <f ca="1">IFERROR(IF(AND(U176="Impacto",U177="Impacto"),(AF176-(+AF176*X177)),IF(U177="Impacto",($P$31-(+$P$31*X177)),IF(U177="Probabilidad",AF176,""))),"")</f>
        <v>0.8</v>
      </c>
      <c r="AG177" s="212" t="str">
        <f t="shared" ca="1" si="336"/>
        <v>Alto</v>
      </c>
      <c r="AH177" s="237" t="s">
        <v>26</v>
      </c>
      <c r="AI177" s="318">
        <v>0</v>
      </c>
      <c r="AJ177" s="318">
        <v>0</v>
      </c>
      <c r="AK177" s="318">
        <v>0</v>
      </c>
      <c r="AL177" s="318">
        <v>0</v>
      </c>
      <c r="AM177" s="318">
        <v>0</v>
      </c>
      <c r="AN177" s="307"/>
      <c r="AO177" s="307"/>
      <c r="AP177" s="259"/>
      <c r="AQ177" s="220"/>
      <c r="AR177" s="307"/>
      <c r="AS177" s="323"/>
      <c r="AT177" s="323"/>
      <c r="AU177" s="323"/>
      <c r="AV177" s="323"/>
      <c r="AW177" s="323"/>
      <c r="AX177" s="323"/>
      <c r="AY177" s="323"/>
      <c r="AZ177" s="323"/>
      <c r="BA177" s="323"/>
      <c r="BB177" s="323"/>
      <c r="BC177" s="323"/>
      <c r="BD177" s="323"/>
      <c r="BE177" s="323"/>
      <c r="BF177" s="323"/>
      <c r="BG177" s="323"/>
      <c r="BH177" s="323"/>
      <c r="BI177" s="323"/>
      <c r="BJ177" s="323"/>
      <c r="BK177" s="323"/>
      <c r="BL177" s="323"/>
      <c r="BM177" s="323"/>
      <c r="BN177" s="323"/>
      <c r="BO177" s="323"/>
      <c r="BP177" s="323"/>
      <c r="BQ177" s="323"/>
      <c r="BR177" s="323"/>
      <c r="BS177" s="323"/>
      <c r="BT177" s="323"/>
      <c r="BU177" s="323"/>
      <c r="BV177" s="323"/>
      <c r="BW177" s="323"/>
      <c r="BX177" s="323"/>
      <c r="BY177" s="323"/>
    </row>
    <row r="178" spans="1:77" s="113" customFormat="1" ht="85.5" x14ac:dyDescent="0.2">
      <c r="A178" s="437"/>
      <c r="B178" s="438"/>
      <c r="C178" s="434"/>
      <c r="D178" s="434"/>
      <c r="E178" s="434"/>
      <c r="F178" s="435"/>
      <c r="G178" s="436"/>
      <c r="H178" s="435"/>
      <c r="I178" s="435"/>
      <c r="J178" s="439"/>
      <c r="K178" s="430"/>
      <c r="L178" s="431"/>
      <c r="M178" s="432"/>
      <c r="N178" s="310">
        <f ca="1">IF(NOT(ISERROR(MATCH(M178,_xlfn.ANCHORARRAY(G39),0))),L41&amp;"Por favor no seleccionar los criterios de impacto",M178)</f>
        <v>0</v>
      </c>
      <c r="O178" s="430"/>
      <c r="P178" s="431"/>
      <c r="Q178" s="433"/>
      <c r="R178" s="316">
        <v>4</v>
      </c>
      <c r="S178" s="330" t="s">
        <v>907</v>
      </c>
      <c r="T178" s="312" t="s">
        <v>293</v>
      </c>
      <c r="U178" s="208" t="str">
        <f t="shared" ref="U178:U180" si="339">IF(OR(V178="Preventivo",V178="Detectivo"),"Probabilidad",IF(V178="Correctivo","Impacto",""))</f>
        <v>Probabilidad</v>
      </c>
      <c r="V178" s="237" t="s">
        <v>13</v>
      </c>
      <c r="W178" s="237" t="s">
        <v>8</v>
      </c>
      <c r="X178" s="209" t="str">
        <f t="shared" ref="X178:X180" si="340">IF(AND(V178="Preventivo",W178="Automático"),"50%",IF(AND(V178="Preventivo",W178="Manual"),"40%",IF(AND(V178="Detectivo",W178="Automático"),"40%",IF(AND(V178="Detectivo",W178="Manual"),"30%",IF(AND(V178="Correctivo",W178="Automático"),"35%",IF(AND(V178="Correctivo",W178="Manual"),"25%",""))))))</f>
        <v>40%</v>
      </c>
      <c r="Y178" s="237" t="s">
        <v>18</v>
      </c>
      <c r="Z178" s="237" t="s">
        <v>21</v>
      </c>
      <c r="AA178" s="237" t="s">
        <v>103</v>
      </c>
      <c r="AB178" s="210">
        <f t="shared" si="337"/>
        <v>4.3199999999999995E-2</v>
      </c>
      <c r="AC178" s="211" t="str">
        <f t="shared" si="334"/>
        <v>Muy Baja</v>
      </c>
      <c r="AD178" s="209">
        <f t="shared" si="338"/>
        <v>4.3199999999999995E-2</v>
      </c>
      <c r="AE178" s="211" t="str">
        <f t="shared" ca="1" si="335"/>
        <v>Mayor</v>
      </c>
      <c r="AF178" s="209">
        <f t="shared" ref="AF178:AF179" ca="1" si="341">IFERROR(IF(AND(U177="Impacto",U178="Impacto"),(AF177-(+AF177*X178)),IF(U178="Impacto",($P$31-(+$P$31*X178)),IF(U178="Probabilidad",AF177,""))),"")</f>
        <v>0.8</v>
      </c>
      <c r="AG178" s="212" t="str">
        <f ca="1">IFERROR(IF(OR(AND(AC178="Muy Baja",AE178="Leve"),AND(AC178="Muy Baja",AE178="Menor"),AND(AC178="Baja",AE178="Leve")),"Bajo",IF(OR(AND(AC178="Muy baja",AE178="Moderado"),AND(AC178="Baja",AE178="Menor"),AND(AC178="Baja",AE178="Moderado"),AND(AC178="Media",AE178="Leve"),AND(AC178="Media",AE178="Menor"),AND(AC178="Media",AE178="Moderado"),AND(AC178="Alta",AE178="Leve"),AND(AC178="Alta",AE178="Menor")),"Moderado",IF(OR(AND(AC178="Muy Baja",AE178="Mayor"),AND(AC178="Baja",AE178="Mayor"),AND(AC178="Media",AE178="Mayor"),AND(AC178="Alta",AE178="Moderado"),AND(AC178="Alta",AE178="Mayor"),AND(AC178="Muy Alta",AE178="Leve"),AND(AC178="Muy Alta",AE178="Menor"),AND(AC178="Muy Alta",AE178="Moderado"),AND(AC178="Muy Alta",AE178="Mayor")),"Alto",IF(OR(AND(AC178="Muy Baja",AE178="Catastrófico"),AND(AC178="Baja",AE178="Catastrófico"),AND(AC178="Media",AE178="Catastrófico"),AND(AC178="Alta",AE178="Catastrófico"),AND(AC178="Muy Alta",AE178="Catastrófico")),"Extremo","")))),"")</f>
        <v>Alto</v>
      </c>
      <c r="AH178" s="237" t="s">
        <v>26</v>
      </c>
      <c r="AI178" s="318">
        <v>0</v>
      </c>
      <c r="AJ178" s="318">
        <v>0</v>
      </c>
      <c r="AK178" s="318">
        <v>0</v>
      </c>
      <c r="AL178" s="318">
        <v>0</v>
      </c>
      <c r="AM178" s="318">
        <v>0</v>
      </c>
      <c r="AN178" s="213"/>
      <c r="AO178" s="213"/>
      <c r="AP178" s="308"/>
      <c r="AQ178" s="220"/>
      <c r="AR178" s="213"/>
      <c r="AS178" s="323"/>
      <c r="AT178" s="323"/>
      <c r="AU178" s="323"/>
      <c r="AV178" s="323"/>
      <c r="AW178" s="323"/>
      <c r="AX178" s="323"/>
      <c r="AY178" s="323"/>
      <c r="AZ178" s="323"/>
      <c r="BA178" s="323"/>
      <c r="BB178" s="323"/>
      <c r="BC178" s="323"/>
      <c r="BD178" s="323"/>
      <c r="BE178" s="323"/>
      <c r="BF178" s="323"/>
      <c r="BG178" s="323"/>
      <c r="BH178" s="323"/>
      <c r="BI178" s="323"/>
      <c r="BJ178" s="323"/>
      <c r="BK178" s="323"/>
      <c r="BL178" s="323"/>
      <c r="BM178" s="323"/>
      <c r="BN178" s="323"/>
      <c r="BO178" s="323"/>
      <c r="BP178" s="323"/>
      <c r="BQ178" s="323"/>
      <c r="BR178" s="323"/>
      <c r="BS178" s="323"/>
      <c r="BT178" s="323"/>
      <c r="BU178" s="323"/>
      <c r="BV178" s="323"/>
      <c r="BW178" s="323"/>
      <c r="BX178" s="323"/>
      <c r="BY178" s="323"/>
    </row>
    <row r="179" spans="1:77" s="113" customFormat="1" ht="25.5" hidden="1" customHeight="1" x14ac:dyDescent="0.2">
      <c r="A179" s="437"/>
      <c r="B179" s="438"/>
      <c r="C179" s="434"/>
      <c r="D179" s="434"/>
      <c r="E179" s="434"/>
      <c r="F179" s="435"/>
      <c r="G179" s="436"/>
      <c r="H179" s="435"/>
      <c r="I179" s="435"/>
      <c r="J179" s="439"/>
      <c r="K179" s="430"/>
      <c r="L179" s="431"/>
      <c r="M179" s="432"/>
      <c r="N179" s="310">
        <f ca="1">IF(NOT(ISERROR(MATCH(M179,_xlfn.ANCHORARRAY(G40),0))),L42&amp;"Por favor no seleccionar los criterios de impacto",M179)</f>
        <v>0</v>
      </c>
      <c r="O179" s="430"/>
      <c r="P179" s="431"/>
      <c r="Q179" s="433"/>
      <c r="R179" s="316">
        <v>5</v>
      </c>
      <c r="S179" s="330"/>
      <c r="T179" s="312"/>
      <c r="U179" s="208" t="str">
        <f t="shared" si="339"/>
        <v/>
      </c>
      <c r="V179" s="237"/>
      <c r="W179" s="237"/>
      <c r="X179" s="209" t="str">
        <f t="shared" si="340"/>
        <v/>
      </c>
      <c r="Y179" s="237"/>
      <c r="Z179" s="237"/>
      <c r="AA179" s="237"/>
      <c r="AB179" s="210" t="str">
        <f t="shared" si="337"/>
        <v/>
      </c>
      <c r="AC179" s="211" t="str">
        <f t="shared" si="334"/>
        <v/>
      </c>
      <c r="AD179" s="209" t="str">
        <f t="shared" si="338"/>
        <v/>
      </c>
      <c r="AE179" s="211" t="str">
        <f t="shared" si="335"/>
        <v/>
      </c>
      <c r="AF179" s="209" t="str">
        <f t="shared" si="341"/>
        <v/>
      </c>
      <c r="AG179" s="212" t="str">
        <f t="shared" ref="AG179:AG180" si="342">IFERROR(IF(OR(AND(AC179="Muy Baja",AE179="Leve"),AND(AC179="Muy Baja",AE179="Menor"),AND(AC179="Baja",AE179="Leve")),"Bajo",IF(OR(AND(AC179="Muy baja",AE179="Moderado"),AND(AC179="Baja",AE179="Menor"),AND(AC179="Baja",AE179="Moderado"),AND(AC179="Media",AE179="Leve"),AND(AC179="Media",AE179="Menor"),AND(AC179="Media",AE179="Moderado"),AND(AC179="Alta",AE179="Leve"),AND(AC179="Alta",AE179="Menor")),"Moderado",IF(OR(AND(AC179="Muy Baja",AE179="Mayor"),AND(AC179="Baja",AE179="Mayor"),AND(AC179="Media",AE179="Mayor"),AND(AC179="Alta",AE179="Moderado"),AND(AC179="Alta",AE179="Mayor"),AND(AC179="Muy Alta",AE179="Leve"),AND(AC179="Muy Alta",AE179="Menor"),AND(AC179="Muy Alta",AE179="Moderado"),AND(AC179="Muy Alta",AE179="Mayor")),"Alto",IF(OR(AND(AC179="Muy Baja",AE179="Catastrófico"),AND(AC179="Baja",AE179="Catastrófico"),AND(AC179="Media",AE179="Catastrófico"),AND(AC179="Alta",AE179="Catastrófico"),AND(AC179="Muy Alta",AE179="Catastrófico")),"Extremo","")))),"")</f>
        <v/>
      </c>
      <c r="AH179" s="237"/>
      <c r="AI179" s="318"/>
      <c r="AJ179" s="318"/>
      <c r="AK179" s="318"/>
      <c r="AL179" s="318"/>
      <c r="AM179" s="318"/>
      <c r="AN179" s="305"/>
      <c r="AO179" s="305"/>
      <c r="AP179" s="306"/>
      <c r="AQ179" s="216"/>
      <c r="AR179" s="216"/>
      <c r="AS179" s="323"/>
      <c r="AT179" s="323"/>
      <c r="AU179" s="323"/>
      <c r="AV179" s="323"/>
      <c r="AW179" s="323"/>
      <c r="AX179" s="323"/>
      <c r="AY179" s="323"/>
      <c r="AZ179" s="323"/>
      <c r="BA179" s="323"/>
      <c r="BB179" s="323"/>
      <c r="BC179" s="323"/>
      <c r="BD179" s="323"/>
      <c r="BE179" s="323"/>
      <c r="BF179" s="323"/>
      <c r="BG179" s="323"/>
      <c r="BH179" s="323"/>
      <c r="BI179" s="323"/>
      <c r="BJ179" s="323"/>
      <c r="BK179" s="323"/>
      <c r="BL179" s="323"/>
      <c r="BM179" s="323"/>
      <c r="BN179" s="323"/>
      <c r="BO179" s="323"/>
      <c r="BP179" s="323"/>
      <c r="BQ179" s="323"/>
      <c r="BR179" s="323"/>
      <c r="BS179" s="323"/>
      <c r="BT179" s="323"/>
      <c r="BU179" s="323"/>
      <c r="BV179" s="323"/>
      <c r="BW179" s="323"/>
      <c r="BX179" s="323"/>
      <c r="BY179" s="323"/>
    </row>
    <row r="180" spans="1:77" s="113" customFormat="1" ht="25.5" hidden="1" customHeight="1" x14ac:dyDescent="0.2">
      <c r="A180" s="437"/>
      <c r="B180" s="438"/>
      <c r="C180" s="434"/>
      <c r="D180" s="434"/>
      <c r="E180" s="434"/>
      <c r="F180" s="435"/>
      <c r="G180" s="436"/>
      <c r="H180" s="435"/>
      <c r="I180" s="435"/>
      <c r="J180" s="439"/>
      <c r="K180" s="430"/>
      <c r="L180" s="431"/>
      <c r="M180" s="432"/>
      <c r="N180" s="310">
        <f ca="1">IF(NOT(ISERROR(MATCH(M180,_xlfn.ANCHORARRAY(G41),0))),L43&amp;"Por favor no seleccionar los criterios de impacto",M180)</f>
        <v>0</v>
      </c>
      <c r="O180" s="430"/>
      <c r="P180" s="431"/>
      <c r="Q180" s="433"/>
      <c r="R180" s="316">
        <v>6</v>
      </c>
      <c r="S180" s="330"/>
      <c r="T180" s="312"/>
      <c r="U180" s="208" t="str">
        <f t="shared" si="339"/>
        <v/>
      </c>
      <c r="V180" s="237"/>
      <c r="W180" s="237"/>
      <c r="X180" s="209" t="str">
        <f t="shared" si="340"/>
        <v/>
      </c>
      <c r="Y180" s="237"/>
      <c r="Z180" s="237"/>
      <c r="AA180" s="237"/>
      <c r="AB180" s="210" t="str">
        <f t="shared" si="337"/>
        <v/>
      </c>
      <c r="AC180" s="211" t="str">
        <f t="shared" si="334"/>
        <v/>
      </c>
      <c r="AD180" s="209" t="str">
        <f t="shared" si="338"/>
        <v/>
      </c>
      <c r="AE180" s="211" t="str">
        <f t="shared" si="335"/>
        <v/>
      </c>
      <c r="AF180" s="209" t="str">
        <f>IFERROR(IF(AND(U179="Impacto",U180="Impacto"),(AF179-(+AF179*X180)),IF(U180="Impacto",($P$31-(+$P$31*X180)),IF(U180="Probabilidad",AF179,""))),"")</f>
        <v/>
      </c>
      <c r="AG180" s="212" t="str">
        <f t="shared" si="342"/>
        <v/>
      </c>
      <c r="AH180" s="237"/>
      <c r="AI180" s="318"/>
      <c r="AJ180" s="318"/>
      <c r="AK180" s="318"/>
      <c r="AL180" s="318"/>
      <c r="AM180" s="318"/>
      <c r="AN180" s="305"/>
      <c r="AO180" s="305"/>
      <c r="AP180" s="306"/>
      <c r="AQ180" s="216"/>
      <c r="AR180" s="216"/>
      <c r="AS180" s="323"/>
      <c r="AT180" s="323"/>
      <c r="AU180" s="323"/>
      <c r="AV180" s="323"/>
      <c r="AW180" s="323"/>
      <c r="AX180" s="323"/>
      <c r="AY180" s="323"/>
      <c r="AZ180" s="323"/>
      <c r="BA180" s="323"/>
      <c r="BB180" s="323"/>
      <c r="BC180" s="323"/>
      <c r="BD180" s="323"/>
      <c r="BE180" s="323"/>
      <c r="BF180" s="323"/>
      <c r="BG180" s="323"/>
      <c r="BH180" s="323"/>
      <c r="BI180" s="323"/>
      <c r="BJ180" s="323"/>
      <c r="BK180" s="323"/>
      <c r="BL180" s="323"/>
      <c r="BM180" s="323"/>
      <c r="BN180" s="323"/>
      <c r="BO180" s="323"/>
      <c r="BP180" s="323"/>
      <c r="BQ180" s="323"/>
      <c r="BR180" s="323"/>
      <c r="BS180" s="323"/>
      <c r="BT180" s="323"/>
      <c r="BU180" s="323"/>
      <c r="BV180" s="323"/>
      <c r="BW180" s="323"/>
      <c r="BX180" s="323"/>
      <c r="BY180" s="323"/>
    </row>
    <row r="181" spans="1:77" s="271" customFormat="1" ht="85.5" x14ac:dyDescent="0.2">
      <c r="A181" s="437" t="s">
        <v>908</v>
      </c>
      <c r="B181" s="438" t="s">
        <v>608</v>
      </c>
      <c r="C181" s="434" t="s">
        <v>621</v>
      </c>
      <c r="D181" s="434" t="s">
        <v>107</v>
      </c>
      <c r="E181" s="434" t="s">
        <v>685</v>
      </c>
      <c r="F181" s="435" t="s">
        <v>911</v>
      </c>
      <c r="G181" s="436" t="s">
        <v>909</v>
      </c>
      <c r="H181" s="435" t="s">
        <v>660</v>
      </c>
      <c r="I181" s="435" t="s">
        <v>753</v>
      </c>
      <c r="J181" s="439">
        <v>2</v>
      </c>
      <c r="K181" s="430" t="str">
        <f t="shared" ref="K181" si="343">IF(J181&lt;=0,"",IF(J181&lt;=2,"Muy Baja",IF(J181&lt;=24,"Baja",IF(J181&lt;=500,"Media",IF(J181&lt;=5000,"Alta","Muy Alta")))))</f>
        <v>Muy Baja</v>
      </c>
      <c r="L181" s="431">
        <f>IF(K181="","",IF(K181="Muy Baja",0.2,IF(K181="Baja",0.4,IF(K181="Media",0.6,IF(K181="Alta",0.8,IF(K181="Muy Alta",1,))))))</f>
        <v>0.2</v>
      </c>
      <c r="M181" s="432" t="s">
        <v>123</v>
      </c>
      <c r="N181" s="310" t="str">
        <f ca="1">IF(NOT(ISERROR(MATCH(M181,'Tabla Impacto'!$B$221:$B$223,0))),'Tabla Impacto'!$F$223&amp;"Por favor no seleccionar los criterios de impacto(Afectación Económica o presupuestal y Pérdida Reputacional)",M181)</f>
        <v xml:space="preserve">     El riesgo afecta la imagen de la entidad a nivel nacional, con efecto publicitarios sostenible a nivel país</v>
      </c>
      <c r="O181" s="430" t="str">
        <f ca="1">IF(OR(N181='Tabla Impacto'!$C$11,N181='Tabla Impacto'!$D$11),"Leve",IF(OR(N181='Tabla Impacto'!$C$12,N181='Tabla Impacto'!$D$12),"Menor",IF(OR(N181='Tabla Impacto'!$C$13,N181='Tabla Impacto'!$D$13),"Moderado",IF(OR(N181='Tabla Impacto'!$C$14,N181='Tabla Impacto'!$D$14),"Mayor",IF(OR(N181='Tabla Impacto'!$C$15,N181='Tabla Impacto'!$D$15),"Catastrófico","")))))</f>
        <v>Catastrófico</v>
      </c>
      <c r="P181" s="431">
        <f ca="1">IF(O181="","",IF(O181="Leve",0.2,IF(O181="Menor",0.4,IF(O181="Moderado",0.6,IF(O181="Mayor",0.8,IF(O181="Catastrófico",1,))))))</f>
        <v>1</v>
      </c>
      <c r="Q181" s="433" t="str">
        <f ca="1">IF(OR(AND(K181="Muy Baja",O181="Leve"),AND(K181="Muy Baja",O181="Menor"),AND(K181="Baja",O181="Leve")),"Bajo",IF(OR(AND(K181="Muy baja",O181="Moderado"),AND(K181="Baja",O181="Menor"),AND(K181="Baja",O181="Moderado"),AND(K181="Media",O181="Leve"),AND(K181="Media",O181="Menor"),AND(K181="Media",O181="Moderado"),AND(K181="Alta",O181="Leve"),AND(K181="Alta",O181="Menor")),"Moderado",IF(OR(AND(K181="Muy Baja",O181="Mayor"),AND(K181="Baja",O181="Mayor"),AND(K181="Media",O181="Mayor"),AND(K181="Alta",O181="Moderado"),AND(K181="Alta",O181="Mayor"),AND(K181="Muy Alta",O181="Leve"),AND(K181="Muy Alta",O181="Menor"),AND(K181="Muy Alta",O181="Moderado"),AND(K181="Muy Alta",O181="Mayor")),"Alto",IF(OR(AND(K181="Muy Baja",O181="Catastrófico"),AND(K181="Baja",O181="Catastrófico"),AND(K181="Media",O181="Catastrófico"),AND(K181="Alta",O181="Catastrófico"),AND(K181="Muy Alta",O181="Catastrófico")),"Extremo",""))))</f>
        <v>Extremo</v>
      </c>
      <c r="R181" s="261">
        <v>1</v>
      </c>
      <c r="S181" s="334" t="s">
        <v>910</v>
      </c>
      <c r="T181" s="272" t="s">
        <v>293</v>
      </c>
      <c r="U181" s="262" t="str">
        <f>IF(OR(V181="Preventivo",V181="Detectivo"),"Probabilidad",IF(V181="Correctivo","Impacto",""))</f>
        <v>Probabilidad</v>
      </c>
      <c r="V181" s="263" t="s">
        <v>13</v>
      </c>
      <c r="W181" s="263" t="s">
        <v>8</v>
      </c>
      <c r="X181" s="264" t="str">
        <f>IF(AND(V181="Preventivo",W181="Automático"),"50%",IF(AND(V181="Preventivo",W181="Manual"),"40%",IF(AND(V181="Detectivo",W181="Automático"),"40%",IF(AND(V181="Detectivo",W181="Manual"),"30%",IF(AND(V181="Correctivo",W181="Automático"),"35%",IF(AND(V181="Correctivo",W181="Manual"),"25%",""))))))</f>
        <v>40%</v>
      </c>
      <c r="Y181" s="263" t="s">
        <v>18</v>
      </c>
      <c r="Z181" s="263" t="s">
        <v>21</v>
      </c>
      <c r="AA181" s="263" t="s">
        <v>103</v>
      </c>
      <c r="AB181" s="265">
        <f t="shared" ref="AB181" si="344">IFERROR(IF(U181="Probabilidad",(L181-(+L181*X181)),IF(U181="Impacto",L181,"")),"")</f>
        <v>0.12</v>
      </c>
      <c r="AC181" s="266" t="str">
        <f>IFERROR(IF(AB181="","",IF(AB181&lt;=0.2,"Muy Baja",IF(AB181&lt;=0.4,"Baja",IF(AB181&lt;=0.6,"Media",IF(AB181&lt;=0.8,"Alta","Muy Alta"))))),"")</f>
        <v>Muy Baja</v>
      </c>
      <c r="AD181" s="264">
        <f>+AB181</f>
        <v>0.12</v>
      </c>
      <c r="AE181" s="266" t="str">
        <f ca="1">IFERROR(IF(AF181="","",IF(AF181&lt;=0.2,"Leve",IF(AF181&lt;=0.4,"Menor",IF(AF181&lt;=0.6,"Moderado",IF(AF181&lt;=0.8,"Mayor","Catastrófico"))))),"")</f>
        <v>Catastrófico</v>
      </c>
      <c r="AF181" s="264">
        <f ca="1">IFERROR(IF(U181="Impacto",(P181-(+P181*X181)),IF(U181="Probabilidad",P181,"")),"")</f>
        <v>1</v>
      </c>
      <c r="AG181" s="267" t="str">
        <f ca="1">IFERROR(IF(OR(AND(AC181="Muy Baja",AE181="Leve"),AND(AC181="Muy Baja",AE181="Menor"),AND(AC181="Baja",AE181="Leve")),"Bajo",IF(OR(AND(AC181="Muy baja",AE181="Moderado"),AND(AC181="Baja",AE181="Menor"),AND(AC181="Baja",AE181="Moderado"),AND(AC181="Media",AE181="Leve"),AND(AC181="Media",AE181="Menor"),AND(AC181="Media",AE181="Moderado"),AND(AC181="Alta",AE181="Leve"),AND(AC181="Alta",AE181="Menor")),"Moderado",IF(OR(AND(AC181="Muy Baja",AE181="Mayor"),AND(AC181="Baja",AE181="Mayor"),AND(AC181="Media",AE181="Mayor"),AND(AC181="Alta",AE181="Moderado"),AND(AC181="Alta",AE181="Mayor"),AND(AC181="Muy Alta",AE181="Leve"),AND(AC181="Muy Alta",AE181="Menor"),AND(AC181="Muy Alta",AE181="Moderado"),AND(AC181="Muy Alta",AE181="Mayor")),"Alto",IF(OR(AND(AC181="Muy Baja",AE181="Catastrófico"),AND(AC181="Baja",AE181="Catastrófico"),AND(AC181="Media",AE181="Catastrófico"),AND(AC181="Alta",AE181="Catastrófico"),AND(AC181="Muy Alta",AE181="Catastrófico")),"Extremo","")))),"")</f>
        <v>Extremo</v>
      </c>
      <c r="AH181" s="263" t="s">
        <v>26</v>
      </c>
      <c r="AI181" s="273">
        <v>0</v>
      </c>
      <c r="AJ181" s="273">
        <v>0</v>
      </c>
      <c r="AK181" s="273">
        <v>0</v>
      </c>
      <c r="AL181" s="273">
        <v>0</v>
      </c>
      <c r="AM181" s="273">
        <v>0</v>
      </c>
      <c r="AN181" s="268"/>
      <c r="AO181" s="268"/>
      <c r="AP181" s="258"/>
      <c r="AQ181" s="269"/>
      <c r="AR181" s="270"/>
      <c r="AS181" s="323"/>
      <c r="AT181" s="323"/>
      <c r="AU181" s="323"/>
      <c r="AV181" s="323"/>
      <c r="AW181" s="323"/>
      <c r="AX181" s="323"/>
      <c r="AY181" s="323"/>
      <c r="AZ181" s="323"/>
      <c r="BA181" s="323"/>
      <c r="BB181" s="323"/>
      <c r="BC181" s="323"/>
      <c r="BD181" s="323"/>
      <c r="BE181" s="323"/>
      <c r="BF181" s="323"/>
      <c r="BG181" s="323"/>
      <c r="BH181" s="323"/>
      <c r="BI181" s="323"/>
      <c r="BJ181" s="323"/>
      <c r="BK181" s="323"/>
      <c r="BL181" s="323"/>
      <c r="BM181" s="323"/>
      <c r="BN181" s="323"/>
      <c r="BO181" s="323"/>
      <c r="BP181" s="323"/>
      <c r="BQ181" s="323"/>
      <c r="BR181" s="323"/>
      <c r="BS181" s="323"/>
      <c r="BT181" s="323"/>
      <c r="BU181" s="323"/>
      <c r="BV181" s="323"/>
      <c r="BW181" s="323"/>
      <c r="BX181" s="323"/>
      <c r="BY181" s="323"/>
    </row>
    <row r="182" spans="1:77" s="113" customFormat="1" ht="12" hidden="1" customHeight="1" x14ac:dyDescent="0.2">
      <c r="A182" s="437"/>
      <c r="B182" s="438"/>
      <c r="C182" s="434"/>
      <c r="D182" s="434"/>
      <c r="E182" s="434"/>
      <c r="F182" s="435"/>
      <c r="G182" s="436"/>
      <c r="H182" s="435"/>
      <c r="I182" s="435"/>
      <c r="J182" s="439"/>
      <c r="K182" s="430"/>
      <c r="L182" s="431"/>
      <c r="M182" s="432"/>
      <c r="N182" s="310">
        <f ca="1">IF(NOT(ISERROR(MATCH(M182,_xlfn.ANCHORARRAY(G49),0))),L51&amp;"Por favor no seleccionar los criterios de impacto",M182)</f>
        <v>0</v>
      </c>
      <c r="O182" s="430"/>
      <c r="P182" s="431"/>
      <c r="Q182" s="433"/>
      <c r="R182" s="316">
        <v>2</v>
      </c>
      <c r="S182" s="330"/>
      <c r="T182" s="312"/>
      <c r="U182" s="302" t="str">
        <f>IF(OR(V182="Preventivo",V182="Detectivo"),"Probabilidad",IF(V182="Correctivo","Impacto",""))</f>
        <v/>
      </c>
      <c r="V182" s="237"/>
      <c r="W182" s="237"/>
      <c r="X182" s="209" t="str">
        <f>IF(AND(V182="Preventivo",W182="Automático"),"50%",IF(AND(V182="Preventivo",W182="Manual"),"40%",IF(AND(V182="Detectivo",W182="Automático"),"40%",IF(AND(V182="Detectivo",W182="Manual"),"30%",IF(AND(V182="Correctivo",W182="Automático"),"35%",IF(AND(V182="Correctivo",W182="Manual"),"25%",""))))))</f>
        <v/>
      </c>
      <c r="Y182" s="237"/>
      <c r="Z182" s="237"/>
      <c r="AA182" s="237"/>
      <c r="AB182" s="210" t="str">
        <f t="shared" ref="AB182" si="345">IFERROR(IF(AND(U181="Probabilidad",U182="Probabilidad"),(AD181-(+AD181*X182)),IF(U182="Probabilidad",(L181-(+L181*X182)),IF(U182="Impacto",AD181,""))),"")</f>
        <v/>
      </c>
      <c r="AC182" s="211" t="str">
        <f t="shared" ref="AC182:AC186" si="346">IFERROR(IF(AB182="","",IF(AB182&lt;=0.2,"Muy Baja",IF(AB182&lt;=0.4,"Baja",IF(AB182&lt;=0.6,"Media",IF(AB182&lt;=0.8,"Alta","Muy Alta"))))),"")</f>
        <v/>
      </c>
      <c r="AD182" s="209" t="str">
        <f>+AB182</f>
        <v/>
      </c>
      <c r="AE182" s="211" t="str">
        <f t="shared" ref="AE182:AE186" si="347">IFERROR(IF(AF182="","",IF(AF182&lt;=0.2,"Leve",IF(AF182&lt;=0.4,"Menor",IF(AF182&lt;=0.6,"Moderado",IF(AF182&lt;=0.8,"Mayor","Catastrófico"))))),"")</f>
        <v/>
      </c>
      <c r="AF182" s="209" t="str">
        <f>IFERROR(IF(AND(U181="Impacto",U182="Impacto"),(AF181-(+AF181*X182)),IF(U182="Impacto",($P$37-(+$P$37*X182)),IF(U182="Probabilidad",AF181,""))),"")</f>
        <v/>
      </c>
      <c r="AG182" s="212" t="str">
        <f t="shared" ref="AG182:AG183" si="348">IFERROR(IF(OR(AND(AC182="Muy Baja",AE182="Leve"),AND(AC182="Muy Baja",AE182="Menor"),AND(AC182="Baja",AE182="Leve")),"Bajo",IF(OR(AND(AC182="Muy baja",AE182="Moderado"),AND(AC182="Baja",AE182="Menor"),AND(AC182="Baja",AE182="Moderado"),AND(AC182="Media",AE182="Leve"),AND(AC182="Media",AE182="Menor"),AND(AC182="Media",AE182="Moderado"),AND(AC182="Alta",AE182="Leve"),AND(AC182="Alta",AE182="Menor")),"Moderado",IF(OR(AND(AC182="Muy Baja",AE182="Mayor"),AND(AC182="Baja",AE182="Mayor"),AND(AC182="Media",AE182="Mayor"),AND(AC182="Alta",AE182="Moderado"),AND(AC182="Alta",AE182="Mayor"),AND(AC182="Muy Alta",AE182="Leve"),AND(AC182="Muy Alta",AE182="Menor"),AND(AC182="Muy Alta",AE182="Moderado"),AND(AC182="Muy Alta",AE182="Mayor")),"Alto",IF(OR(AND(AC182="Muy Baja",AE182="Catastrófico"),AND(AC182="Baja",AE182="Catastrófico"),AND(AC182="Media",AE182="Catastrófico"),AND(AC182="Alta",AE182="Catastrófico"),AND(AC182="Muy Alta",AE182="Catastrófico")),"Extremo","")))),"")</f>
        <v/>
      </c>
      <c r="AH182" s="237"/>
      <c r="AI182" s="318"/>
      <c r="AJ182" s="318"/>
      <c r="AK182" s="318"/>
      <c r="AL182" s="318"/>
      <c r="AM182" s="318"/>
      <c r="AN182" s="307"/>
      <c r="AO182" s="307"/>
      <c r="AP182" s="259"/>
      <c r="AQ182" s="220"/>
      <c r="AR182" s="307"/>
      <c r="AS182" s="323"/>
      <c r="AT182" s="323"/>
      <c r="AU182" s="323"/>
      <c r="AV182" s="323"/>
      <c r="AW182" s="323"/>
      <c r="AX182" s="323"/>
      <c r="AY182" s="323"/>
      <c r="AZ182" s="323"/>
      <c r="BA182" s="323"/>
      <c r="BB182" s="323"/>
      <c r="BC182" s="323"/>
      <c r="BD182" s="323"/>
      <c r="BE182" s="323"/>
      <c r="BF182" s="323"/>
      <c r="BG182" s="323"/>
      <c r="BH182" s="323"/>
      <c r="BI182" s="323"/>
      <c r="BJ182" s="323"/>
      <c r="BK182" s="323"/>
      <c r="BL182" s="323"/>
      <c r="BM182" s="323"/>
      <c r="BN182" s="323"/>
      <c r="BO182" s="323"/>
      <c r="BP182" s="323"/>
      <c r="BQ182" s="323"/>
      <c r="BR182" s="323"/>
      <c r="BS182" s="323"/>
      <c r="BT182" s="323"/>
      <c r="BU182" s="323"/>
      <c r="BV182" s="323"/>
      <c r="BW182" s="323"/>
      <c r="BX182" s="323"/>
      <c r="BY182" s="323"/>
    </row>
    <row r="183" spans="1:77" s="113" customFormat="1" ht="12" hidden="1" customHeight="1" x14ac:dyDescent="0.2">
      <c r="A183" s="437"/>
      <c r="B183" s="438"/>
      <c r="C183" s="434"/>
      <c r="D183" s="434"/>
      <c r="E183" s="434"/>
      <c r="F183" s="435"/>
      <c r="G183" s="436"/>
      <c r="H183" s="435"/>
      <c r="I183" s="435"/>
      <c r="J183" s="439"/>
      <c r="K183" s="430"/>
      <c r="L183" s="431"/>
      <c r="M183" s="432"/>
      <c r="N183" s="310">
        <f ca="1">IF(NOT(ISERROR(MATCH(M183,_xlfn.ANCHORARRAY(G50),0))),L52&amp;"Por favor no seleccionar los criterios de impacto",M183)</f>
        <v>0</v>
      </c>
      <c r="O183" s="430"/>
      <c r="P183" s="431"/>
      <c r="Q183" s="433"/>
      <c r="R183" s="316">
        <v>3</v>
      </c>
      <c r="S183" s="330"/>
      <c r="T183" s="312"/>
      <c r="U183" s="302" t="str">
        <f>IF(OR(V183="Preventivo",V183="Detectivo"),"Probabilidad",IF(V183="Correctivo","Impacto",""))</f>
        <v/>
      </c>
      <c r="V183" s="237"/>
      <c r="W183" s="237"/>
      <c r="X183" s="209" t="str">
        <f>IF(AND(V183="Preventivo",W183="Automático"),"50%",IF(AND(V183="Preventivo",W183="Manual"),"40%",IF(AND(V183="Detectivo",W183="Automático"),"40%",IF(AND(V183="Detectivo",W183="Manual"),"30%",IF(AND(V183="Correctivo",W183="Automático"),"35%",IF(AND(V183="Correctivo",W183="Manual"),"25%",""))))))</f>
        <v/>
      </c>
      <c r="Y183" s="237"/>
      <c r="Z183" s="237"/>
      <c r="AA183" s="237"/>
      <c r="AB183" s="210" t="str">
        <f t="shared" ref="AB183:AB186" si="349">IFERROR(IF(AND(U182="Probabilidad",U183="Probabilidad"),(AD182-(+AD182*X183)),IF(AND(U182="Impacto",U183="Probabilidad"),(AD181-(+AD181*X183)),IF(U183="Impacto",AD182,""))),"")</f>
        <v/>
      </c>
      <c r="AC183" s="211" t="str">
        <f t="shared" si="346"/>
        <v/>
      </c>
      <c r="AD183" s="209" t="str">
        <f t="shared" ref="AD183:AD186" si="350">+AB183</f>
        <v/>
      </c>
      <c r="AE183" s="211" t="str">
        <f t="shared" si="347"/>
        <v/>
      </c>
      <c r="AF183" s="209" t="str">
        <f>IFERROR(IF(AND(U182="Impacto",U183="Impacto"),(AF182-(+AF182*X183)),IF(U183="Impacto",($P$31-(+$P$31*X183)),IF(U183="Probabilidad",AF182,""))),"")</f>
        <v/>
      </c>
      <c r="AG183" s="212" t="str">
        <f t="shared" si="348"/>
        <v/>
      </c>
      <c r="AH183" s="237"/>
      <c r="AI183" s="318"/>
      <c r="AJ183" s="318"/>
      <c r="AK183" s="318"/>
      <c r="AL183" s="318"/>
      <c r="AM183" s="318"/>
      <c r="AN183" s="307"/>
      <c r="AO183" s="307"/>
      <c r="AP183" s="259"/>
      <c r="AQ183" s="220"/>
      <c r="AR183" s="307"/>
      <c r="AS183" s="323"/>
      <c r="AT183" s="323"/>
      <c r="AU183" s="323"/>
      <c r="AV183" s="323"/>
      <c r="AW183" s="323"/>
      <c r="AX183" s="323"/>
      <c r="AY183" s="323"/>
      <c r="AZ183" s="323"/>
      <c r="BA183" s="323"/>
      <c r="BB183" s="323"/>
      <c r="BC183" s="323"/>
      <c r="BD183" s="323"/>
      <c r="BE183" s="323"/>
      <c r="BF183" s="323"/>
      <c r="BG183" s="323"/>
      <c r="BH183" s="323"/>
      <c r="BI183" s="323"/>
      <c r="BJ183" s="323"/>
      <c r="BK183" s="323"/>
      <c r="BL183" s="323"/>
      <c r="BM183" s="323"/>
      <c r="BN183" s="323"/>
      <c r="BO183" s="323"/>
      <c r="BP183" s="323"/>
      <c r="BQ183" s="323"/>
      <c r="BR183" s="323"/>
      <c r="BS183" s="323"/>
      <c r="BT183" s="323"/>
      <c r="BU183" s="323"/>
      <c r="BV183" s="323"/>
      <c r="BW183" s="323"/>
      <c r="BX183" s="323"/>
      <c r="BY183" s="323"/>
    </row>
    <row r="184" spans="1:77" s="113" customFormat="1" ht="12" hidden="1" customHeight="1" x14ac:dyDescent="0.2">
      <c r="A184" s="437"/>
      <c r="B184" s="438"/>
      <c r="C184" s="434"/>
      <c r="D184" s="434"/>
      <c r="E184" s="434"/>
      <c r="F184" s="435"/>
      <c r="G184" s="436"/>
      <c r="H184" s="435"/>
      <c r="I184" s="435"/>
      <c r="J184" s="439"/>
      <c r="K184" s="430"/>
      <c r="L184" s="431"/>
      <c r="M184" s="432"/>
      <c r="N184" s="310">
        <f ca="1">IF(NOT(ISERROR(MATCH(M184,_xlfn.ANCHORARRAY(G51),0))),L53&amp;"Por favor no seleccionar los criterios de impacto",M184)</f>
        <v>0</v>
      </c>
      <c r="O184" s="430"/>
      <c r="P184" s="431"/>
      <c r="Q184" s="433"/>
      <c r="R184" s="316">
        <v>4</v>
      </c>
      <c r="S184" s="330"/>
      <c r="T184" s="312"/>
      <c r="U184" s="208" t="str">
        <f t="shared" ref="U184:U186" si="351">IF(OR(V184="Preventivo",V184="Detectivo"),"Probabilidad",IF(V184="Correctivo","Impacto",""))</f>
        <v/>
      </c>
      <c r="V184" s="237"/>
      <c r="W184" s="237"/>
      <c r="X184" s="209" t="str">
        <f t="shared" ref="X184:X186" si="352">IF(AND(V184="Preventivo",W184="Automático"),"50%",IF(AND(V184="Preventivo",W184="Manual"),"40%",IF(AND(V184="Detectivo",W184="Automático"),"40%",IF(AND(V184="Detectivo",W184="Manual"),"30%",IF(AND(V184="Correctivo",W184="Automático"),"35%",IF(AND(V184="Correctivo",W184="Manual"),"25%",""))))))</f>
        <v/>
      </c>
      <c r="Y184" s="237"/>
      <c r="Z184" s="237"/>
      <c r="AA184" s="237"/>
      <c r="AB184" s="210" t="str">
        <f t="shared" si="349"/>
        <v/>
      </c>
      <c r="AC184" s="211" t="str">
        <f t="shared" si="346"/>
        <v/>
      </c>
      <c r="AD184" s="209" t="str">
        <f t="shared" si="350"/>
        <v/>
      </c>
      <c r="AE184" s="211" t="str">
        <f t="shared" si="347"/>
        <v/>
      </c>
      <c r="AF184" s="209" t="str">
        <f t="shared" ref="AF184:AF185" si="353">IFERROR(IF(AND(U183="Impacto",U184="Impacto"),(AF183-(+AF183*X184)),IF(U184="Impacto",($P$31-(+$P$31*X184)),IF(U184="Probabilidad",AF183,""))),"")</f>
        <v/>
      </c>
      <c r="AG184" s="212" t="str">
        <f>IFERROR(IF(OR(AND(AC184="Muy Baja",AE184="Leve"),AND(AC184="Muy Baja",AE184="Menor"),AND(AC184="Baja",AE184="Leve")),"Bajo",IF(OR(AND(AC184="Muy baja",AE184="Moderado"),AND(AC184="Baja",AE184="Menor"),AND(AC184="Baja",AE184="Moderado"),AND(AC184="Media",AE184="Leve"),AND(AC184="Media",AE184="Menor"),AND(AC184="Media",AE184="Moderado"),AND(AC184="Alta",AE184="Leve"),AND(AC184="Alta",AE184="Menor")),"Moderado",IF(OR(AND(AC184="Muy Baja",AE184="Mayor"),AND(AC184="Baja",AE184="Mayor"),AND(AC184="Media",AE184="Mayor"),AND(AC184="Alta",AE184="Moderado"),AND(AC184="Alta",AE184="Mayor"),AND(AC184="Muy Alta",AE184="Leve"),AND(AC184="Muy Alta",AE184="Menor"),AND(AC184="Muy Alta",AE184="Moderado"),AND(AC184="Muy Alta",AE184="Mayor")),"Alto",IF(OR(AND(AC184="Muy Baja",AE184="Catastrófico"),AND(AC184="Baja",AE184="Catastrófico"),AND(AC184="Media",AE184="Catastrófico"),AND(AC184="Alta",AE184="Catastrófico"),AND(AC184="Muy Alta",AE184="Catastrófico")),"Extremo","")))),"")</f>
        <v/>
      </c>
      <c r="AH184" s="237"/>
      <c r="AI184" s="318"/>
      <c r="AJ184" s="318"/>
      <c r="AK184" s="318"/>
      <c r="AL184" s="318"/>
      <c r="AM184" s="318"/>
      <c r="AN184" s="213"/>
      <c r="AO184" s="213"/>
      <c r="AP184" s="308"/>
      <c r="AQ184" s="220"/>
      <c r="AR184" s="213"/>
      <c r="AS184" s="323"/>
      <c r="AT184" s="323"/>
      <c r="AU184" s="323"/>
      <c r="AV184" s="323"/>
      <c r="AW184" s="323"/>
      <c r="AX184" s="323"/>
      <c r="AY184" s="323"/>
      <c r="AZ184" s="323"/>
      <c r="BA184" s="323"/>
      <c r="BB184" s="323"/>
      <c r="BC184" s="323"/>
      <c r="BD184" s="323"/>
      <c r="BE184" s="323"/>
      <c r="BF184" s="323"/>
      <c r="BG184" s="323"/>
      <c r="BH184" s="323"/>
      <c r="BI184" s="323"/>
      <c r="BJ184" s="323"/>
      <c r="BK184" s="323"/>
      <c r="BL184" s="323"/>
      <c r="BM184" s="323"/>
      <c r="BN184" s="323"/>
      <c r="BO184" s="323"/>
      <c r="BP184" s="323"/>
      <c r="BQ184" s="323"/>
      <c r="BR184" s="323"/>
      <c r="BS184" s="323"/>
      <c r="BT184" s="323"/>
      <c r="BU184" s="323"/>
      <c r="BV184" s="323"/>
      <c r="BW184" s="323"/>
      <c r="BX184" s="323"/>
      <c r="BY184" s="323"/>
    </row>
    <row r="185" spans="1:77" s="113" customFormat="1" ht="12" hidden="1" customHeight="1" x14ac:dyDescent="0.2">
      <c r="A185" s="437"/>
      <c r="B185" s="438"/>
      <c r="C185" s="434"/>
      <c r="D185" s="434"/>
      <c r="E185" s="434"/>
      <c r="F185" s="435"/>
      <c r="G185" s="436"/>
      <c r="H185" s="435"/>
      <c r="I185" s="435"/>
      <c r="J185" s="439"/>
      <c r="K185" s="430"/>
      <c r="L185" s="431"/>
      <c r="M185" s="432"/>
      <c r="N185" s="310">
        <f ca="1">IF(NOT(ISERROR(MATCH(M185,_xlfn.ANCHORARRAY(G52),0))),L54&amp;"Por favor no seleccionar los criterios de impacto",M185)</f>
        <v>0</v>
      </c>
      <c r="O185" s="430"/>
      <c r="P185" s="431"/>
      <c r="Q185" s="433"/>
      <c r="R185" s="316">
        <v>5</v>
      </c>
      <c r="S185" s="330"/>
      <c r="T185" s="312"/>
      <c r="U185" s="208" t="str">
        <f t="shared" si="351"/>
        <v/>
      </c>
      <c r="V185" s="237"/>
      <c r="W185" s="237"/>
      <c r="X185" s="209" t="str">
        <f t="shared" si="352"/>
        <v/>
      </c>
      <c r="Y185" s="237"/>
      <c r="Z185" s="237"/>
      <c r="AA185" s="237"/>
      <c r="AB185" s="210" t="str">
        <f t="shared" si="349"/>
        <v/>
      </c>
      <c r="AC185" s="211" t="str">
        <f t="shared" si="346"/>
        <v/>
      </c>
      <c r="AD185" s="209" t="str">
        <f t="shared" si="350"/>
        <v/>
      </c>
      <c r="AE185" s="211" t="str">
        <f t="shared" si="347"/>
        <v/>
      </c>
      <c r="AF185" s="209" t="str">
        <f t="shared" si="353"/>
        <v/>
      </c>
      <c r="AG185" s="212" t="str">
        <f t="shared" ref="AG185:AG186" si="354">IFERROR(IF(OR(AND(AC185="Muy Baja",AE185="Leve"),AND(AC185="Muy Baja",AE185="Menor"),AND(AC185="Baja",AE185="Leve")),"Bajo",IF(OR(AND(AC185="Muy baja",AE185="Moderado"),AND(AC185="Baja",AE185="Menor"),AND(AC185="Baja",AE185="Moderado"),AND(AC185="Media",AE185="Leve"),AND(AC185="Media",AE185="Menor"),AND(AC185="Media",AE185="Moderado"),AND(AC185="Alta",AE185="Leve"),AND(AC185="Alta",AE185="Menor")),"Moderado",IF(OR(AND(AC185="Muy Baja",AE185="Mayor"),AND(AC185="Baja",AE185="Mayor"),AND(AC185="Media",AE185="Mayor"),AND(AC185="Alta",AE185="Moderado"),AND(AC185="Alta",AE185="Mayor"),AND(AC185="Muy Alta",AE185="Leve"),AND(AC185="Muy Alta",AE185="Menor"),AND(AC185="Muy Alta",AE185="Moderado"),AND(AC185="Muy Alta",AE185="Mayor")),"Alto",IF(OR(AND(AC185="Muy Baja",AE185="Catastrófico"),AND(AC185="Baja",AE185="Catastrófico"),AND(AC185="Media",AE185="Catastrófico"),AND(AC185="Alta",AE185="Catastrófico"),AND(AC185="Muy Alta",AE185="Catastrófico")),"Extremo","")))),"")</f>
        <v/>
      </c>
      <c r="AH185" s="237"/>
      <c r="AI185" s="318"/>
      <c r="AJ185" s="318"/>
      <c r="AK185" s="318"/>
      <c r="AL185" s="318"/>
      <c r="AM185" s="318"/>
      <c r="AN185" s="305"/>
      <c r="AO185" s="305"/>
      <c r="AP185" s="306"/>
      <c r="AQ185" s="216"/>
      <c r="AR185" s="216"/>
      <c r="AS185" s="323"/>
      <c r="AT185" s="323"/>
      <c r="AU185" s="323"/>
      <c r="AV185" s="323"/>
      <c r="AW185" s="323"/>
      <c r="AX185" s="323"/>
      <c r="AY185" s="323"/>
      <c r="AZ185" s="323"/>
      <c r="BA185" s="323"/>
      <c r="BB185" s="323"/>
      <c r="BC185" s="323"/>
      <c r="BD185" s="323"/>
      <c r="BE185" s="323"/>
      <c r="BF185" s="323"/>
      <c r="BG185" s="323"/>
      <c r="BH185" s="323"/>
      <c r="BI185" s="323"/>
      <c r="BJ185" s="323"/>
      <c r="BK185" s="323"/>
      <c r="BL185" s="323"/>
      <c r="BM185" s="323"/>
      <c r="BN185" s="323"/>
      <c r="BO185" s="323"/>
      <c r="BP185" s="323"/>
      <c r="BQ185" s="323"/>
      <c r="BR185" s="323"/>
      <c r="BS185" s="323"/>
      <c r="BT185" s="323"/>
      <c r="BU185" s="323"/>
      <c r="BV185" s="323"/>
      <c r="BW185" s="323"/>
      <c r="BX185" s="323"/>
      <c r="BY185" s="323"/>
    </row>
    <row r="186" spans="1:77" s="113" customFormat="1" ht="12" hidden="1" customHeight="1" x14ac:dyDescent="0.2">
      <c r="A186" s="437"/>
      <c r="B186" s="438"/>
      <c r="C186" s="434"/>
      <c r="D186" s="434"/>
      <c r="E186" s="434"/>
      <c r="F186" s="435"/>
      <c r="G186" s="436"/>
      <c r="H186" s="435"/>
      <c r="I186" s="435"/>
      <c r="J186" s="439"/>
      <c r="K186" s="430"/>
      <c r="L186" s="431"/>
      <c r="M186" s="432"/>
      <c r="N186" s="310">
        <f ca="1">IF(NOT(ISERROR(MATCH(M186,_xlfn.ANCHORARRAY(G53),0))),L55&amp;"Por favor no seleccionar los criterios de impacto",M186)</f>
        <v>0</v>
      </c>
      <c r="O186" s="430"/>
      <c r="P186" s="431"/>
      <c r="Q186" s="433"/>
      <c r="R186" s="316">
        <v>6</v>
      </c>
      <c r="S186" s="330"/>
      <c r="T186" s="312"/>
      <c r="U186" s="208" t="str">
        <f t="shared" si="351"/>
        <v/>
      </c>
      <c r="V186" s="237"/>
      <c r="W186" s="237"/>
      <c r="X186" s="209" t="str">
        <f t="shared" si="352"/>
        <v/>
      </c>
      <c r="Y186" s="237"/>
      <c r="Z186" s="237"/>
      <c r="AA186" s="237"/>
      <c r="AB186" s="210" t="str">
        <f t="shared" si="349"/>
        <v/>
      </c>
      <c r="AC186" s="211" t="str">
        <f t="shared" si="346"/>
        <v/>
      </c>
      <c r="AD186" s="209" t="str">
        <f t="shared" si="350"/>
        <v/>
      </c>
      <c r="AE186" s="211" t="str">
        <f t="shared" si="347"/>
        <v/>
      </c>
      <c r="AF186" s="209" t="str">
        <f>IFERROR(IF(AND(U185="Impacto",U186="Impacto"),(AF185-(+AF185*X186)),IF(U186="Impacto",($P$31-(+$P$31*X186)),IF(U186="Probabilidad",AF185,""))),"")</f>
        <v/>
      </c>
      <c r="AG186" s="212" t="str">
        <f t="shared" si="354"/>
        <v/>
      </c>
      <c r="AH186" s="237"/>
      <c r="AI186" s="318"/>
      <c r="AJ186" s="318"/>
      <c r="AK186" s="318"/>
      <c r="AL186" s="318"/>
      <c r="AM186" s="318"/>
      <c r="AN186" s="305"/>
      <c r="AO186" s="305"/>
      <c r="AP186" s="306"/>
      <c r="AQ186" s="216"/>
      <c r="AR186" s="216"/>
      <c r="AS186" s="323"/>
      <c r="AT186" s="323"/>
      <c r="AU186" s="323"/>
      <c r="AV186" s="323"/>
      <c r="AW186" s="323"/>
      <c r="AX186" s="323"/>
      <c r="AY186" s="323"/>
      <c r="AZ186" s="323"/>
      <c r="BA186" s="323"/>
      <c r="BB186" s="323"/>
      <c r="BC186" s="323"/>
      <c r="BD186" s="323"/>
      <c r="BE186" s="323"/>
      <c r="BF186" s="323"/>
      <c r="BG186" s="323"/>
      <c r="BH186" s="323"/>
      <c r="BI186" s="323"/>
      <c r="BJ186" s="323"/>
      <c r="BK186" s="323"/>
      <c r="BL186" s="323"/>
      <c r="BM186" s="323"/>
      <c r="BN186" s="323"/>
      <c r="BO186" s="323"/>
      <c r="BP186" s="323"/>
      <c r="BQ186" s="323"/>
      <c r="BR186" s="323"/>
      <c r="BS186" s="323"/>
      <c r="BT186" s="323"/>
      <c r="BU186" s="323"/>
      <c r="BV186" s="323"/>
      <c r="BW186" s="323"/>
      <c r="BX186" s="323"/>
      <c r="BY186" s="323"/>
    </row>
    <row r="187" spans="1:77" s="271" customFormat="1" ht="99.75" x14ac:dyDescent="0.2">
      <c r="A187" s="437" t="s">
        <v>912</v>
      </c>
      <c r="B187" s="438" t="s">
        <v>608</v>
      </c>
      <c r="C187" s="434" t="s">
        <v>621</v>
      </c>
      <c r="D187" s="434" t="s">
        <v>107</v>
      </c>
      <c r="E187" s="434" t="s">
        <v>914</v>
      </c>
      <c r="F187" s="435" t="s">
        <v>685</v>
      </c>
      <c r="G187" s="436" t="s">
        <v>913</v>
      </c>
      <c r="H187" s="435" t="s">
        <v>655</v>
      </c>
      <c r="I187" s="435" t="s">
        <v>753</v>
      </c>
      <c r="J187" s="439">
        <v>2</v>
      </c>
      <c r="K187" s="430" t="str">
        <f t="shared" ref="K187" si="355">IF(J187&lt;=0,"",IF(J187&lt;=2,"Muy Baja",IF(J187&lt;=24,"Baja",IF(J187&lt;=500,"Media",IF(J187&lt;=5000,"Alta","Muy Alta")))))</f>
        <v>Muy Baja</v>
      </c>
      <c r="L187" s="431">
        <f>IF(K187="","",IF(K187="Muy Baja",0.2,IF(K187="Baja",0.4,IF(K187="Media",0.6,IF(K187="Alta",0.8,IF(K187="Muy Alta",1,))))))</f>
        <v>0.2</v>
      </c>
      <c r="M187" s="432" t="s">
        <v>123</v>
      </c>
      <c r="N187" s="310" t="str">
        <f ca="1">IF(NOT(ISERROR(MATCH(M187,'Tabla Impacto'!$B$221:$B$223,0))),'Tabla Impacto'!$F$223&amp;"Por favor no seleccionar los criterios de impacto(Afectación Económica o presupuestal y Pérdida Reputacional)",M187)</f>
        <v xml:space="preserve">     El riesgo afecta la imagen de la entidad a nivel nacional, con efecto publicitarios sostenible a nivel país</v>
      </c>
      <c r="O187" s="430" t="str">
        <f ca="1">IF(OR(N187='Tabla Impacto'!$C$11,N187='Tabla Impacto'!$D$11),"Leve",IF(OR(N187='Tabla Impacto'!$C$12,N187='Tabla Impacto'!$D$12),"Menor",IF(OR(N187='Tabla Impacto'!$C$13,N187='Tabla Impacto'!$D$13),"Moderado",IF(OR(N187='Tabla Impacto'!$C$14,N187='Tabla Impacto'!$D$14),"Mayor",IF(OR(N187='Tabla Impacto'!$C$15,N187='Tabla Impacto'!$D$15),"Catastrófico","")))))</f>
        <v>Catastrófico</v>
      </c>
      <c r="P187" s="431">
        <f ca="1">IF(O187="","",IF(O187="Leve",0.2,IF(O187="Menor",0.4,IF(O187="Moderado",0.6,IF(O187="Mayor",0.8,IF(O187="Catastrófico",1,))))))</f>
        <v>1</v>
      </c>
      <c r="Q187" s="433" t="str">
        <f ca="1">IF(OR(AND(K187="Muy Baja",O187="Leve"),AND(K187="Muy Baja",O187="Menor"),AND(K187="Baja",O187="Leve")),"Bajo",IF(OR(AND(K187="Muy baja",O187="Moderado"),AND(K187="Baja",O187="Menor"),AND(K187="Baja",O187="Moderado"),AND(K187="Media",O187="Leve"),AND(K187="Media",O187="Menor"),AND(K187="Media",O187="Moderado"),AND(K187="Alta",O187="Leve"),AND(K187="Alta",O187="Menor")),"Moderado",IF(OR(AND(K187="Muy Baja",O187="Mayor"),AND(K187="Baja",O187="Mayor"),AND(K187="Media",O187="Mayor"),AND(K187="Alta",O187="Moderado"),AND(K187="Alta",O187="Mayor"),AND(K187="Muy Alta",O187="Leve"),AND(K187="Muy Alta",O187="Menor"),AND(K187="Muy Alta",O187="Moderado"),AND(K187="Muy Alta",O187="Mayor")),"Alto",IF(OR(AND(K187="Muy Baja",O187="Catastrófico"),AND(K187="Baja",O187="Catastrófico"),AND(K187="Media",O187="Catastrófico"),AND(K187="Alta",O187="Catastrófico"),AND(K187="Muy Alta",O187="Catastrófico")),"Extremo",""))))</f>
        <v>Extremo</v>
      </c>
      <c r="R187" s="261">
        <v>1</v>
      </c>
      <c r="S187" s="334" t="s">
        <v>915</v>
      </c>
      <c r="T187" s="272" t="s">
        <v>293</v>
      </c>
      <c r="U187" s="262" t="str">
        <f>IF(OR(V187="Preventivo",V187="Detectivo"),"Probabilidad",IF(V187="Correctivo","Impacto",""))</f>
        <v>Probabilidad</v>
      </c>
      <c r="V187" s="263" t="s">
        <v>13</v>
      </c>
      <c r="W187" s="263" t="s">
        <v>8</v>
      </c>
      <c r="X187" s="264" t="str">
        <f>IF(AND(V187="Preventivo",W187="Automático"),"50%",IF(AND(V187="Preventivo",W187="Manual"),"40%",IF(AND(V187="Detectivo",W187="Automático"),"40%",IF(AND(V187="Detectivo",W187="Manual"),"30%",IF(AND(V187="Correctivo",W187="Automático"),"35%",IF(AND(V187="Correctivo",W187="Manual"),"25%",""))))))</f>
        <v>40%</v>
      </c>
      <c r="Y187" s="263" t="s">
        <v>18</v>
      </c>
      <c r="Z187" s="263" t="s">
        <v>21</v>
      </c>
      <c r="AA187" s="263" t="s">
        <v>103</v>
      </c>
      <c r="AB187" s="265">
        <f t="shared" ref="AB187" si="356">IFERROR(IF(U187="Probabilidad",(L187-(+L187*X187)),IF(U187="Impacto",L187,"")),"")</f>
        <v>0.12</v>
      </c>
      <c r="AC187" s="266" t="str">
        <f>IFERROR(IF(AB187="","",IF(AB187&lt;=0.2,"Muy Baja",IF(AB187&lt;=0.4,"Baja",IF(AB187&lt;=0.6,"Media",IF(AB187&lt;=0.8,"Alta","Muy Alta"))))),"")</f>
        <v>Muy Baja</v>
      </c>
      <c r="AD187" s="264">
        <f>+AB187</f>
        <v>0.12</v>
      </c>
      <c r="AE187" s="266" t="str">
        <f ca="1">IFERROR(IF(AF187="","",IF(AF187&lt;=0.2,"Leve",IF(AF187&lt;=0.4,"Menor",IF(AF187&lt;=0.6,"Moderado",IF(AF187&lt;=0.8,"Mayor","Catastrófico"))))),"")</f>
        <v>Catastrófico</v>
      </c>
      <c r="AF187" s="264">
        <f ca="1">IFERROR(IF(U187="Impacto",(P187-(+P187*X187)),IF(U187="Probabilidad",P187,"")),"")</f>
        <v>1</v>
      </c>
      <c r="AG187" s="267" t="str">
        <f ca="1">IFERROR(IF(OR(AND(AC187="Muy Baja",AE187="Leve"),AND(AC187="Muy Baja",AE187="Menor"),AND(AC187="Baja",AE187="Leve")),"Bajo",IF(OR(AND(AC187="Muy baja",AE187="Moderado"),AND(AC187="Baja",AE187="Menor"),AND(AC187="Baja",AE187="Moderado"),AND(AC187="Media",AE187="Leve"),AND(AC187="Media",AE187="Menor"),AND(AC187="Media",AE187="Moderado"),AND(AC187="Alta",AE187="Leve"),AND(AC187="Alta",AE187="Menor")),"Moderado",IF(OR(AND(AC187="Muy Baja",AE187="Mayor"),AND(AC187="Baja",AE187="Mayor"),AND(AC187="Media",AE187="Mayor"),AND(AC187="Alta",AE187="Moderado"),AND(AC187="Alta",AE187="Mayor"),AND(AC187="Muy Alta",AE187="Leve"),AND(AC187="Muy Alta",AE187="Menor"),AND(AC187="Muy Alta",AE187="Moderado"),AND(AC187="Muy Alta",AE187="Mayor")),"Alto",IF(OR(AND(AC187="Muy Baja",AE187="Catastrófico"),AND(AC187="Baja",AE187="Catastrófico"),AND(AC187="Media",AE187="Catastrófico"),AND(AC187="Alta",AE187="Catastrófico"),AND(AC187="Muy Alta",AE187="Catastrófico")),"Extremo","")))),"")</f>
        <v>Extremo</v>
      </c>
      <c r="AH187" s="263" t="s">
        <v>26</v>
      </c>
      <c r="AI187" s="273">
        <v>0</v>
      </c>
      <c r="AJ187" s="273">
        <v>0</v>
      </c>
      <c r="AK187" s="273">
        <v>0</v>
      </c>
      <c r="AL187" s="273">
        <v>0</v>
      </c>
      <c r="AM187" s="273">
        <v>0</v>
      </c>
      <c r="AN187" s="268"/>
      <c r="AO187" s="268"/>
      <c r="AP187" s="258"/>
      <c r="AQ187" s="269"/>
      <c r="AR187" s="270"/>
      <c r="AS187" s="323"/>
      <c r="AT187" s="323"/>
      <c r="AU187" s="323"/>
      <c r="AV187" s="323"/>
      <c r="AW187" s="323"/>
      <c r="AX187" s="323"/>
      <c r="AY187" s="323"/>
      <c r="AZ187" s="323"/>
      <c r="BA187" s="323"/>
      <c r="BB187" s="323"/>
      <c r="BC187" s="323"/>
      <c r="BD187" s="323"/>
      <c r="BE187" s="323"/>
      <c r="BF187" s="323"/>
      <c r="BG187" s="323"/>
      <c r="BH187" s="323"/>
      <c r="BI187" s="323"/>
      <c r="BJ187" s="323"/>
      <c r="BK187" s="323"/>
      <c r="BL187" s="323"/>
      <c r="BM187" s="323"/>
      <c r="BN187" s="323"/>
      <c r="BO187" s="323"/>
      <c r="BP187" s="323"/>
      <c r="BQ187" s="323"/>
      <c r="BR187" s="323"/>
      <c r="BS187" s="323"/>
      <c r="BT187" s="323"/>
      <c r="BU187" s="323"/>
      <c r="BV187" s="323"/>
      <c r="BW187" s="323"/>
      <c r="BX187" s="323"/>
      <c r="BY187" s="323"/>
    </row>
    <row r="188" spans="1:77" s="113" customFormat="1" ht="99.75" x14ac:dyDescent="0.2">
      <c r="A188" s="437"/>
      <c r="B188" s="438"/>
      <c r="C188" s="434"/>
      <c r="D188" s="434"/>
      <c r="E188" s="434"/>
      <c r="F188" s="435"/>
      <c r="G188" s="436"/>
      <c r="H188" s="435"/>
      <c r="I188" s="435"/>
      <c r="J188" s="439"/>
      <c r="K188" s="430"/>
      <c r="L188" s="431"/>
      <c r="M188" s="432"/>
      <c r="N188" s="310">
        <f ca="1">IF(NOT(ISERROR(MATCH(M188,_xlfn.ANCHORARRAY(G49),0))),L51&amp;"Por favor no seleccionar los criterios de impacto",M188)</f>
        <v>0</v>
      </c>
      <c r="O188" s="430"/>
      <c r="P188" s="431"/>
      <c r="Q188" s="433"/>
      <c r="R188" s="316">
        <v>2</v>
      </c>
      <c r="S188" s="330" t="s">
        <v>916</v>
      </c>
      <c r="T188" s="312" t="s">
        <v>293</v>
      </c>
      <c r="U188" s="302" t="str">
        <f>IF(OR(V188="Preventivo",V188="Detectivo"),"Probabilidad",IF(V188="Correctivo","Impacto",""))</f>
        <v>Probabilidad</v>
      </c>
      <c r="V188" s="237" t="s">
        <v>13</v>
      </c>
      <c r="W188" s="237" t="s">
        <v>8</v>
      </c>
      <c r="X188" s="209" t="str">
        <f>IF(AND(V188="Preventivo",W188="Automático"),"50%",IF(AND(V188="Preventivo",W188="Manual"),"40%",IF(AND(V188="Detectivo",W188="Automático"),"40%",IF(AND(V188="Detectivo",W188="Manual"),"30%",IF(AND(V188="Correctivo",W188="Automático"),"35%",IF(AND(V188="Correctivo",W188="Manual"),"25%",""))))))</f>
        <v>40%</v>
      </c>
      <c r="Y188" s="237" t="s">
        <v>18</v>
      </c>
      <c r="Z188" s="237" t="s">
        <v>21</v>
      </c>
      <c r="AA188" s="237"/>
      <c r="AB188" s="210">
        <f t="shared" ref="AB188" si="357">IFERROR(IF(AND(U187="Probabilidad",U188="Probabilidad"),(AD187-(+AD187*X188)),IF(U188="Probabilidad",(L187-(+L187*X188)),IF(U188="Impacto",AD187,""))),"")</f>
        <v>7.1999999999999995E-2</v>
      </c>
      <c r="AC188" s="211" t="str">
        <f t="shared" ref="AC188:AC192" si="358">IFERROR(IF(AB188="","",IF(AB188&lt;=0.2,"Muy Baja",IF(AB188&lt;=0.4,"Baja",IF(AB188&lt;=0.6,"Media",IF(AB188&lt;=0.8,"Alta","Muy Alta"))))),"")</f>
        <v>Muy Baja</v>
      </c>
      <c r="AD188" s="209">
        <f>+AB188</f>
        <v>7.1999999999999995E-2</v>
      </c>
      <c r="AE188" s="211" t="str">
        <f t="shared" ref="AE188:AE192" ca="1" si="359">IFERROR(IF(AF188="","",IF(AF188&lt;=0.2,"Leve",IF(AF188&lt;=0.4,"Menor",IF(AF188&lt;=0.6,"Moderado",IF(AF188&lt;=0.8,"Mayor","Catastrófico"))))),"")</f>
        <v>Catastrófico</v>
      </c>
      <c r="AF188" s="209">
        <f ca="1">IFERROR(IF(AND(U187="Impacto",U188="Impacto"),(AF187-(+AF187*X188)),IF(U188="Impacto",($P$37-(+$P$37*X188)),IF(U188="Probabilidad",AF187,""))),"")</f>
        <v>1</v>
      </c>
      <c r="AG188" s="212" t="str">
        <f t="shared" ref="AG188:AG189" ca="1" si="360">IFERROR(IF(OR(AND(AC188="Muy Baja",AE188="Leve"),AND(AC188="Muy Baja",AE188="Menor"),AND(AC188="Baja",AE188="Leve")),"Bajo",IF(OR(AND(AC188="Muy baja",AE188="Moderado"),AND(AC188="Baja",AE188="Menor"),AND(AC188="Baja",AE188="Moderado"),AND(AC188="Media",AE188="Leve"),AND(AC188="Media",AE188="Menor"),AND(AC188="Media",AE188="Moderado"),AND(AC188="Alta",AE188="Leve"),AND(AC188="Alta",AE188="Menor")),"Moderado",IF(OR(AND(AC188="Muy Baja",AE188="Mayor"),AND(AC188="Baja",AE188="Mayor"),AND(AC188="Media",AE188="Mayor"),AND(AC188="Alta",AE188="Moderado"),AND(AC188="Alta",AE188="Mayor"),AND(AC188="Muy Alta",AE188="Leve"),AND(AC188="Muy Alta",AE188="Menor"),AND(AC188="Muy Alta",AE188="Moderado"),AND(AC188="Muy Alta",AE188="Mayor")),"Alto",IF(OR(AND(AC188="Muy Baja",AE188="Catastrófico"),AND(AC188="Baja",AE188="Catastrófico"),AND(AC188="Media",AE188="Catastrófico"),AND(AC188="Alta",AE188="Catastrófico"),AND(AC188="Muy Alta",AE188="Catastrófico")),"Extremo","")))),"")</f>
        <v>Extremo</v>
      </c>
      <c r="AH188" s="237" t="s">
        <v>26</v>
      </c>
      <c r="AI188" s="318">
        <v>0</v>
      </c>
      <c r="AJ188" s="318">
        <v>0</v>
      </c>
      <c r="AK188" s="318">
        <v>0</v>
      </c>
      <c r="AL188" s="318">
        <v>0</v>
      </c>
      <c r="AM188" s="318">
        <v>0</v>
      </c>
      <c r="AN188" s="307"/>
      <c r="AO188" s="307"/>
      <c r="AP188" s="259"/>
      <c r="AQ188" s="220"/>
      <c r="AR188" s="307"/>
      <c r="AS188" s="323"/>
      <c r="AT188" s="323"/>
      <c r="AU188" s="323"/>
      <c r="AV188" s="323"/>
      <c r="AW188" s="323"/>
      <c r="AX188" s="323"/>
      <c r="AY188" s="323"/>
      <c r="AZ188" s="323"/>
      <c r="BA188" s="323"/>
      <c r="BB188" s="323"/>
      <c r="BC188" s="323"/>
      <c r="BD188" s="323"/>
      <c r="BE188" s="323"/>
      <c r="BF188" s="323"/>
      <c r="BG188" s="323"/>
      <c r="BH188" s="323"/>
      <c r="BI188" s="323"/>
      <c r="BJ188" s="323"/>
      <c r="BK188" s="323"/>
      <c r="BL188" s="323"/>
      <c r="BM188" s="323"/>
      <c r="BN188" s="323"/>
      <c r="BO188" s="323"/>
      <c r="BP188" s="323"/>
      <c r="BQ188" s="323"/>
      <c r="BR188" s="323"/>
      <c r="BS188" s="323"/>
      <c r="BT188" s="323"/>
      <c r="BU188" s="323"/>
      <c r="BV188" s="323"/>
      <c r="BW188" s="323"/>
      <c r="BX188" s="323"/>
      <c r="BY188" s="323"/>
    </row>
    <row r="189" spans="1:77" s="113" customFormat="1" ht="20.25" hidden="1" customHeight="1" x14ac:dyDescent="0.2">
      <c r="A189" s="437"/>
      <c r="B189" s="438"/>
      <c r="C189" s="434"/>
      <c r="D189" s="434"/>
      <c r="E189" s="434"/>
      <c r="F189" s="435"/>
      <c r="G189" s="436"/>
      <c r="H189" s="435"/>
      <c r="I189" s="435"/>
      <c r="J189" s="439"/>
      <c r="K189" s="430"/>
      <c r="L189" s="431"/>
      <c r="M189" s="432"/>
      <c r="N189" s="310">
        <f ca="1">IF(NOT(ISERROR(MATCH(M189,_xlfn.ANCHORARRAY(G50),0))),L52&amp;"Por favor no seleccionar los criterios de impacto",M189)</f>
        <v>0</v>
      </c>
      <c r="O189" s="430"/>
      <c r="P189" s="431"/>
      <c r="Q189" s="433"/>
      <c r="R189" s="316">
        <v>3</v>
      </c>
      <c r="S189" s="330"/>
      <c r="T189" s="312"/>
      <c r="U189" s="302" t="str">
        <f>IF(OR(V189="Preventivo",V189="Detectivo"),"Probabilidad",IF(V189="Correctivo","Impacto",""))</f>
        <v/>
      </c>
      <c r="V189" s="237"/>
      <c r="W189" s="237"/>
      <c r="X189" s="209" t="str">
        <f>IF(AND(V189="Preventivo",W189="Automático"),"50%",IF(AND(V189="Preventivo",W189="Manual"),"40%",IF(AND(V189="Detectivo",W189="Automático"),"40%",IF(AND(V189="Detectivo",W189="Manual"),"30%",IF(AND(V189="Correctivo",W189="Automático"),"35%",IF(AND(V189="Correctivo",W189="Manual"),"25%",""))))))</f>
        <v/>
      </c>
      <c r="Y189" s="237"/>
      <c r="Z189" s="237"/>
      <c r="AA189" s="237"/>
      <c r="AB189" s="210" t="str">
        <f t="shared" ref="AB189:AB192" si="361">IFERROR(IF(AND(U188="Probabilidad",U189="Probabilidad"),(AD188-(+AD188*X189)),IF(AND(U188="Impacto",U189="Probabilidad"),(AD187-(+AD187*X189)),IF(U189="Impacto",AD188,""))),"")</f>
        <v/>
      </c>
      <c r="AC189" s="211" t="str">
        <f t="shared" si="358"/>
        <v/>
      </c>
      <c r="AD189" s="209" t="str">
        <f t="shared" ref="AD189:AD192" si="362">+AB189</f>
        <v/>
      </c>
      <c r="AE189" s="211" t="str">
        <f t="shared" si="359"/>
        <v/>
      </c>
      <c r="AF189" s="209" t="str">
        <f>IFERROR(IF(AND(U188="Impacto",U189="Impacto"),(AF188-(+AF188*X189)),IF(U189="Impacto",($P$31-(+$P$31*X189)),IF(U189="Probabilidad",AF188,""))),"")</f>
        <v/>
      </c>
      <c r="AG189" s="212" t="str">
        <f t="shared" si="360"/>
        <v/>
      </c>
      <c r="AH189" s="237"/>
      <c r="AI189" s="318"/>
      <c r="AJ189" s="318"/>
      <c r="AK189" s="318"/>
      <c r="AL189" s="318"/>
      <c r="AM189" s="318"/>
      <c r="AN189" s="307"/>
      <c r="AO189" s="307"/>
      <c r="AP189" s="259"/>
      <c r="AQ189" s="220"/>
      <c r="AR189" s="307"/>
      <c r="AS189" s="323"/>
      <c r="AT189" s="323"/>
      <c r="AU189" s="323"/>
      <c r="AV189" s="323"/>
      <c r="AW189" s="323"/>
      <c r="AX189" s="323"/>
      <c r="AY189" s="323"/>
      <c r="AZ189" s="323"/>
      <c r="BA189" s="323"/>
      <c r="BB189" s="323"/>
      <c r="BC189" s="323"/>
      <c r="BD189" s="323"/>
      <c r="BE189" s="323"/>
      <c r="BF189" s="323"/>
      <c r="BG189" s="323"/>
      <c r="BH189" s="323"/>
      <c r="BI189" s="323"/>
      <c r="BJ189" s="323"/>
      <c r="BK189" s="323"/>
      <c r="BL189" s="323"/>
      <c r="BM189" s="323"/>
      <c r="BN189" s="323"/>
      <c r="BO189" s="323"/>
      <c r="BP189" s="323"/>
      <c r="BQ189" s="323"/>
      <c r="BR189" s="323"/>
      <c r="BS189" s="323"/>
      <c r="BT189" s="323"/>
      <c r="BU189" s="323"/>
      <c r="BV189" s="323"/>
      <c r="BW189" s="323"/>
      <c r="BX189" s="323"/>
      <c r="BY189" s="323"/>
    </row>
    <row r="190" spans="1:77" s="113" customFormat="1" ht="20.25" hidden="1" customHeight="1" x14ac:dyDescent="0.2">
      <c r="A190" s="437"/>
      <c r="B190" s="438"/>
      <c r="C190" s="434"/>
      <c r="D190" s="434"/>
      <c r="E190" s="434"/>
      <c r="F190" s="435"/>
      <c r="G190" s="436"/>
      <c r="H190" s="435"/>
      <c r="I190" s="435"/>
      <c r="J190" s="439"/>
      <c r="K190" s="430"/>
      <c r="L190" s="431"/>
      <c r="M190" s="432"/>
      <c r="N190" s="310">
        <f ca="1">IF(NOT(ISERROR(MATCH(M190,_xlfn.ANCHORARRAY(G51),0))),L53&amp;"Por favor no seleccionar los criterios de impacto",M190)</f>
        <v>0</v>
      </c>
      <c r="O190" s="430"/>
      <c r="P190" s="431"/>
      <c r="Q190" s="433"/>
      <c r="R190" s="316">
        <v>4</v>
      </c>
      <c r="S190" s="330"/>
      <c r="T190" s="312"/>
      <c r="U190" s="208" t="str">
        <f t="shared" ref="U190:U192" si="363">IF(OR(V190="Preventivo",V190="Detectivo"),"Probabilidad",IF(V190="Correctivo","Impacto",""))</f>
        <v/>
      </c>
      <c r="V190" s="237"/>
      <c r="W190" s="237"/>
      <c r="X190" s="209" t="str">
        <f t="shared" ref="X190:X192" si="364">IF(AND(V190="Preventivo",W190="Automático"),"50%",IF(AND(V190="Preventivo",W190="Manual"),"40%",IF(AND(V190="Detectivo",W190="Automático"),"40%",IF(AND(V190="Detectivo",W190="Manual"),"30%",IF(AND(V190="Correctivo",W190="Automático"),"35%",IF(AND(V190="Correctivo",W190="Manual"),"25%",""))))))</f>
        <v/>
      </c>
      <c r="Y190" s="237"/>
      <c r="Z190" s="237"/>
      <c r="AA190" s="237"/>
      <c r="AB190" s="210" t="str">
        <f t="shared" si="361"/>
        <v/>
      </c>
      <c r="AC190" s="211" t="str">
        <f t="shared" si="358"/>
        <v/>
      </c>
      <c r="AD190" s="209" t="str">
        <f t="shared" si="362"/>
        <v/>
      </c>
      <c r="AE190" s="211" t="str">
        <f t="shared" si="359"/>
        <v/>
      </c>
      <c r="AF190" s="209" t="str">
        <f t="shared" ref="AF190:AF191" si="365">IFERROR(IF(AND(U189="Impacto",U190="Impacto"),(AF189-(+AF189*X190)),IF(U190="Impacto",($P$31-(+$P$31*X190)),IF(U190="Probabilidad",AF189,""))),"")</f>
        <v/>
      </c>
      <c r="AG190" s="212" t="str">
        <f>IFERROR(IF(OR(AND(AC190="Muy Baja",AE190="Leve"),AND(AC190="Muy Baja",AE190="Menor"),AND(AC190="Baja",AE190="Leve")),"Bajo",IF(OR(AND(AC190="Muy baja",AE190="Moderado"),AND(AC190="Baja",AE190="Menor"),AND(AC190="Baja",AE190="Moderado"),AND(AC190="Media",AE190="Leve"),AND(AC190="Media",AE190="Menor"),AND(AC190="Media",AE190="Moderado"),AND(AC190="Alta",AE190="Leve"),AND(AC190="Alta",AE190="Menor")),"Moderado",IF(OR(AND(AC190="Muy Baja",AE190="Mayor"),AND(AC190="Baja",AE190="Mayor"),AND(AC190="Media",AE190="Mayor"),AND(AC190="Alta",AE190="Moderado"),AND(AC190="Alta",AE190="Mayor"),AND(AC190="Muy Alta",AE190="Leve"),AND(AC190="Muy Alta",AE190="Menor"),AND(AC190="Muy Alta",AE190="Moderado"),AND(AC190="Muy Alta",AE190="Mayor")),"Alto",IF(OR(AND(AC190="Muy Baja",AE190="Catastrófico"),AND(AC190="Baja",AE190="Catastrófico"),AND(AC190="Media",AE190="Catastrófico"),AND(AC190="Alta",AE190="Catastrófico"),AND(AC190="Muy Alta",AE190="Catastrófico")),"Extremo","")))),"")</f>
        <v/>
      </c>
      <c r="AH190" s="237"/>
      <c r="AI190" s="318"/>
      <c r="AJ190" s="318"/>
      <c r="AK190" s="318"/>
      <c r="AL190" s="318"/>
      <c r="AM190" s="318"/>
      <c r="AN190" s="213"/>
      <c r="AO190" s="213"/>
      <c r="AP190" s="308"/>
      <c r="AQ190" s="220"/>
      <c r="AR190" s="213"/>
      <c r="AS190" s="323"/>
      <c r="AT190" s="323"/>
      <c r="AU190" s="323"/>
      <c r="AV190" s="323"/>
      <c r="AW190" s="323"/>
      <c r="AX190" s="323"/>
      <c r="AY190" s="323"/>
      <c r="AZ190" s="323"/>
      <c r="BA190" s="323"/>
      <c r="BB190" s="323"/>
      <c r="BC190" s="323"/>
      <c r="BD190" s="323"/>
      <c r="BE190" s="323"/>
      <c r="BF190" s="323"/>
      <c r="BG190" s="323"/>
      <c r="BH190" s="323"/>
      <c r="BI190" s="323"/>
      <c r="BJ190" s="323"/>
      <c r="BK190" s="323"/>
      <c r="BL190" s="323"/>
      <c r="BM190" s="323"/>
      <c r="BN190" s="323"/>
      <c r="BO190" s="323"/>
      <c r="BP190" s="323"/>
      <c r="BQ190" s="323"/>
      <c r="BR190" s="323"/>
      <c r="BS190" s="323"/>
      <c r="BT190" s="323"/>
      <c r="BU190" s="323"/>
      <c r="BV190" s="323"/>
      <c r="BW190" s="323"/>
      <c r="BX190" s="323"/>
      <c r="BY190" s="323"/>
    </row>
    <row r="191" spans="1:77" s="113" customFormat="1" ht="20.25" hidden="1" customHeight="1" x14ac:dyDescent="0.2">
      <c r="A191" s="437"/>
      <c r="B191" s="438"/>
      <c r="C191" s="434"/>
      <c r="D191" s="434"/>
      <c r="E191" s="434"/>
      <c r="F191" s="435"/>
      <c r="G191" s="436"/>
      <c r="H191" s="435"/>
      <c r="I191" s="435"/>
      <c r="J191" s="439"/>
      <c r="K191" s="430"/>
      <c r="L191" s="431"/>
      <c r="M191" s="432"/>
      <c r="N191" s="310">
        <f ca="1">IF(NOT(ISERROR(MATCH(M191,_xlfn.ANCHORARRAY(G52),0))),L54&amp;"Por favor no seleccionar los criterios de impacto",M191)</f>
        <v>0</v>
      </c>
      <c r="O191" s="430"/>
      <c r="P191" s="431"/>
      <c r="Q191" s="433"/>
      <c r="R191" s="316">
        <v>5</v>
      </c>
      <c r="S191" s="330"/>
      <c r="T191" s="312"/>
      <c r="U191" s="208" t="str">
        <f t="shared" si="363"/>
        <v/>
      </c>
      <c r="V191" s="237"/>
      <c r="W191" s="237"/>
      <c r="X191" s="209" t="str">
        <f t="shared" si="364"/>
        <v/>
      </c>
      <c r="Y191" s="237"/>
      <c r="Z191" s="237"/>
      <c r="AA191" s="237"/>
      <c r="AB191" s="210" t="str">
        <f t="shared" si="361"/>
        <v/>
      </c>
      <c r="AC191" s="211" t="str">
        <f t="shared" si="358"/>
        <v/>
      </c>
      <c r="AD191" s="209" t="str">
        <f t="shared" si="362"/>
        <v/>
      </c>
      <c r="AE191" s="211" t="str">
        <f t="shared" si="359"/>
        <v/>
      </c>
      <c r="AF191" s="209" t="str">
        <f t="shared" si="365"/>
        <v/>
      </c>
      <c r="AG191" s="212" t="str">
        <f t="shared" ref="AG191:AG192" si="366">IFERROR(IF(OR(AND(AC191="Muy Baja",AE191="Leve"),AND(AC191="Muy Baja",AE191="Menor"),AND(AC191="Baja",AE191="Leve")),"Bajo",IF(OR(AND(AC191="Muy baja",AE191="Moderado"),AND(AC191="Baja",AE191="Menor"),AND(AC191="Baja",AE191="Moderado"),AND(AC191="Media",AE191="Leve"),AND(AC191="Media",AE191="Menor"),AND(AC191="Media",AE191="Moderado"),AND(AC191="Alta",AE191="Leve"),AND(AC191="Alta",AE191="Menor")),"Moderado",IF(OR(AND(AC191="Muy Baja",AE191="Mayor"),AND(AC191="Baja",AE191="Mayor"),AND(AC191="Media",AE191="Mayor"),AND(AC191="Alta",AE191="Moderado"),AND(AC191="Alta",AE191="Mayor"),AND(AC191="Muy Alta",AE191="Leve"),AND(AC191="Muy Alta",AE191="Menor"),AND(AC191="Muy Alta",AE191="Moderado"),AND(AC191="Muy Alta",AE191="Mayor")),"Alto",IF(OR(AND(AC191="Muy Baja",AE191="Catastrófico"),AND(AC191="Baja",AE191="Catastrófico"),AND(AC191="Media",AE191="Catastrófico"),AND(AC191="Alta",AE191="Catastrófico"),AND(AC191="Muy Alta",AE191="Catastrófico")),"Extremo","")))),"")</f>
        <v/>
      </c>
      <c r="AH191" s="237"/>
      <c r="AI191" s="318"/>
      <c r="AJ191" s="318"/>
      <c r="AK191" s="318"/>
      <c r="AL191" s="318"/>
      <c r="AM191" s="318"/>
      <c r="AN191" s="305"/>
      <c r="AO191" s="305"/>
      <c r="AP191" s="306"/>
      <c r="AQ191" s="216"/>
      <c r="AR191" s="216"/>
      <c r="AS191" s="323"/>
      <c r="AT191" s="323"/>
      <c r="AU191" s="323"/>
      <c r="AV191" s="323"/>
      <c r="AW191" s="323"/>
      <c r="AX191" s="323"/>
      <c r="AY191" s="323"/>
      <c r="AZ191" s="323"/>
      <c r="BA191" s="323"/>
      <c r="BB191" s="323"/>
      <c r="BC191" s="323"/>
      <c r="BD191" s="323"/>
      <c r="BE191" s="323"/>
      <c r="BF191" s="323"/>
      <c r="BG191" s="323"/>
      <c r="BH191" s="323"/>
      <c r="BI191" s="323"/>
      <c r="BJ191" s="323"/>
      <c r="BK191" s="323"/>
      <c r="BL191" s="323"/>
      <c r="BM191" s="323"/>
      <c r="BN191" s="323"/>
      <c r="BO191" s="323"/>
      <c r="BP191" s="323"/>
      <c r="BQ191" s="323"/>
      <c r="BR191" s="323"/>
      <c r="BS191" s="323"/>
      <c r="BT191" s="323"/>
      <c r="BU191" s="323"/>
      <c r="BV191" s="323"/>
      <c r="BW191" s="323"/>
      <c r="BX191" s="323"/>
      <c r="BY191" s="323"/>
    </row>
    <row r="192" spans="1:77" s="113" customFormat="1" ht="20.25" hidden="1" customHeight="1" x14ac:dyDescent="0.2">
      <c r="A192" s="437"/>
      <c r="B192" s="438"/>
      <c r="C192" s="434"/>
      <c r="D192" s="434"/>
      <c r="E192" s="434"/>
      <c r="F192" s="435"/>
      <c r="G192" s="436"/>
      <c r="H192" s="435"/>
      <c r="I192" s="435"/>
      <c r="J192" s="439"/>
      <c r="K192" s="430"/>
      <c r="L192" s="431"/>
      <c r="M192" s="432"/>
      <c r="N192" s="310">
        <f ca="1">IF(NOT(ISERROR(MATCH(M192,_xlfn.ANCHORARRAY(G53),0))),L55&amp;"Por favor no seleccionar los criterios de impacto",M192)</f>
        <v>0</v>
      </c>
      <c r="O192" s="430"/>
      <c r="P192" s="431"/>
      <c r="Q192" s="433"/>
      <c r="R192" s="316">
        <v>6</v>
      </c>
      <c r="S192" s="330"/>
      <c r="T192" s="312"/>
      <c r="U192" s="208" t="str">
        <f t="shared" si="363"/>
        <v/>
      </c>
      <c r="V192" s="237"/>
      <c r="W192" s="237"/>
      <c r="X192" s="209" t="str">
        <f t="shared" si="364"/>
        <v/>
      </c>
      <c r="Y192" s="237"/>
      <c r="Z192" s="237"/>
      <c r="AA192" s="237"/>
      <c r="AB192" s="210" t="str">
        <f t="shared" si="361"/>
        <v/>
      </c>
      <c r="AC192" s="211" t="str">
        <f t="shared" si="358"/>
        <v/>
      </c>
      <c r="AD192" s="209" t="str">
        <f t="shared" si="362"/>
        <v/>
      </c>
      <c r="AE192" s="211" t="str">
        <f t="shared" si="359"/>
        <v/>
      </c>
      <c r="AF192" s="209" t="str">
        <f>IFERROR(IF(AND(U191="Impacto",U192="Impacto"),(AF191-(+AF191*X192)),IF(U192="Impacto",($P$31-(+$P$31*X192)),IF(U192="Probabilidad",AF191,""))),"")</f>
        <v/>
      </c>
      <c r="AG192" s="212" t="str">
        <f t="shared" si="366"/>
        <v/>
      </c>
      <c r="AH192" s="237"/>
      <c r="AI192" s="318"/>
      <c r="AJ192" s="318"/>
      <c r="AK192" s="318"/>
      <c r="AL192" s="318"/>
      <c r="AM192" s="318"/>
      <c r="AN192" s="305"/>
      <c r="AO192" s="305"/>
      <c r="AP192" s="306"/>
      <c r="AQ192" s="216"/>
      <c r="AR192" s="216"/>
      <c r="AS192" s="323"/>
      <c r="AT192" s="323"/>
      <c r="AU192" s="323"/>
      <c r="AV192" s="323"/>
      <c r="AW192" s="323"/>
      <c r="AX192" s="323"/>
      <c r="AY192" s="323"/>
      <c r="AZ192" s="323"/>
      <c r="BA192" s="323"/>
      <c r="BB192" s="323"/>
      <c r="BC192" s="323"/>
      <c r="BD192" s="323"/>
      <c r="BE192" s="323"/>
      <c r="BF192" s="323"/>
      <c r="BG192" s="323"/>
      <c r="BH192" s="323"/>
      <c r="BI192" s="323"/>
      <c r="BJ192" s="323"/>
      <c r="BK192" s="323"/>
      <c r="BL192" s="323"/>
      <c r="BM192" s="323"/>
      <c r="BN192" s="323"/>
      <c r="BO192" s="323"/>
      <c r="BP192" s="323"/>
      <c r="BQ192" s="323"/>
      <c r="BR192" s="323"/>
      <c r="BS192" s="323"/>
      <c r="BT192" s="323"/>
      <c r="BU192" s="323"/>
      <c r="BV192" s="323"/>
      <c r="BW192" s="323"/>
      <c r="BX192" s="323"/>
      <c r="BY192" s="323"/>
    </row>
    <row r="193" spans="1:77" s="271" customFormat="1" ht="114" x14ac:dyDescent="0.2">
      <c r="A193" s="437" t="s">
        <v>918</v>
      </c>
      <c r="B193" s="438" t="s">
        <v>607</v>
      </c>
      <c r="C193" s="434" t="s">
        <v>621</v>
      </c>
      <c r="D193" s="434" t="s">
        <v>109</v>
      </c>
      <c r="E193" s="434" t="s">
        <v>919</v>
      </c>
      <c r="F193" s="435" t="s">
        <v>685</v>
      </c>
      <c r="G193" s="436" t="s">
        <v>917</v>
      </c>
      <c r="H193" s="435" t="s">
        <v>655</v>
      </c>
      <c r="I193" s="435" t="s">
        <v>808</v>
      </c>
      <c r="J193" s="439">
        <v>52</v>
      </c>
      <c r="K193" s="430" t="str">
        <f t="shared" ref="K193" si="367">IF(J193&lt;=0,"",IF(J193&lt;=2,"Muy Baja",IF(J193&lt;=24,"Baja",IF(J193&lt;=500,"Media",IF(J193&lt;=5000,"Alta","Muy Alta")))))</f>
        <v>Media</v>
      </c>
      <c r="L193" s="431">
        <f>IF(K193="","",IF(K193="Muy Baja",0.2,IF(K193="Baja",0.4,IF(K193="Media",0.6,IF(K193="Alta",0.8,IF(K193="Muy Alta",1,))))))</f>
        <v>0.6</v>
      </c>
      <c r="M193" s="432" t="s">
        <v>115</v>
      </c>
      <c r="N193" s="310" t="str">
        <f ca="1">IF(NOT(ISERROR(MATCH(M193,'Tabla Impacto'!$B$221:$B$223,0))),'Tabla Impacto'!$F$223&amp;"Por favor no seleccionar los criterios de impacto(Afectación Económica o presupuestal y Pérdida Reputacional)",M193)</f>
        <v xml:space="preserve">     Entre 50 y 100 SMLMV </v>
      </c>
      <c r="O193" s="430" t="str">
        <f ca="1">IF(OR(N193='Tabla Impacto'!$C$11,N193='Tabla Impacto'!$D$11),"Leve",IF(OR(N193='Tabla Impacto'!$C$12,N193='Tabla Impacto'!$D$12),"Menor",IF(OR(N193='Tabla Impacto'!$C$13,N193='Tabla Impacto'!$D$13),"Moderado",IF(OR(N193='Tabla Impacto'!$C$14,N193='Tabla Impacto'!$D$14),"Mayor",IF(OR(N193='Tabla Impacto'!$C$15,N193='Tabla Impacto'!$D$15),"Catastrófico","")))))</f>
        <v>Moderado</v>
      </c>
      <c r="P193" s="431">
        <f ca="1">IF(O193="","",IF(O193="Leve",0.2,IF(O193="Menor",0.4,IF(O193="Moderado",0.6,IF(O193="Mayor",0.8,IF(O193="Catastrófico",1,))))))</f>
        <v>0.6</v>
      </c>
      <c r="Q193" s="433" t="str">
        <f ca="1">IF(OR(AND(K193="Muy Baja",O193="Leve"),AND(K193="Muy Baja",O193="Menor"),AND(K193="Baja",O193="Leve")),"Bajo",IF(OR(AND(K193="Muy baja",O193="Moderado"),AND(K193="Baja",O193="Menor"),AND(K193="Baja",O193="Moderado"),AND(K193="Media",O193="Leve"),AND(K193="Media",O193="Menor"),AND(K193="Media",O193="Moderado"),AND(K193="Alta",O193="Leve"),AND(K193="Alta",O193="Menor")),"Moderado",IF(OR(AND(K193="Muy Baja",O193="Mayor"),AND(K193="Baja",O193="Mayor"),AND(K193="Media",O193="Mayor"),AND(K193="Alta",O193="Moderado"),AND(K193="Alta",O193="Mayor"),AND(K193="Muy Alta",O193="Leve"),AND(K193="Muy Alta",O193="Menor"),AND(K193="Muy Alta",O193="Moderado"),AND(K193="Muy Alta",O193="Mayor")),"Alto",IF(OR(AND(K193="Muy Baja",O193="Catastrófico"),AND(K193="Baja",O193="Catastrófico"),AND(K193="Media",O193="Catastrófico"),AND(K193="Alta",O193="Catastrófico"),AND(K193="Muy Alta",O193="Catastrófico")),"Extremo",""))))</f>
        <v>Moderado</v>
      </c>
      <c r="R193" s="261">
        <v>1</v>
      </c>
      <c r="S193" s="334" t="s">
        <v>920</v>
      </c>
      <c r="T193" s="272" t="s">
        <v>293</v>
      </c>
      <c r="U193" s="262" t="str">
        <f>IF(OR(V193="Preventivo",V193="Detectivo"),"Probabilidad",IF(V193="Correctivo","Impacto",""))</f>
        <v>Probabilidad</v>
      </c>
      <c r="V193" s="263" t="s">
        <v>13</v>
      </c>
      <c r="W193" s="263" t="s">
        <v>8</v>
      </c>
      <c r="X193" s="264" t="str">
        <f>IF(AND(V193="Preventivo",W193="Automático"),"50%",IF(AND(V193="Preventivo",W193="Manual"),"40%",IF(AND(V193="Detectivo",W193="Automático"),"40%",IF(AND(V193="Detectivo",W193="Manual"),"30%",IF(AND(V193="Correctivo",W193="Automático"),"35%",IF(AND(V193="Correctivo",W193="Manual"),"25%",""))))))</f>
        <v>40%</v>
      </c>
      <c r="Y193" s="263" t="s">
        <v>18</v>
      </c>
      <c r="Z193" s="263" t="s">
        <v>21</v>
      </c>
      <c r="AA193" s="263" t="s">
        <v>103</v>
      </c>
      <c r="AB193" s="265">
        <f t="shared" ref="AB193" si="368">IFERROR(IF(U193="Probabilidad",(L193-(+L193*X193)),IF(U193="Impacto",L193,"")),"")</f>
        <v>0.36</v>
      </c>
      <c r="AC193" s="266" t="str">
        <f>IFERROR(IF(AB193="","",IF(AB193&lt;=0.2,"Muy Baja",IF(AB193&lt;=0.4,"Baja",IF(AB193&lt;=0.6,"Media",IF(AB193&lt;=0.8,"Alta","Muy Alta"))))),"")</f>
        <v>Baja</v>
      </c>
      <c r="AD193" s="264">
        <f>+AB193</f>
        <v>0.36</v>
      </c>
      <c r="AE193" s="266" t="str">
        <f ca="1">IFERROR(IF(AF193="","",IF(AF193&lt;=0.2,"Leve",IF(AF193&lt;=0.4,"Menor",IF(AF193&lt;=0.6,"Moderado",IF(AF193&lt;=0.8,"Mayor","Catastrófico"))))),"")</f>
        <v>Moderado</v>
      </c>
      <c r="AF193" s="264">
        <f ca="1">IFERROR(IF(U193="Impacto",(P193-(+P193*X193)),IF(U193="Probabilidad",P193,"")),"")</f>
        <v>0.6</v>
      </c>
      <c r="AG193" s="267" t="str">
        <f ca="1">IFERROR(IF(OR(AND(AC193="Muy Baja",AE193="Leve"),AND(AC193="Muy Baja",AE193="Menor"),AND(AC193="Baja",AE193="Leve")),"Bajo",IF(OR(AND(AC193="Muy baja",AE193="Moderado"),AND(AC193="Baja",AE193="Menor"),AND(AC193="Baja",AE193="Moderado"),AND(AC193="Media",AE193="Leve"),AND(AC193="Media",AE193="Menor"),AND(AC193="Media",AE193="Moderado"),AND(AC193="Alta",AE193="Leve"),AND(AC193="Alta",AE193="Menor")),"Moderado",IF(OR(AND(AC193="Muy Baja",AE193="Mayor"),AND(AC193="Baja",AE193="Mayor"),AND(AC193="Media",AE193="Mayor"),AND(AC193="Alta",AE193="Moderado"),AND(AC193="Alta",AE193="Mayor"),AND(AC193="Muy Alta",AE193="Leve"),AND(AC193="Muy Alta",AE193="Menor"),AND(AC193="Muy Alta",AE193="Moderado"),AND(AC193="Muy Alta",AE193="Mayor")),"Alto",IF(OR(AND(AC193="Muy Baja",AE193="Catastrófico"),AND(AC193="Baja",AE193="Catastrófico"),AND(AC193="Media",AE193="Catastrófico"),AND(AC193="Alta",AE193="Catastrófico"),AND(AC193="Muy Alta",AE193="Catastrófico")),"Extremo","")))),"")</f>
        <v>Moderado</v>
      </c>
      <c r="AH193" s="263" t="s">
        <v>26</v>
      </c>
      <c r="AI193" s="273">
        <v>0</v>
      </c>
      <c r="AJ193" s="273">
        <v>0</v>
      </c>
      <c r="AK193" s="273">
        <v>0</v>
      </c>
      <c r="AL193" s="273">
        <v>0</v>
      </c>
      <c r="AM193" s="273">
        <v>0</v>
      </c>
      <c r="AN193" s="268"/>
      <c r="AO193" s="268"/>
      <c r="AP193" s="258"/>
      <c r="AQ193" s="269"/>
      <c r="AR193" s="270"/>
      <c r="AS193" s="323"/>
      <c r="AT193" s="323"/>
      <c r="AU193" s="323"/>
      <c r="AV193" s="323"/>
      <c r="AW193" s="323"/>
      <c r="AX193" s="323"/>
      <c r="AY193" s="323"/>
      <c r="AZ193" s="323"/>
      <c r="BA193" s="323"/>
      <c r="BB193" s="323"/>
      <c r="BC193" s="323"/>
      <c r="BD193" s="323"/>
      <c r="BE193" s="323"/>
      <c r="BF193" s="323"/>
      <c r="BG193" s="323"/>
      <c r="BH193" s="323"/>
      <c r="BI193" s="323"/>
      <c r="BJ193" s="323"/>
      <c r="BK193" s="323"/>
      <c r="BL193" s="323"/>
      <c r="BM193" s="323"/>
      <c r="BN193" s="323"/>
      <c r="BO193" s="323"/>
      <c r="BP193" s="323"/>
      <c r="BQ193" s="323"/>
      <c r="BR193" s="323"/>
      <c r="BS193" s="323"/>
      <c r="BT193" s="323"/>
      <c r="BU193" s="323"/>
      <c r="BV193" s="323"/>
      <c r="BW193" s="323"/>
      <c r="BX193" s="323"/>
      <c r="BY193" s="323"/>
    </row>
    <row r="194" spans="1:77" s="113" customFormat="1" ht="114" x14ac:dyDescent="0.2">
      <c r="A194" s="437"/>
      <c r="B194" s="438"/>
      <c r="C194" s="434"/>
      <c r="D194" s="434"/>
      <c r="E194" s="434"/>
      <c r="F194" s="435"/>
      <c r="G194" s="436"/>
      <c r="H194" s="435"/>
      <c r="I194" s="435"/>
      <c r="J194" s="439"/>
      <c r="K194" s="430"/>
      <c r="L194" s="431"/>
      <c r="M194" s="432"/>
      <c r="N194" s="310">
        <f ca="1">IF(NOT(ISERROR(MATCH(M194,_xlfn.ANCHORARRAY(G37),0))),L39&amp;"Por favor no seleccionar los criterios de impacto",M194)</f>
        <v>0</v>
      </c>
      <c r="O194" s="430"/>
      <c r="P194" s="431"/>
      <c r="Q194" s="433"/>
      <c r="R194" s="316">
        <v>2</v>
      </c>
      <c r="S194" s="330" t="s">
        <v>921</v>
      </c>
      <c r="T194" s="312" t="s">
        <v>293</v>
      </c>
      <c r="U194" s="302" t="str">
        <f>IF(OR(V194="Preventivo",V194="Detectivo"),"Probabilidad",IF(V194="Correctivo","Impacto",""))</f>
        <v>Probabilidad</v>
      </c>
      <c r="V194" s="237" t="s">
        <v>13</v>
      </c>
      <c r="W194" s="237" t="s">
        <v>8</v>
      </c>
      <c r="X194" s="209" t="str">
        <f>IF(AND(V194="Preventivo",W194="Automático"),"50%",IF(AND(V194="Preventivo",W194="Manual"),"40%",IF(AND(V194="Detectivo",W194="Automático"),"40%",IF(AND(V194="Detectivo",W194="Manual"),"30%",IF(AND(V194="Correctivo",W194="Automático"),"35%",IF(AND(V194="Correctivo",W194="Manual"),"25%",""))))))</f>
        <v>40%</v>
      </c>
      <c r="Y194" s="237" t="s">
        <v>18</v>
      </c>
      <c r="Z194" s="237" t="s">
        <v>21</v>
      </c>
      <c r="AA194" s="237" t="s">
        <v>103</v>
      </c>
      <c r="AB194" s="210">
        <f t="shared" ref="AB194" si="369">IFERROR(IF(AND(U193="Probabilidad",U194="Probabilidad"),(AD193-(+AD193*X194)),IF(U194="Probabilidad",(L193-(+L193*X194)),IF(U194="Impacto",AD193,""))),"")</f>
        <v>0.216</v>
      </c>
      <c r="AC194" s="211" t="str">
        <f t="shared" ref="AC194:AC198" si="370">IFERROR(IF(AB194="","",IF(AB194&lt;=0.2,"Muy Baja",IF(AB194&lt;=0.4,"Baja",IF(AB194&lt;=0.6,"Media",IF(AB194&lt;=0.8,"Alta","Muy Alta"))))),"")</f>
        <v>Baja</v>
      </c>
      <c r="AD194" s="209">
        <f>+AB194</f>
        <v>0.216</v>
      </c>
      <c r="AE194" s="211" t="str">
        <f t="shared" ref="AE194:AE198" ca="1" si="371">IFERROR(IF(AF194="","",IF(AF194&lt;=0.2,"Leve",IF(AF194&lt;=0.4,"Menor",IF(AF194&lt;=0.6,"Moderado",IF(AF194&lt;=0.8,"Mayor","Catastrófico"))))),"")</f>
        <v>Moderado</v>
      </c>
      <c r="AF194" s="209">
        <f ca="1">IFERROR(IF(AND(U193="Impacto",U194="Impacto"),(AF193-(+AF193*X194)),IF(U194="Impacto",($P$37-(+$P$37*X194)),IF(U194="Probabilidad",AF193,""))),"")</f>
        <v>0.6</v>
      </c>
      <c r="AG194" s="212" t="str">
        <f t="shared" ref="AG194:AG195" ca="1" si="372">IFERROR(IF(OR(AND(AC194="Muy Baja",AE194="Leve"),AND(AC194="Muy Baja",AE194="Menor"),AND(AC194="Baja",AE194="Leve")),"Bajo",IF(OR(AND(AC194="Muy baja",AE194="Moderado"),AND(AC194="Baja",AE194="Menor"),AND(AC194="Baja",AE194="Moderado"),AND(AC194="Media",AE194="Leve"),AND(AC194="Media",AE194="Menor"),AND(AC194="Media",AE194="Moderado"),AND(AC194="Alta",AE194="Leve"),AND(AC194="Alta",AE194="Menor")),"Moderado",IF(OR(AND(AC194="Muy Baja",AE194="Mayor"),AND(AC194="Baja",AE194="Mayor"),AND(AC194="Media",AE194="Mayor"),AND(AC194="Alta",AE194="Moderado"),AND(AC194="Alta",AE194="Mayor"),AND(AC194="Muy Alta",AE194="Leve"),AND(AC194="Muy Alta",AE194="Menor"),AND(AC194="Muy Alta",AE194="Moderado"),AND(AC194="Muy Alta",AE194="Mayor")),"Alto",IF(OR(AND(AC194="Muy Baja",AE194="Catastrófico"),AND(AC194="Baja",AE194="Catastrófico"),AND(AC194="Media",AE194="Catastrófico"),AND(AC194="Alta",AE194="Catastrófico"),AND(AC194="Muy Alta",AE194="Catastrófico")),"Extremo","")))),"")</f>
        <v>Moderado</v>
      </c>
      <c r="AH194" s="237" t="s">
        <v>26</v>
      </c>
      <c r="AI194" s="318">
        <v>0</v>
      </c>
      <c r="AJ194" s="318">
        <v>0</v>
      </c>
      <c r="AK194" s="318">
        <v>0</v>
      </c>
      <c r="AL194" s="318">
        <v>0</v>
      </c>
      <c r="AM194" s="318">
        <v>0</v>
      </c>
      <c r="AN194" s="307"/>
      <c r="AO194" s="307"/>
      <c r="AP194" s="259"/>
      <c r="AQ194" s="220"/>
      <c r="AR194" s="307"/>
      <c r="AS194" s="323"/>
      <c r="AT194" s="323"/>
      <c r="AU194" s="323"/>
      <c r="AV194" s="323"/>
      <c r="AW194" s="323"/>
      <c r="AX194" s="323"/>
      <c r="AY194" s="323"/>
      <c r="AZ194" s="323"/>
      <c r="BA194" s="323"/>
      <c r="BB194" s="323"/>
      <c r="BC194" s="323"/>
      <c r="BD194" s="323"/>
      <c r="BE194" s="323"/>
      <c r="BF194" s="323"/>
      <c r="BG194" s="323"/>
      <c r="BH194" s="323"/>
      <c r="BI194" s="323"/>
      <c r="BJ194" s="323"/>
      <c r="BK194" s="323"/>
      <c r="BL194" s="323"/>
      <c r="BM194" s="323"/>
      <c r="BN194" s="323"/>
      <c r="BO194" s="323"/>
      <c r="BP194" s="323"/>
      <c r="BQ194" s="323"/>
      <c r="BR194" s="323"/>
      <c r="BS194" s="323"/>
      <c r="BT194" s="323"/>
      <c r="BU194" s="323"/>
      <c r="BV194" s="323"/>
      <c r="BW194" s="323"/>
      <c r="BX194" s="323"/>
      <c r="BY194" s="323"/>
    </row>
    <row r="195" spans="1:77" s="113" customFormat="1" ht="114" x14ac:dyDescent="0.2">
      <c r="A195" s="437"/>
      <c r="B195" s="438"/>
      <c r="C195" s="434"/>
      <c r="D195" s="434"/>
      <c r="E195" s="434"/>
      <c r="F195" s="435"/>
      <c r="G195" s="436"/>
      <c r="H195" s="435"/>
      <c r="I195" s="435"/>
      <c r="J195" s="439"/>
      <c r="K195" s="430"/>
      <c r="L195" s="431"/>
      <c r="M195" s="432"/>
      <c r="N195" s="310">
        <f ca="1">IF(NOT(ISERROR(MATCH(M195,_xlfn.ANCHORARRAY(G38),0))),L40&amp;"Por favor no seleccionar los criterios de impacto",M195)</f>
        <v>0</v>
      </c>
      <c r="O195" s="430"/>
      <c r="P195" s="431"/>
      <c r="Q195" s="433"/>
      <c r="R195" s="316">
        <v>3</v>
      </c>
      <c r="S195" s="330" t="s">
        <v>922</v>
      </c>
      <c r="T195" s="312" t="s">
        <v>293</v>
      </c>
      <c r="U195" s="302" t="str">
        <f>IF(OR(V195="Preventivo",V195="Detectivo"),"Probabilidad",IF(V195="Correctivo","Impacto",""))</f>
        <v>Probabilidad</v>
      </c>
      <c r="V195" s="237" t="s">
        <v>13</v>
      </c>
      <c r="W195" s="237" t="s">
        <v>8</v>
      </c>
      <c r="X195" s="209" t="str">
        <f>IF(AND(V195="Preventivo",W195="Automático"),"50%",IF(AND(V195="Preventivo",W195="Manual"),"40%",IF(AND(V195="Detectivo",W195="Automático"),"40%",IF(AND(V195="Detectivo",W195="Manual"),"30%",IF(AND(V195="Correctivo",W195="Automático"),"35%",IF(AND(V195="Correctivo",W195="Manual"),"25%",""))))))</f>
        <v>40%</v>
      </c>
      <c r="Y195" s="237" t="s">
        <v>18</v>
      </c>
      <c r="Z195" s="237" t="s">
        <v>21</v>
      </c>
      <c r="AA195" s="237" t="s">
        <v>103</v>
      </c>
      <c r="AB195" s="210">
        <f t="shared" ref="AB195:AB198" si="373">IFERROR(IF(AND(U194="Probabilidad",U195="Probabilidad"),(AD194-(+AD194*X195)),IF(AND(U194="Impacto",U195="Probabilidad"),(AD193-(+AD193*X195)),IF(U195="Impacto",AD194,""))),"")</f>
        <v>0.12959999999999999</v>
      </c>
      <c r="AC195" s="211" t="str">
        <f t="shared" si="370"/>
        <v>Muy Baja</v>
      </c>
      <c r="AD195" s="209">
        <f t="shared" ref="AD195:AD198" si="374">+AB195</f>
        <v>0.12959999999999999</v>
      </c>
      <c r="AE195" s="211" t="str">
        <f t="shared" ca="1" si="371"/>
        <v>Moderado</v>
      </c>
      <c r="AF195" s="209">
        <f ca="1">IFERROR(IF(AND(U194="Impacto",U195="Impacto"),(AF194-(+AF194*X195)),IF(U195="Impacto",($P$31-(+$P$31*X195)),IF(U195="Probabilidad",AF194,""))),"")</f>
        <v>0.6</v>
      </c>
      <c r="AG195" s="212" t="str">
        <f t="shared" ca="1" si="372"/>
        <v>Moderado</v>
      </c>
      <c r="AH195" s="237" t="s">
        <v>26</v>
      </c>
      <c r="AI195" s="318">
        <v>0</v>
      </c>
      <c r="AJ195" s="318">
        <v>0</v>
      </c>
      <c r="AK195" s="318">
        <v>0</v>
      </c>
      <c r="AL195" s="318">
        <v>0</v>
      </c>
      <c r="AM195" s="318">
        <v>0</v>
      </c>
      <c r="AN195" s="307"/>
      <c r="AO195" s="307"/>
      <c r="AP195" s="259"/>
      <c r="AQ195" s="220"/>
      <c r="AR195" s="307"/>
      <c r="AS195" s="323"/>
      <c r="AT195" s="323"/>
      <c r="AU195" s="323"/>
      <c r="AV195" s="323"/>
      <c r="AW195" s="323"/>
      <c r="AX195" s="323"/>
      <c r="AY195" s="323"/>
      <c r="AZ195" s="323"/>
      <c r="BA195" s="323"/>
      <c r="BB195" s="323"/>
      <c r="BC195" s="323"/>
      <c r="BD195" s="323"/>
      <c r="BE195" s="323"/>
      <c r="BF195" s="323"/>
      <c r="BG195" s="323"/>
      <c r="BH195" s="323"/>
      <c r="BI195" s="323"/>
      <c r="BJ195" s="323"/>
      <c r="BK195" s="323"/>
      <c r="BL195" s="323"/>
      <c r="BM195" s="323"/>
      <c r="BN195" s="323"/>
      <c r="BO195" s="323"/>
      <c r="BP195" s="323"/>
      <c r="BQ195" s="323"/>
      <c r="BR195" s="323"/>
      <c r="BS195" s="323"/>
      <c r="BT195" s="323"/>
      <c r="BU195" s="323"/>
      <c r="BV195" s="323"/>
      <c r="BW195" s="323"/>
      <c r="BX195" s="323"/>
      <c r="BY195" s="323"/>
    </row>
    <row r="196" spans="1:77" s="113" customFormat="1" ht="14.25" hidden="1" customHeight="1" x14ac:dyDescent="0.2">
      <c r="A196" s="437"/>
      <c r="B196" s="438"/>
      <c r="C196" s="434"/>
      <c r="D196" s="434"/>
      <c r="E196" s="434"/>
      <c r="F196" s="435"/>
      <c r="G196" s="436"/>
      <c r="H196" s="435"/>
      <c r="I196" s="435"/>
      <c r="J196" s="439"/>
      <c r="K196" s="430"/>
      <c r="L196" s="431"/>
      <c r="M196" s="432"/>
      <c r="N196" s="310">
        <f ca="1">IF(NOT(ISERROR(MATCH(M196,_xlfn.ANCHORARRAY(G39),0))),L41&amp;"Por favor no seleccionar los criterios de impacto",M196)</f>
        <v>0</v>
      </c>
      <c r="O196" s="430"/>
      <c r="P196" s="431"/>
      <c r="Q196" s="433"/>
      <c r="R196" s="316">
        <v>4</v>
      </c>
      <c r="S196" s="330"/>
      <c r="T196" s="312"/>
      <c r="U196" s="208" t="str">
        <f t="shared" ref="U196:U198" si="375">IF(OR(V196="Preventivo",V196="Detectivo"),"Probabilidad",IF(V196="Correctivo","Impacto",""))</f>
        <v/>
      </c>
      <c r="V196" s="237"/>
      <c r="W196" s="237"/>
      <c r="X196" s="209" t="str">
        <f t="shared" ref="X196:X198" si="376">IF(AND(V196="Preventivo",W196="Automático"),"50%",IF(AND(V196="Preventivo",W196="Manual"),"40%",IF(AND(V196="Detectivo",W196="Automático"),"40%",IF(AND(V196="Detectivo",W196="Manual"),"30%",IF(AND(V196="Correctivo",W196="Automático"),"35%",IF(AND(V196="Correctivo",W196="Manual"),"25%",""))))))</f>
        <v/>
      </c>
      <c r="Y196" s="237"/>
      <c r="Z196" s="237"/>
      <c r="AA196" s="237"/>
      <c r="AB196" s="210" t="str">
        <f t="shared" si="373"/>
        <v/>
      </c>
      <c r="AC196" s="211" t="str">
        <f t="shared" si="370"/>
        <v/>
      </c>
      <c r="AD196" s="209" t="str">
        <f t="shared" si="374"/>
        <v/>
      </c>
      <c r="AE196" s="211" t="str">
        <f t="shared" si="371"/>
        <v/>
      </c>
      <c r="AF196" s="209" t="str">
        <f t="shared" ref="AF196:AF197" si="377">IFERROR(IF(AND(U195="Impacto",U196="Impacto"),(AF195-(+AF195*X196)),IF(U196="Impacto",($P$31-(+$P$31*X196)),IF(U196="Probabilidad",AF195,""))),"")</f>
        <v/>
      </c>
      <c r="AG196" s="212" t="str">
        <f>IFERROR(IF(OR(AND(AC196="Muy Baja",AE196="Leve"),AND(AC196="Muy Baja",AE196="Menor"),AND(AC196="Baja",AE196="Leve")),"Bajo",IF(OR(AND(AC196="Muy baja",AE196="Moderado"),AND(AC196="Baja",AE196="Menor"),AND(AC196="Baja",AE196="Moderado"),AND(AC196="Media",AE196="Leve"),AND(AC196="Media",AE196="Menor"),AND(AC196="Media",AE196="Moderado"),AND(AC196="Alta",AE196="Leve"),AND(AC196="Alta",AE196="Menor")),"Moderado",IF(OR(AND(AC196="Muy Baja",AE196="Mayor"),AND(AC196="Baja",AE196="Mayor"),AND(AC196="Media",AE196="Mayor"),AND(AC196="Alta",AE196="Moderado"),AND(AC196="Alta",AE196="Mayor"),AND(AC196="Muy Alta",AE196="Leve"),AND(AC196="Muy Alta",AE196="Menor"),AND(AC196="Muy Alta",AE196="Moderado"),AND(AC196="Muy Alta",AE196="Mayor")),"Alto",IF(OR(AND(AC196="Muy Baja",AE196="Catastrófico"),AND(AC196="Baja",AE196="Catastrófico"),AND(AC196="Media",AE196="Catastrófico"),AND(AC196="Alta",AE196="Catastrófico"),AND(AC196="Muy Alta",AE196="Catastrófico")),"Extremo","")))),"")</f>
        <v/>
      </c>
      <c r="AH196" s="237"/>
      <c r="AI196" s="318"/>
      <c r="AJ196" s="318"/>
      <c r="AK196" s="318"/>
      <c r="AL196" s="318"/>
      <c r="AM196" s="318"/>
      <c r="AN196" s="213"/>
      <c r="AO196" s="213"/>
      <c r="AP196" s="308"/>
      <c r="AQ196" s="220"/>
      <c r="AR196" s="213"/>
      <c r="AS196" s="323"/>
      <c r="AT196" s="323"/>
      <c r="AU196" s="323"/>
      <c r="AV196" s="323"/>
      <c r="AW196" s="323"/>
      <c r="AX196" s="323"/>
      <c r="AY196" s="323"/>
      <c r="AZ196" s="323"/>
      <c r="BA196" s="323"/>
      <c r="BB196" s="323"/>
      <c r="BC196" s="323"/>
      <c r="BD196" s="323"/>
      <c r="BE196" s="323"/>
      <c r="BF196" s="323"/>
      <c r="BG196" s="323"/>
      <c r="BH196" s="323"/>
      <c r="BI196" s="323"/>
      <c r="BJ196" s="323"/>
      <c r="BK196" s="323"/>
      <c r="BL196" s="323"/>
      <c r="BM196" s="323"/>
      <c r="BN196" s="323"/>
      <c r="BO196" s="323"/>
      <c r="BP196" s="323"/>
      <c r="BQ196" s="323"/>
      <c r="BR196" s="323"/>
      <c r="BS196" s="323"/>
      <c r="BT196" s="323"/>
      <c r="BU196" s="323"/>
      <c r="BV196" s="323"/>
      <c r="BW196" s="323"/>
      <c r="BX196" s="323"/>
      <c r="BY196" s="323"/>
    </row>
    <row r="197" spans="1:77" s="113" customFormat="1" ht="14.25" hidden="1" customHeight="1" x14ac:dyDescent="0.2">
      <c r="A197" s="437"/>
      <c r="B197" s="438"/>
      <c r="C197" s="434"/>
      <c r="D197" s="434"/>
      <c r="E197" s="434"/>
      <c r="F197" s="435"/>
      <c r="G197" s="436"/>
      <c r="H197" s="435"/>
      <c r="I197" s="435"/>
      <c r="J197" s="439"/>
      <c r="K197" s="430"/>
      <c r="L197" s="431"/>
      <c r="M197" s="432"/>
      <c r="N197" s="310">
        <f ca="1">IF(NOT(ISERROR(MATCH(M197,_xlfn.ANCHORARRAY(G40),0))),L42&amp;"Por favor no seleccionar los criterios de impacto",M197)</f>
        <v>0</v>
      </c>
      <c r="O197" s="430"/>
      <c r="P197" s="431"/>
      <c r="Q197" s="433"/>
      <c r="R197" s="316">
        <v>5</v>
      </c>
      <c r="S197" s="330"/>
      <c r="T197" s="312"/>
      <c r="U197" s="208" t="str">
        <f t="shared" si="375"/>
        <v/>
      </c>
      <c r="V197" s="237"/>
      <c r="W197" s="237"/>
      <c r="X197" s="209" t="str">
        <f t="shared" si="376"/>
        <v/>
      </c>
      <c r="Y197" s="237"/>
      <c r="Z197" s="237"/>
      <c r="AA197" s="237"/>
      <c r="AB197" s="210" t="str">
        <f t="shared" si="373"/>
        <v/>
      </c>
      <c r="AC197" s="211" t="str">
        <f t="shared" si="370"/>
        <v/>
      </c>
      <c r="AD197" s="209" t="str">
        <f t="shared" si="374"/>
        <v/>
      </c>
      <c r="AE197" s="211" t="str">
        <f t="shared" si="371"/>
        <v/>
      </c>
      <c r="AF197" s="209" t="str">
        <f t="shared" si="377"/>
        <v/>
      </c>
      <c r="AG197" s="212" t="str">
        <f t="shared" ref="AG197:AG198" si="378">IFERROR(IF(OR(AND(AC197="Muy Baja",AE197="Leve"),AND(AC197="Muy Baja",AE197="Menor"),AND(AC197="Baja",AE197="Leve")),"Bajo",IF(OR(AND(AC197="Muy baja",AE197="Moderado"),AND(AC197="Baja",AE197="Menor"),AND(AC197="Baja",AE197="Moderado"),AND(AC197="Media",AE197="Leve"),AND(AC197="Media",AE197="Menor"),AND(AC197="Media",AE197="Moderado"),AND(AC197="Alta",AE197="Leve"),AND(AC197="Alta",AE197="Menor")),"Moderado",IF(OR(AND(AC197="Muy Baja",AE197="Mayor"),AND(AC197="Baja",AE197="Mayor"),AND(AC197="Media",AE197="Mayor"),AND(AC197="Alta",AE197="Moderado"),AND(AC197="Alta",AE197="Mayor"),AND(AC197="Muy Alta",AE197="Leve"),AND(AC197="Muy Alta",AE197="Menor"),AND(AC197="Muy Alta",AE197="Moderado"),AND(AC197="Muy Alta",AE197="Mayor")),"Alto",IF(OR(AND(AC197="Muy Baja",AE197="Catastrófico"),AND(AC197="Baja",AE197="Catastrófico"),AND(AC197="Media",AE197="Catastrófico"),AND(AC197="Alta",AE197="Catastrófico"),AND(AC197="Muy Alta",AE197="Catastrófico")),"Extremo","")))),"")</f>
        <v/>
      </c>
      <c r="AH197" s="237"/>
      <c r="AI197" s="318"/>
      <c r="AJ197" s="318"/>
      <c r="AK197" s="318"/>
      <c r="AL197" s="318"/>
      <c r="AM197" s="318"/>
      <c r="AN197" s="305"/>
      <c r="AO197" s="305"/>
      <c r="AP197" s="306"/>
      <c r="AQ197" s="216"/>
      <c r="AR197" s="216"/>
      <c r="AS197" s="323"/>
      <c r="AT197" s="323"/>
      <c r="AU197" s="323"/>
      <c r="AV197" s="323"/>
      <c r="AW197" s="323"/>
      <c r="AX197" s="323"/>
      <c r="AY197" s="323"/>
      <c r="AZ197" s="323"/>
      <c r="BA197" s="323"/>
      <c r="BB197" s="323"/>
      <c r="BC197" s="323"/>
      <c r="BD197" s="323"/>
      <c r="BE197" s="323"/>
      <c r="BF197" s="323"/>
      <c r="BG197" s="323"/>
      <c r="BH197" s="323"/>
      <c r="BI197" s="323"/>
      <c r="BJ197" s="323"/>
      <c r="BK197" s="323"/>
      <c r="BL197" s="323"/>
      <c r="BM197" s="323"/>
      <c r="BN197" s="323"/>
      <c r="BO197" s="323"/>
      <c r="BP197" s="323"/>
      <c r="BQ197" s="323"/>
      <c r="BR197" s="323"/>
      <c r="BS197" s="323"/>
      <c r="BT197" s="323"/>
      <c r="BU197" s="323"/>
      <c r="BV197" s="323"/>
      <c r="BW197" s="323"/>
      <c r="BX197" s="323"/>
      <c r="BY197" s="323"/>
    </row>
    <row r="198" spans="1:77" s="113" customFormat="1" ht="14.25" hidden="1" customHeight="1" x14ac:dyDescent="0.2">
      <c r="A198" s="437"/>
      <c r="B198" s="438"/>
      <c r="C198" s="434"/>
      <c r="D198" s="434"/>
      <c r="E198" s="434"/>
      <c r="F198" s="435"/>
      <c r="G198" s="436"/>
      <c r="H198" s="435"/>
      <c r="I198" s="435"/>
      <c r="J198" s="439"/>
      <c r="K198" s="430"/>
      <c r="L198" s="431"/>
      <c r="M198" s="432"/>
      <c r="N198" s="310">
        <f ca="1">IF(NOT(ISERROR(MATCH(M198,_xlfn.ANCHORARRAY(G41),0))),L43&amp;"Por favor no seleccionar los criterios de impacto",M198)</f>
        <v>0</v>
      </c>
      <c r="O198" s="430"/>
      <c r="P198" s="431"/>
      <c r="Q198" s="433"/>
      <c r="R198" s="316">
        <v>6</v>
      </c>
      <c r="S198" s="330"/>
      <c r="T198" s="312"/>
      <c r="U198" s="208" t="str">
        <f t="shared" si="375"/>
        <v/>
      </c>
      <c r="V198" s="237"/>
      <c r="W198" s="237"/>
      <c r="X198" s="209" t="str">
        <f t="shared" si="376"/>
        <v/>
      </c>
      <c r="Y198" s="237"/>
      <c r="Z198" s="237"/>
      <c r="AA198" s="237"/>
      <c r="AB198" s="210" t="str">
        <f t="shared" si="373"/>
        <v/>
      </c>
      <c r="AC198" s="211" t="str">
        <f t="shared" si="370"/>
        <v/>
      </c>
      <c r="AD198" s="209" t="str">
        <f t="shared" si="374"/>
        <v/>
      </c>
      <c r="AE198" s="211" t="str">
        <f t="shared" si="371"/>
        <v/>
      </c>
      <c r="AF198" s="209" t="str">
        <f>IFERROR(IF(AND(U197="Impacto",U198="Impacto"),(AF197-(+AF197*X198)),IF(U198="Impacto",($P$31-(+$P$31*X198)),IF(U198="Probabilidad",AF197,""))),"")</f>
        <v/>
      </c>
      <c r="AG198" s="212" t="str">
        <f t="shared" si="378"/>
        <v/>
      </c>
      <c r="AH198" s="237"/>
      <c r="AI198" s="318"/>
      <c r="AJ198" s="318"/>
      <c r="AK198" s="318"/>
      <c r="AL198" s="318"/>
      <c r="AM198" s="318"/>
      <c r="AN198" s="305"/>
      <c r="AO198" s="305"/>
      <c r="AP198" s="306"/>
      <c r="AQ198" s="216"/>
      <c r="AR198" s="216"/>
      <c r="AS198" s="323"/>
      <c r="AT198" s="323"/>
      <c r="AU198" s="323"/>
      <c r="AV198" s="323"/>
      <c r="AW198" s="323"/>
      <c r="AX198" s="323"/>
      <c r="AY198" s="323"/>
      <c r="AZ198" s="323"/>
      <c r="BA198" s="323"/>
      <c r="BB198" s="323"/>
      <c r="BC198" s="323"/>
      <c r="BD198" s="323"/>
      <c r="BE198" s="323"/>
      <c r="BF198" s="323"/>
      <c r="BG198" s="323"/>
      <c r="BH198" s="323"/>
      <c r="BI198" s="323"/>
      <c r="BJ198" s="323"/>
      <c r="BK198" s="323"/>
      <c r="BL198" s="323"/>
      <c r="BM198" s="323"/>
      <c r="BN198" s="323"/>
      <c r="BO198" s="323"/>
      <c r="BP198" s="323"/>
      <c r="BQ198" s="323"/>
      <c r="BR198" s="323"/>
      <c r="BS198" s="323"/>
      <c r="BT198" s="323"/>
      <c r="BU198" s="323"/>
      <c r="BV198" s="323"/>
      <c r="BW198" s="323"/>
      <c r="BX198" s="323"/>
      <c r="BY198" s="323"/>
    </row>
    <row r="199" spans="1:77" s="271" customFormat="1" ht="99.75" x14ac:dyDescent="0.2">
      <c r="A199" s="437" t="s">
        <v>926</v>
      </c>
      <c r="B199" s="438" t="s">
        <v>607</v>
      </c>
      <c r="C199" s="434" t="s">
        <v>621</v>
      </c>
      <c r="D199" s="434" t="s">
        <v>107</v>
      </c>
      <c r="E199" s="434" t="s">
        <v>924</v>
      </c>
      <c r="F199" s="435" t="s">
        <v>925</v>
      </c>
      <c r="G199" s="436" t="s">
        <v>923</v>
      </c>
      <c r="H199" s="435" t="s">
        <v>655</v>
      </c>
      <c r="I199" s="435" t="s">
        <v>808</v>
      </c>
      <c r="J199" s="439">
        <v>600</v>
      </c>
      <c r="K199" s="430" t="str">
        <f t="shared" ref="K199" si="379">IF(J199&lt;=0,"",IF(J199&lt;=2,"Muy Baja",IF(J199&lt;=24,"Baja",IF(J199&lt;=500,"Media",IF(J199&lt;=5000,"Alta","Muy Alta")))))</f>
        <v>Alta</v>
      </c>
      <c r="L199" s="431">
        <f>IF(K199="","",IF(K199="Muy Baja",0.2,IF(K199="Baja",0.4,IF(K199="Media",0.6,IF(K199="Alta",0.8,IF(K199="Muy Alta",1,))))))</f>
        <v>0.8</v>
      </c>
      <c r="M199" s="432" t="s">
        <v>122</v>
      </c>
      <c r="N199" s="310" t="str">
        <f ca="1">IF(NOT(ISERROR(MATCH(M199,'Tabla Impacto'!$B$221:$B$223,0))),'Tabla Impacto'!$F$223&amp;"Por favor no seleccionar los criterios de impacto(Afectación Económica o presupuestal y Pérdida Reputacional)",M199)</f>
        <v xml:space="preserve">     El riesgo afecta la imagen de de la entidad con efecto publicitario sostenido a nivel de sector administrativo, nivel departamental o municipal</v>
      </c>
      <c r="O199" s="430" t="str">
        <f ca="1">IF(OR(N199='Tabla Impacto'!$C$11,N199='Tabla Impacto'!$D$11),"Leve",IF(OR(N199='Tabla Impacto'!$C$12,N199='Tabla Impacto'!$D$12),"Menor",IF(OR(N199='Tabla Impacto'!$C$13,N199='Tabla Impacto'!$D$13),"Moderado",IF(OR(N199='Tabla Impacto'!$C$14,N199='Tabla Impacto'!$D$14),"Mayor",IF(OR(N199='Tabla Impacto'!$C$15,N199='Tabla Impacto'!$D$15),"Catastrófico","")))))</f>
        <v>Mayor</v>
      </c>
      <c r="P199" s="431">
        <f ca="1">IF(O199="","",IF(O199="Leve",0.2,IF(O199="Menor",0.4,IF(O199="Moderado",0.6,IF(O199="Mayor",0.8,IF(O199="Catastrófico",1,))))))</f>
        <v>0.8</v>
      </c>
      <c r="Q199" s="433" t="str">
        <f ca="1">IF(OR(AND(K199="Muy Baja",O199="Leve"),AND(K199="Muy Baja",O199="Menor"),AND(K199="Baja",O199="Leve")),"Bajo",IF(OR(AND(K199="Muy baja",O199="Moderado"),AND(K199="Baja",O199="Menor"),AND(K199="Baja",O199="Moderado"),AND(K199="Media",O199="Leve"),AND(K199="Media",O199="Menor"),AND(K199="Media",O199="Moderado"),AND(K199="Alta",O199="Leve"),AND(K199="Alta",O199="Menor")),"Moderado",IF(OR(AND(K199="Muy Baja",O199="Mayor"),AND(K199="Baja",O199="Mayor"),AND(K199="Media",O199="Mayor"),AND(K199="Alta",O199="Moderado"),AND(K199="Alta",O199="Mayor"),AND(K199="Muy Alta",O199="Leve"),AND(K199="Muy Alta",O199="Menor"),AND(K199="Muy Alta",O199="Moderado"),AND(K199="Muy Alta",O199="Mayor")),"Alto",IF(OR(AND(K199="Muy Baja",O199="Catastrófico"),AND(K199="Baja",O199="Catastrófico"),AND(K199="Media",O199="Catastrófico"),AND(K199="Alta",O199="Catastrófico"),AND(K199="Muy Alta",O199="Catastrófico")),"Extremo",""))))</f>
        <v>Alto</v>
      </c>
      <c r="R199" s="261">
        <v>1</v>
      </c>
      <c r="S199" s="334" t="s">
        <v>927</v>
      </c>
      <c r="T199" s="272" t="s">
        <v>293</v>
      </c>
      <c r="U199" s="262" t="str">
        <f>IF(OR(V199="Preventivo",V199="Detectivo"),"Probabilidad",IF(V199="Correctivo","Impacto",""))</f>
        <v>Probabilidad</v>
      </c>
      <c r="V199" s="263" t="s">
        <v>13</v>
      </c>
      <c r="W199" s="263" t="s">
        <v>8</v>
      </c>
      <c r="X199" s="264" t="str">
        <f>IF(AND(V199="Preventivo",W199="Automático"),"50%",IF(AND(V199="Preventivo",W199="Manual"),"40%",IF(AND(V199="Detectivo",W199="Automático"),"40%",IF(AND(V199="Detectivo",W199="Manual"),"30%",IF(AND(V199="Correctivo",W199="Automático"),"35%",IF(AND(V199="Correctivo",W199="Manual"),"25%",""))))))</f>
        <v>40%</v>
      </c>
      <c r="Y199" s="263" t="s">
        <v>18</v>
      </c>
      <c r="Z199" s="263" t="s">
        <v>21</v>
      </c>
      <c r="AA199" s="263" t="s">
        <v>103</v>
      </c>
      <c r="AB199" s="265">
        <f t="shared" ref="AB199" si="380">IFERROR(IF(U199="Probabilidad",(L199-(+L199*X199)),IF(U199="Impacto",L199,"")),"")</f>
        <v>0.48</v>
      </c>
      <c r="AC199" s="266" t="str">
        <f>IFERROR(IF(AB199="","",IF(AB199&lt;=0.2,"Muy Baja",IF(AB199&lt;=0.4,"Baja",IF(AB199&lt;=0.6,"Media",IF(AB199&lt;=0.8,"Alta","Muy Alta"))))),"")</f>
        <v>Media</v>
      </c>
      <c r="AD199" s="264">
        <f>+AB199</f>
        <v>0.48</v>
      </c>
      <c r="AE199" s="266" t="str">
        <f ca="1">IFERROR(IF(AF199="","",IF(AF199&lt;=0.2,"Leve",IF(AF199&lt;=0.4,"Menor",IF(AF199&lt;=0.6,"Moderado",IF(AF199&lt;=0.8,"Mayor","Catastrófico"))))),"")</f>
        <v>Mayor</v>
      </c>
      <c r="AF199" s="264">
        <f ca="1">IFERROR(IF(U199="Impacto",(P199-(+P199*X199)),IF(U199="Probabilidad",P199,"")),"")</f>
        <v>0.8</v>
      </c>
      <c r="AG199" s="267" t="str">
        <f ca="1">IFERROR(IF(OR(AND(AC199="Muy Baja",AE199="Leve"),AND(AC199="Muy Baja",AE199="Menor"),AND(AC199="Baja",AE199="Leve")),"Bajo",IF(OR(AND(AC199="Muy baja",AE199="Moderado"),AND(AC199="Baja",AE199="Menor"),AND(AC199="Baja",AE199="Moderado"),AND(AC199="Media",AE199="Leve"),AND(AC199="Media",AE199="Menor"),AND(AC199="Media",AE199="Moderado"),AND(AC199="Alta",AE199="Leve"),AND(AC199="Alta",AE199="Menor")),"Moderado",IF(OR(AND(AC199="Muy Baja",AE199="Mayor"),AND(AC199="Baja",AE199="Mayor"),AND(AC199="Media",AE199="Mayor"),AND(AC199="Alta",AE199="Moderado"),AND(AC199="Alta",AE199="Mayor"),AND(AC199="Muy Alta",AE199="Leve"),AND(AC199="Muy Alta",AE199="Menor"),AND(AC199="Muy Alta",AE199="Moderado"),AND(AC199="Muy Alta",AE199="Mayor")),"Alto",IF(OR(AND(AC199="Muy Baja",AE199="Catastrófico"),AND(AC199="Baja",AE199="Catastrófico"),AND(AC199="Media",AE199="Catastrófico"),AND(AC199="Alta",AE199="Catastrófico"),AND(AC199="Muy Alta",AE199="Catastrófico")),"Extremo","")))),"")</f>
        <v>Alto</v>
      </c>
      <c r="AH199" s="263" t="s">
        <v>26</v>
      </c>
      <c r="AI199" s="273">
        <v>0</v>
      </c>
      <c r="AJ199" s="273">
        <v>0</v>
      </c>
      <c r="AK199" s="273">
        <v>0</v>
      </c>
      <c r="AL199" s="273">
        <v>0</v>
      </c>
      <c r="AM199" s="273">
        <v>0</v>
      </c>
      <c r="AN199" s="268"/>
      <c r="AO199" s="268"/>
      <c r="AP199" s="258"/>
      <c r="AQ199" s="269"/>
      <c r="AR199" s="270"/>
      <c r="AS199" s="323"/>
      <c r="AT199" s="323"/>
      <c r="AU199" s="323"/>
      <c r="AV199" s="323"/>
      <c r="AW199" s="323"/>
      <c r="AX199" s="323"/>
      <c r="AY199" s="323"/>
      <c r="AZ199" s="323"/>
      <c r="BA199" s="323"/>
      <c r="BB199" s="323"/>
      <c r="BC199" s="323"/>
      <c r="BD199" s="323"/>
      <c r="BE199" s="323"/>
      <c r="BF199" s="323"/>
      <c r="BG199" s="323"/>
      <c r="BH199" s="323"/>
      <c r="BI199" s="323"/>
      <c r="BJ199" s="323"/>
      <c r="BK199" s="323"/>
      <c r="BL199" s="323"/>
      <c r="BM199" s="323"/>
      <c r="BN199" s="323"/>
      <c r="BO199" s="323"/>
      <c r="BP199" s="323"/>
      <c r="BQ199" s="323"/>
      <c r="BR199" s="323"/>
      <c r="BS199" s="323"/>
      <c r="BT199" s="323"/>
      <c r="BU199" s="323"/>
      <c r="BV199" s="323"/>
      <c r="BW199" s="323"/>
      <c r="BX199" s="323"/>
      <c r="BY199" s="323"/>
    </row>
    <row r="200" spans="1:77" s="113" customFormat="1" ht="128.25" x14ac:dyDescent="0.2">
      <c r="A200" s="437"/>
      <c r="B200" s="438"/>
      <c r="C200" s="434"/>
      <c r="D200" s="434"/>
      <c r="E200" s="434"/>
      <c r="F200" s="435"/>
      <c r="G200" s="436"/>
      <c r="H200" s="435"/>
      <c r="I200" s="435"/>
      <c r="J200" s="439"/>
      <c r="K200" s="430"/>
      <c r="L200" s="431"/>
      <c r="M200" s="432"/>
      <c r="N200" s="310">
        <f ca="1">IF(NOT(ISERROR(MATCH(M200,_xlfn.ANCHORARRAY(G43),0))),L45&amp;"Por favor no seleccionar los criterios de impacto",M200)</f>
        <v>0</v>
      </c>
      <c r="O200" s="430"/>
      <c r="P200" s="431"/>
      <c r="Q200" s="433"/>
      <c r="R200" s="316">
        <v>2</v>
      </c>
      <c r="S200" s="330" t="s">
        <v>928</v>
      </c>
      <c r="T200" s="312" t="s">
        <v>293</v>
      </c>
      <c r="U200" s="302" t="str">
        <f>IF(OR(V200="Preventivo",V200="Detectivo"),"Probabilidad",IF(V200="Correctivo","Impacto",""))</f>
        <v>Probabilidad</v>
      </c>
      <c r="V200" s="237" t="s">
        <v>13</v>
      </c>
      <c r="W200" s="237" t="s">
        <v>8</v>
      </c>
      <c r="X200" s="209" t="str">
        <f>IF(AND(V200="Preventivo",W200="Automático"),"50%",IF(AND(V200="Preventivo",W200="Manual"),"40%",IF(AND(V200="Detectivo",W200="Automático"),"40%",IF(AND(V200="Detectivo",W200="Manual"),"30%",IF(AND(V200="Correctivo",W200="Automático"),"35%",IF(AND(V200="Correctivo",W200="Manual"),"25%",""))))))</f>
        <v>40%</v>
      </c>
      <c r="Y200" s="237" t="s">
        <v>18</v>
      </c>
      <c r="Z200" s="237" t="s">
        <v>21</v>
      </c>
      <c r="AA200" s="237" t="s">
        <v>103</v>
      </c>
      <c r="AB200" s="210">
        <f t="shared" ref="AB200" si="381">IFERROR(IF(AND(U199="Probabilidad",U200="Probabilidad"),(AD199-(+AD199*X200)),IF(U200="Probabilidad",(L199-(+L199*X200)),IF(U200="Impacto",AD199,""))),"")</f>
        <v>0.28799999999999998</v>
      </c>
      <c r="AC200" s="211" t="str">
        <f t="shared" ref="AC200:AC204" si="382">IFERROR(IF(AB200="","",IF(AB200&lt;=0.2,"Muy Baja",IF(AB200&lt;=0.4,"Baja",IF(AB200&lt;=0.6,"Media",IF(AB200&lt;=0.8,"Alta","Muy Alta"))))),"")</f>
        <v>Baja</v>
      </c>
      <c r="AD200" s="209">
        <f>+AB200</f>
        <v>0.28799999999999998</v>
      </c>
      <c r="AE200" s="211" t="str">
        <f t="shared" ref="AE200:AE204" ca="1" si="383">IFERROR(IF(AF200="","",IF(AF200&lt;=0.2,"Leve",IF(AF200&lt;=0.4,"Menor",IF(AF200&lt;=0.6,"Moderado",IF(AF200&lt;=0.8,"Mayor","Catastrófico"))))),"")</f>
        <v>Mayor</v>
      </c>
      <c r="AF200" s="209">
        <f ca="1">IFERROR(IF(AND(U199="Impacto",U200="Impacto"),(AF199-(+AF199*X200)),IF(U200="Impacto",($P$37-(+$P$37*X200)),IF(U200="Probabilidad",AF199,""))),"")</f>
        <v>0.8</v>
      </c>
      <c r="AG200" s="212" t="str">
        <f t="shared" ref="AG200:AG201" ca="1" si="384">IFERROR(IF(OR(AND(AC200="Muy Baja",AE200="Leve"),AND(AC200="Muy Baja",AE200="Menor"),AND(AC200="Baja",AE200="Leve")),"Bajo",IF(OR(AND(AC200="Muy baja",AE200="Moderado"),AND(AC200="Baja",AE200="Menor"),AND(AC200="Baja",AE200="Moderado"),AND(AC200="Media",AE200="Leve"),AND(AC200="Media",AE200="Menor"),AND(AC200="Media",AE200="Moderado"),AND(AC200="Alta",AE200="Leve"),AND(AC200="Alta",AE200="Menor")),"Moderado",IF(OR(AND(AC200="Muy Baja",AE200="Mayor"),AND(AC200="Baja",AE200="Mayor"),AND(AC200="Media",AE200="Mayor"),AND(AC200="Alta",AE200="Moderado"),AND(AC200="Alta",AE200="Mayor"),AND(AC200="Muy Alta",AE200="Leve"),AND(AC200="Muy Alta",AE200="Menor"),AND(AC200="Muy Alta",AE200="Moderado"),AND(AC200="Muy Alta",AE200="Mayor")),"Alto",IF(OR(AND(AC200="Muy Baja",AE200="Catastrófico"),AND(AC200="Baja",AE200="Catastrófico"),AND(AC200="Media",AE200="Catastrófico"),AND(AC200="Alta",AE200="Catastrófico"),AND(AC200="Muy Alta",AE200="Catastrófico")),"Extremo","")))),"")</f>
        <v>Alto</v>
      </c>
      <c r="AH200" s="237" t="s">
        <v>26</v>
      </c>
      <c r="AI200" s="318">
        <v>0</v>
      </c>
      <c r="AJ200" s="318">
        <v>0</v>
      </c>
      <c r="AK200" s="318">
        <v>0</v>
      </c>
      <c r="AL200" s="318">
        <v>0</v>
      </c>
      <c r="AM200" s="318">
        <v>0</v>
      </c>
      <c r="AN200" s="307"/>
      <c r="AO200" s="307"/>
      <c r="AP200" s="259"/>
      <c r="AQ200" s="220"/>
      <c r="AR200" s="307"/>
      <c r="AS200" s="323"/>
      <c r="AT200" s="323"/>
      <c r="AU200" s="323"/>
      <c r="AV200" s="323"/>
      <c r="AW200" s="323"/>
      <c r="AX200" s="323"/>
      <c r="AY200" s="323"/>
      <c r="AZ200" s="323"/>
      <c r="BA200" s="323"/>
      <c r="BB200" s="323"/>
      <c r="BC200" s="323"/>
      <c r="BD200" s="323"/>
      <c r="BE200" s="323"/>
      <c r="BF200" s="323"/>
      <c r="BG200" s="323"/>
      <c r="BH200" s="323"/>
      <c r="BI200" s="323"/>
      <c r="BJ200" s="323"/>
      <c r="BK200" s="323"/>
      <c r="BL200" s="323"/>
      <c r="BM200" s="323"/>
      <c r="BN200" s="323"/>
      <c r="BO200" s="323"/>
      <c r="BP200" s="323"/>
      <c r="BQ200" s="323"/>
      <c r="BR200" s="323"/>
      <c r="BS200" s="323"/>
      <c r="BT200" s="323"/>
      <c r="BU200" s="323"/>
      <c r="BV200" s="323"/>
      <c r="BW200" s="323"/>
      <c r="BX200" s="323"/>
      <c r="BY200" s="323"/>
    </row>
    <row r="201" spans="1:77" s="113" customFormat="1" ht="7.5" hidden="1" customHeight="1" x14ac:dyDescent="0.2">
      <c r="A201" s="437"/>
      <c r="B201" s="438"/>
      <c r="C201" s="434"/>
      <c r="D201" s="434"/>
      <c r="E201" s="434"/>
      <c r="F201" s="435"/>
      <c r="G201" s="436"/>
      <c r="H201" s="435"/>
      <c r="I201" s="435"/>
      <c r="J201" s="439"/>
      <c r="K201" s="430"/>
      <c r="L201" s="431"/>
      <c r="M201" s="432"/>
      <c r="N201" s="310">
        <f ca="1">IF(NOT(ISERROR(MATCH(M201,_xlfn.ANCHORARRAY(G44),0))),L46&amp;"Por favor no seleccionar los criterios de impacto",M201)</f>
        <v>0</v>
      </c>
      <c r="O201" s="430"/>
      <c r="P201" s="431"/>
      <c r="Q201" s="433"/>
      <c r="R201" s="316">
        <v>3</v>
      </c>
      <c r="S201" s="330"/>
      <c r="T201" s="312"/>
      <c r="U201" s="302" t="str">
        <f>IF(OR(V201="Preventivo",V201="Detectivo"),"Probabilidad",IF(V201="Correctivo","Impacto",""))</f>
        <v/>
      </c>
      <c r="V201" s="237"/>
      <c r="W201" s="237"/>
      <c r="X201" s="209" t="str">
        <f>IF(AND(V201="Preventivo",W201="Automático"),"50%",IF(AND(V201="Preventivo",W201="Manual"),"40%",IF(AND(V201="Detectivo",W201="Automático"),"40%",IF(AND(V201="Detectivo",W201="Manual"),"30%",IF(AND(V201="Correctivo",W201="Automático"),"35%",IF(AND(V201="Correctivo",W201="Manual"),"25%",""))))))</f>
        <v/>
      </c>
      <c r="Y201" s="237"/>
      <c r="Z201" s="237"/>
      <c r="AA201" s="237"/>
      <c r="AB201" s="210" t="str">
        <f t="shared" ref="AB201:AB204" si="385">IFERROR(IF(AND(U200="Probabilidad",U201="Probabilidad"),(AD200-(+AD200*X201)),IF(AND(U200="Impacto",U201="Probabilidad"),(AD199-(+AD199*X201)),IF(U201="Impacto",AD200,""))),"")</f>
        <v/>
      </c>
      <c r="AC201" s="211" t="str">
        <f t="shared" si="382"/>
        <v/>
      </c>
      <c r="AD201" s="209" t="str">
        <f t="shared" ref="AD201:AD204" si="386">+AB201</f>
        <v/>
      </c>
      <c r="AE201" s="211" t="str">
        <f t="shared" si="383"/>
        <v/>
      </c>
      <c r="AF201" s="209" t="str">
        <f>IFERROR(IF(AND(U200="Impacto",U201="Impacto"),(AF200-(+AF200*X201)),IF(U201="Impacto",($P$31-(+$P$31*X201)),IF(U201="Probabilidad",AF200,""))),"")</f>
        <v/>
      </c>
      <c r="AG201" s="212" t="str">
        <f t="shared" si="384"/>
        <v/>
      </c>
      <c r="AH201" s="237"/>
      <c r="AI201" s="318"/>
      <c r="AJ201" s="318"/>
      <c r="AK201" s="318"/>
      <c r="AL201" s="318"/>
      <c r="AM201" s="318"/>
      <c r="AN201" s="307"/>
      <c r="AO201" s="307"/>
      <c r="AP201" s="259"/>
      <c r="AQ201" s="220"/>
      <c r="AR201" s="307"/>
      <c r="AS201" s="323"/>
      <c r="AT201" s="323"/>
      <c r="AU201" s="323"/>
      <c r="AV201" s="323"/>
      <c r="AW201" s="323"/>
      <c r="AX201" s="323"/>
      <c r="AY201" s="323"/>
      <c r="AZ201" s="323"/>
      <c r="BA201" s="323"/>
      <c r="BB201" s="323"/>
      <c r="BC201" s="323"/>
      <c r="BD201" s="323"/>
      <c r="BE201" s="323"/>
      <c r="BF201" s="323"/>
      <c r="BG201" s="323"/>
      <c r="BH201" s="323"/>
      <c r="BI201" s="323"/>
      <c r="BJ201" s="323"/>
      <c r="BK201" s="323"/>
      <c r="BL201" s="323"/>
      <c r="BM201" s="323"/>
      <c r="BN201" s="323"/>
      <c r="BO201" s="323"/>
      <c r="BP201" s="323"/>
      <c r="BQ201" s="323"/>
      <c r="BR201" s="323"/>
      <c r="BS201" s="323"/>
      <c r="BT201" s="323"/>
      <c r="BU201" s="323"/>
      <c r="BV201" s="323"/>
      <c r="BW201" s="323"/>
      <c r="BX201" s="323"/>
      <c r="BY201" s="323"/>
    </row>
    <row r="202" spans="1:77" s="113" customFormat="1" ht="7.5" hidden="1" customHeight="1" x14ac:dyDescent="0.2">
      <c r="A202" s="437"/>
      <c r="B202" s="438"/>
      <c r="C202" s="434"/>
      <c r="D202" s="434"/>
      <c r="E202" s="434"/>
      <c r="F202" s="435"/>
      <c r="G202" s="436"/>
      <c r="H202" s="435"/>
      <c r="I202" s="435"/>
      <c r="J202" s="439"/>
      <c r="K202" s="430"/>
      <c r="L202" s="431"/>
      <c r="M202" s="432"/>
      <c r="N202" s="310">
        <f ca="1">IF(NOT(ISERROR(MATCH(M202,_xlfn.ANCHORARRAY(G45),0))),L47&amp;"Por favor no seleccionar los criterios de impacto",M202)</f>
        <v>0</v>
      </c>
      <c r="O202" s="430"/>
      <c r="P202" s="431"/>
      <c r="Q202" s="433"/>
      <c r="R202" s="316">
        <v>4</v>
      </c>
      <c r="S202" s="330"/>
      <c r="T202" s="312"/>
      <c r="U202" s="208" t="str">
        <f t="shared" ref="U202:U204" si="387">IF(OR(V202="Preventivo",V202="Detectivo"),"Probabilidad",IF(V202="Correctivo","Impacto",""))</f>
        <v/>
      </c>
      <c r="V202" s="237"/>
      <c r="W202" s="237"/>
      <c r="X202" s="209" t="str">
        <f t="shared" ref="X202:X204" si="388">IF(AND(V202="Preventivo",W202="Automático"),"50%",IF(AND(V202="Preventivo",W202="Manual"),"40%",IF(AND(V202="Detectivo",W202="Automático"),"40%",IF(AND(V202="Detectivo",W202="Manual"),"30%",IF(AND(V202="Correctivo",W202="Automático"),"35%",IF(AND(V202="Correctivo",W202="Manual"),"25%",""))))))</f>
        <v/>
      </c>
      <c r="Y202" s="237"/>
      <c r="Z202" s="237"/>
      <c r="AA202" s="237"/>
      <c r="AB202" s="210" t="str">
        <f t="shared" si="385"/>
        <v/>
      </c>
      <c r="AC202" s="211" t="str">
        <f t="shared" si="382"/>
        <v/>
      </c>
      <c r="AD202" s="209" t="str">
        <f t="shared" si="386"/>
        <v/>
      </c>
      <c r="AE202" s="211" t="str">
        <f t="shared" si="383"/>
        <v/>
      </c>
      <c r="AF202" s="209" t="str">
        <f t="shared" ref="AF202:AF203" si="389">IFERROR(IF(AND(U201="Impacto",U202="Impacto"),(AF201-(+AF201*X202)),IF(U202="Impacto",($P$31-(+$P$31*X202)),IF(U202="Probabilidad",AF201,""))),"")</f>
        <v/>
      </c>
      <c r="AG202" s="212" t="str">
        <f>IFERROR(IF(OR(AND(AC202="Muy Baja",AE202="Leve"),AND(AC202="Muy Baja",AE202="Menor"),AND(AC202="Baja",AE202="Leve")),"Bajo",IF(OR(AND(AC202="Muy baja",AE202="Moderado"),AND(AC202="Baja",AE202="Menor"),AND(AC202="Baja",AE202="Moderado"),AND(AC202="Media",AE202="Leve"),AND(AC202="Media",AE202="Menor"),AND(AC202="Media",AE202="Moderado"),AND(AC202="Alta",AE202="Leve"),AND(AC202="Alta",AE202="Menor")),"Moderado",IF(OR(AND(AC202="Muy Baja",AE202="Mayor"),AND(AC202="Baja",AE202="Mayor"),AND(AC202="Media",AE202="Mayor"),AND(AC202="Alta",AE202="Moderado"),AND(AC202="Alta",AE202="Mayor"),AND(AC202="Muy Alta",AE202="Leve"),AND(AC202="Muy Alta",AE202="Menor"),AND(AC202="Muy Alta",AE202="Moderado"),AND(AC202="Muy Alta",AE202="Mayor")),"Alto",IF(OR(AND(AC202="Muy Baja",AE202="Catastrófico"),AND(AC202="Baja",AE202="Catastrófico"),AND(AC202="Media",AE202="Catastrófico"),AND(AC202="Alta",AE202="Catastrófico"),AND(AC202="Muy Alta",AE202="Catastrófico")),"Extremo","")))),"")</f>
        <v/>
      </c>
      <c r="AH202" s="237"/>
      <c r="AI202" s="318"/>
      <c r="AJ202" s="318"/>
      <c r="AK202" s="318"/>
      <c r="AL202" s="318"/>
      <c r="AM202" s="318"/>
      <c r="AN202" s="213"/>
      <c r="AO202" s="213"/>
      <c r="AP202" s="308"/>
      <c r="AQ202" s="220"/>
      <c r="AR202" s="213"/>
      <c r="AS202" s="323"/>
      <c r="AT202" s="323"/>
      <c r="AU202" s="323"/>
      <c r="AV202" s="323"/>
      <c r="AW202" s="323"/>
      <c r="AX202" s="323"/>
      <c r="AY202" s="323"/>
      <c r="AZ202" s="323"/>
      <c r="BA202" s="323"/>
      <c r="BB202" s="323"/>
      <c r="BC202" s="323"/>
      <c r="BD202" s="323"/>
      <c r="BE202" s="323"/>
      <c r="BF202" s="323"/>
      <c r="BG202" s="323"/>
      <c r="BH202" s="323"/>
      <c r="BI202" s="323"/>
      <c r="BJ202" s="323"/>
      <c r="BK202" s="323"/>
      <c r="BL202" s="323"/>
      <c r="BM202" s="323"/>
      <c r="BN202" s="323"/>
      <c r="BO202" s="323"/>
      <c r="BP202" s="323"/>
      <c r="BQ202" s="323"/>
      <c r="BR202" s="323"/>
      <c r="BS202" s="323"/>
      <c r="BT202" s="323"/>
      <c r="BU202" s="323"/>
      <c r="BV202" s="323"/>
      <c r="BW202" s="323"/>
      <c r="BX202" s="323"/>
      <c r="BY202" s="323"/>
    </row>
    <row r="203" spans="1:77" s="113" customFormat="1" ht="7.5" hidden="1" customHeight="1" x14ac:dyDescent="0.2">
      <c r="A203" s="437"/>
      <c r="B203" s="438"/>
      <c r="C203" s="434"/>
      <c r="D203" s="434"/>
      <c r="E203" s="434"/>
      <c r="F203" s="435"/>
      <c r="G203" s="436"/>
      <c r="H203" s="435"/>
      <c r="I203" s="435"/>
      <c r="J203" s="439"/>
      <c r="K203" s="430"/>
      <c r="L203" s="431"/>
      <c r="M203" s="432"/>
      <c r="N203" s="310">
        <f ca="1">IF(NOT(ISERROR(MATCH(M203,_xlfn.ANCHORARRAY(G46),0))),L48&amp;"Por favor no seleccionar los criterios de impacto",M203)</f>
        <v>0</v>
      </c>
      <c r="O203" s="430"/>
      <c r="P203" s="431"/>
      <c r="Q203" s="433"/>
      <c r="R203" s="316">
        <v>5</v>
      </c>
      <c r="S203" s="330"/>
      <c r="T203" s="312"/>
      <c r="U203" s="208" t="str">
        <f t="shared" si="387"/>
        <v/>
      </c>
      <c r="V203" s="237"/>
      <c r="W203" s="237"/>
      <c r="X203" s="209" t="str">
        <f t="shared" si="388"/>
        <v/>
      </c>
      <c r="Y203" s="237"/>
      <c r="Z203" s="237"/>
      <c r="AA203" s="237"/>
      <c r="AB203" s="210" t="str">
        <f t="shared" si="385"/>
        <v/>
      </c>
      <c r="AC203" s="211" t="str">
        <f t="shared" si="382"/>
        <v/>
      </c>
      <c r="AD203" s="209" t="str">
        <f t="shared" si="386"/>
        <v/>
      </c>
      <c r="AE203" s="211" t="str">
        <f t="shared" si="383"/>
        <v/>
      </c>
      <c r="AF203" s="209" t="str">
        <f t="shared" si="389"/>
        <v/>
      </c>
      <c r="AG203" s="212" t="str">
        <f t="shared" ref="AG203:AG204" si="390">IFERROR(IF(OR(AND(AC203="Muy Baja",AE203="Leve"),AND(AC203="Muy Baja",AE203="Menor"),AND(AC203="Baja",AE203="Leve")),"Bajo",IF(OR(AND(AC203="Muy baja",AE203="Moderado"),AND(AC203="Baja",AE203="Menor"),AND(AC203="Baja",AE203="Moderado"),AND(AC203="Media",AE203="Leve"),AND(AC203="Media",AE203="Menor"),AND(AC203="Media",AE203="Moderado"),AND(AC203="Alta",AE203="Leve"),AND(AC203="Alta",AE203="Menor")),"Moderado",IF(OR(AND(AC203="Muy Baja",AE203="Mayor"),AND(AC203="Baja",AE203="Mayor"),AND(AC203="Media",AE203="Mayor"),AND(AC203="Alta",AE203="Moderado"),AND(AC203="Alta",AE203="Mayor"),AND(AC203="Muy Alta",AE203="Leve"),AND(AC203="Muy Alta",AE203="Menor"),AND(AC203="Muy Alta",AE203="Moderado"),AND(AC203="Muy Alta",AE203="Mayor")),"Alto",IF(OR(AND(AC203="Muy Baja",AE203="Catastrófico"),AND(AC203="Baja",AE203="Catastrófico"),AND(AC203="Media",AE203="Catastrófico"),AND(AC203="Alta",AE203="Catastrófico"),AND(AC203="Muy Alta",AE203="Catastrófico")),"Extremo","")))),"")</f>
        <v/>
      </c>
      <c r="AH203" s="237"/>
      <c r="AI203" s="318"/>
      <c r="AJ203" s="318"/>
      <c r="AK203" s="318"/>
      <c r="AL203" s="318"/>
      <c r="AM203" s="318"/>
      <c r="AN203" s="305"/>
      <c r="AO203" s="305"/>
      <c r="AP203" s="306"/>
      <c r="AQ203" s="216"/>
      <c r="AR203" s="216"/>
      <c r="AS203" s="323"/>
      <c r="AT203" s="323"/>
      <c r="AU203" s="323"/>
      <c r="AV203" s="323"/>
      <c r="AW203" s="323"/>
      <c r="AX203" s="323"/>
      <c r="AY203" s="323"/>
      <c r="AZ203" s="323"/>
      <c r="BA203" s="323"/>
      <c r="BB203" s="323"/>
      <c r="BC203" s="323"/>
      <c r="BD203" s="323"/>
      <c r="BE203" s="323"/>
      <c r="BF203" s="323"/>
      <c r="BG203" s="323"/>
      <c r="BH203" s="323"/>
      <c r="BI203" s="323"/>
      <c r="BJ203" s="323"/>
      <c r="BK203" s="323"/>
      <c r="BL203" s="323"/>
      <c r="BM203" s="323"/>
      <c r="BN203" s="323"/>
      <c r="BO203" s="323"/>
      <c r="BP203" s="323"/>
      <c r="BQ203" s="323"/>
      <c r="BR203" s="323"/>
      <c r="BS203" s="323"/>
      <c r="BT203" s="323"/>
      <c r="BU203" s="323"/>
      <c r="BV203" s="323"/>
      <c r="BW203" s="323"/>
      <c r="BX203" s="323"/>
      <c r="BY203" s="323"/>
    </row>
    <row r="204" spans="1:77" s="113" customFormat="1" ht="7.5" hidden="1" customHeight="1" x14ac:dyDescent="0.2">
      <c r="A204" s="437"/>
      <c r="B204" s="438"/>
      <c r="C204" s="434"/>
      <c r="D204" s="434"/>
      <c r="E204" s="434"/>
      <c r="F204" s="435"/>
      <c r="G204" s="436"/>
      <c r="H204" s="435"/>
      <c r="I204" s="435"/>
      <c r="J204" s="439"/>
      <c r="K204" s="430"/>
      <c r="L204" s="431"/>
      <c r="M204" s="432"/>
      <c r="N204" s="310">
        <f ca="1">IF(NOT(ISERROR(MATCH(M204,_xlfn.ANCHORARRAY(G47),0))),L49&amp;"Por favor no seleccionar los criterios de impacto",M204)</f>
        <v>0</v>
      </c>
      <c r="O204" s="430"/>
      <c r="P204" s="431"/>
      <c r="Q204" s="433"/>
      <c r="R204" s="316">
        <v>6</v>
      </c>
      <c r="S204" s="330"/>
      <c r="T204" s="312"/>
      <c r="U204" s="208" t="str">
        <f t="shared" si="387"/>
        <v/>
      </c>
      <c r="V204" s="237"/>
      <c r="W204" s="237"/>
      <c r="X204" s="209" t="str">
        <f t="shared" si="388"/>
        <v/>
      </c>
      <c r="Y204" s="237"/>
      <c r="Z204" s="237"/>
      <c r="AA204" s="237"/>
      <c r="AB204" s="210" t="str">
        <f t="shared" si="385"/>
        <v/>
      </c>
      <c r="AC204" s="211" t="str">
        <f t="shared" si="382"/>
        <v/>
      </c>
      <c r="AD204" s="209" t="str">
        <f t="shared" si="386"/>
        <v/>
      </c>
      <c r="AE204" s="211" t="str">
        <f t="shared" si="383"/>
        <v/>
      </c>
      <c r="AF204" s="209" t="str">
        <f>IFERROR(IF(AND(U203="Impacto",U204="Impacto"),(AF203-(+AF203*X204)),IF(U204="Impacto",($P$31-(+$P$31*X204)),IF(U204="Probabilidad",AF203,""))),"")</f>
        <v/>
      </c>
      <c r="AG204" s="212" t="str">
        <f t="shared" si="390"/>
        <v/>
      </c>
      <c r="AH204" s="237"/>
      <c r="AI204" s="318"/>
      <c r="AJ204" s="318"/>
      <c r="AK204" s="318"/>
      <c r="AL204" s="318"/>
      <c r="AM204" s="318"/>
      <c r="AN204" s="305"/>
      <c r="AO204" s="305"/>
      <c r="AP204" s="306"/>
      <c r="AQ204" s="216"/>
      <c r="AR204" s="216"/>
      <c r="AS204" s="323"/>
      <c r="AT204" s="323"/>
      <c r="AU204" s="323"/>
      <c r="AV204" s="323"/>
      <c r="AW204" s="323"/>
      <c r="AX204" s="323"/>
      <c r="AY204" s="323"/>
      <c r="AZ204" s="323"/>
      <c r="BA204" s="323"/>
      <c r="BB204" s="323"/>
      <c r="BC204" s="323"/>
      <c r="BD204" s="323"/>
      <c r="BE204" s="323"/>
      <c r="BF204" s="323"/>
      <c r="BG204" s="323"/>
      <c r="BH204" s="323"/>
      <c r="BI204" s="323"/>
      <c r="BJ204" s="323"/>
      <c r="BK204" s="323"/>
      <c r="BL204" s="323"/>
      <c r="BM204" s="323"/>
      <c r="BN204" s="323"/>
      <c r="BO204" s="323"/>
      <c r="BP204" s="323"/>
      <c r="BQ204" s="323"/>
      <c r="BR204" s="323"/>
      <c r="BS204" s="323"/>
      <c r="BT204" s="323"/>
      <c r="BU204" s="323"/>
      <c r="BV204" s="323"/>
      <c r="BW204" s="323"/>
      <c r="BX204" s="323"/>
      <c r="BY204" s="323"/>
    </row>
    <row r="205" spans="1:77" s="271" customFormat="1" ht="114" x14ac:dyDescent="0.2">
      <c r="A205" s="437" t="s">
        <v>938</v>
      </c>
      <c r="B205" s="438" t="s">
        <v>606</v>
      </c>
      <c r="C205" s="434" t="s">
        <v>621</v>
      </c>
      <c r="D205" s="434" t="s">
        <v>109</v>
      </c>
      <c r="E205" s="434" t="s">
        <v>940</v>
      </c>
      <c r="F205" s="435" t="s">
        <v>941</v>
      </c>
      <c r="G205" s="436" t="s">
        <v>939</v>
      </c>
      <c r="H205" s="435" t="s">
        <v>655</v>
      </c>
      <c r="I205" s="435" t="s">
        <v>753</v>
      </c>
      <c r="J205" s="439">
        <v>80000</v>
      </c>
      <c r="K205" s="430" t="str">
        <f t="shared" ref="K205" si="391">IF(J205&lt;=0,"",IF(J205&lt;=2,"Muy Baja",IF(J205&lt;=24,"Baja",IF(J205&lt;=500,"Media",IF(J205&lt;=5000,"Alta","Muy Alta")))))</f>
        <v>Muy Alta</v>
      </c>
      <c r="L205" s="431">
        <f>IF(K205="","",IF(K205="Muy Baja",0.2,IF(K205="Baja",0.4,IF(K205="Media",0.6,IF(K205="Alta",0.8,IF(K205="Muy Alta",1,))))))</f>
        <v>1</v>
      </c>
      <c r="M205" s="432" t="s">
        <v>122</v>
      </c>
      <c r="N205" s="310" t="str">
        <f ca="1">IF(NOT(ISERROR(MATCH(M205,'Tabla Impacto'!$B$221:$B$223,0))),'Tabla Impacto'!$F$223&amp;"Por favor no seleccionar los criterios de impacto(Afectación Económica o presupuestal y Pérdida Reputacional)",M205)</f>
        <v xml:space="preserve">     El riesgo afecta la imagen de de la entidad con efecto publicitario sostenido a nivel de sector administrativo, nivel departamental o municipal</v>
      </c>
      <c r="O205" s="430" t="str">
        <f ca="1">IF(OR(N205='Tabla Impacto'!$C$11,N205='Tabla Impacto'!$D$11),"Leve",IF(OR(N205='Tabla Impacto'!$C$12,N205='Tabla Impacto'!$D$12),"Menor",IF(OR(N205='Tabla Impacto'!$C$13,N205='Tabla Impacto'!$D$13),"Moderado",IF(OR(N205='Tabla Impacto'!$C$14,N205='Tabla Impacto'!$D$14),"Mayor",IF(OR(N205='Tabla Impacto'!$C$15,N205='Tabla Impacto'!$D$15),"Catastrófico","")))))</f>
        <v>Mayor</v>
      </c>
      <c r="P205" s="431">
        <f ca="1">IF(O205="","",IF(O205="Leve",0.2,IF(O205="Menor",0.4,IF(O205="Moderado",0.6,IF(O205="Mayor",0.8,IF(O205="Catastrófico",1,))))))</f>
        <v>0.8</v>
      </c>
      <c r="Q205" s="433" t="str">
        <f ca="1">IF(OR(AND(K205="Muy Baja",O205="Leve"),AND(K205="Muy Baja",O205="Menor"),AND(K205="Baja",O205="Leve")),"Bajo",IF(OR(AND(K205="Muy baja",O205="Moderado"),AND(K205="Baja",O205="Menor"),AND(K205="Baja",O205="Moderado"),AND(K205="Media",O205="Leve"),AND(K205="Media",O205="Menor"),AND(K205="Media",O205="Moderado"),AND(K205="Alta",O205="Leve"),AND(K205="Alta",O205="Menor")),"Moderado",IF(OR(AND(K205="Muy Baja",O205="Mayor"),AND(K205="Baja",O205="Mayor"),AND(K205="Media",O205="Mayor"),AND(K205="Alta",O205="Moderado"),AND(K205="Alta",O205="Mayor"),AND(K205="Muy Alta",O205="Leve"),AND(K205="Muy Alta",O205="Menor"),AND(K205="Muy Alta",O205="Moderado"),AND(K205="Muy Alta",O205="Mayor")),"Alto",IF(OR(AND(K205="Muy Baja",O205="Catastrófico"),AND(K205="Baja",O205="Catastrófico"),AND(K205="Media",O205="Catastrófico"),AND(K205="Alta",O205="Catastrófico"),AND(K205="Muy Alta",O205="Catastrófico")),"Extremo",""))))</f>
        <v>Alto</v>
      </c>
      <c r="R205" s="261">
        <v>1</v>
      </c>
      <c r="S205" s="334" t="s">
        <v>942</v>
      </c>
      <c r="T205" s="272" t="s">
        <v>293</v>
      </c>
      <c r="U205" s="262" t="str">
        <f>IF(OR(V205="Preventivo",V205="Detectivo"),"Probabilidad",IF(V205="Correctivo","Impacto",""))</f>
        <v>Probabilidad</v>
      </c>
      <c r="V205" s="263" t="s">
        <v>13</v>
      </c>
      <c r="W205" s="263" t="s">
        <v>8</v>
      </c>
      <c r="X205" s="264" t="str">
        <f>IF(AND(V205="Preventivo",W205="Automático"),"50%",IF(AND(V205="Preventivo",W205="Manual"),"40%",IF(AND(V205="Detectivo",W205="Automático"),"40%",IF(AND(V205="Detectivo",W205="Manual"),"30%",IF(AND(V205="Correctivo",W205="Automático"),"35%",IF(AND(V205="Correctivo",W205="Manual"),"25%",""))))))</f>
        <v>40%</v>
      </c>
      <c r="Y205" s="263" t="s">
        <v>18</v>
      </c>
      <c r="Z205" s="263" t="s">
        <v>21</v>
      </c>
      <c r="AA205" s="263" t="s">
        <v>103</v>
      </c>
      <c r="AB205" s="265">
        <f t="shared" ref="AB205" si="392">IFERROR(IF(U205="Probabilidad",(L205-(+L205*X205)),IF(U205="Impacto",L205,"")),"")</f>
        <v>0.6</v>
      </c>
      <c r="AC205" s="266" t="str">
        <f>IFERROR(IF(AB205="","",IF(AB205&lt;=0.2,"Muy Baja",IF(AB205&lt;=0.4,"Baja",IF(AB205&lt;=0.6,"Media",IF(AB205&lt;=0.8,"Alta","Muy Alta"))))),"")</f>
        <v>Media</v>
      </c>
      <c r="AD205" s="264">
        <f>+AB205</f>
        <v>0.6</v>
      </c>
      <c r="AE205" s="266" t="str">
        <f ca="1">IFERROR(IF(AF205="","",IF(AF205&lt;=0.2,"Leve",IF(AF205&lt;=0.4,"Menor",IF(AF205&lt;=0.6,"Moderado",IF(AF205&lt;=0.8,"Mayor","Catastrófico"))))),"")</f>
        <v>Mayor</v>
      </c>
      <c r="AF205" s="264">
        <f ca="1">IFERROR(IF(U205="Impacto",(P205-(+P205*X205)),IF(U205="Probabilidad",P205,"")),"")</f>
        <v>0.8</v>
      </c>
      <c r="AG205" s="267" t="str">
        <f ca="1">IFERROR(IF(OR(AND(AC205="Muy Baja",AE205="Leve"),AND(AC205="Muy Baja",AE205="Menor"),AND(AC205="Baja",AE205="Leve")),"Bajo",IF(OR(AND(AC205="Muy baja",AE205="Moderado"),AND(AC205="Baja",AE205="Menor"),AND(AC205="Baja",AE205="Moderado"),AND(AC205="Media",AE205="Leve"),AND(AC205="Media",AE205="Menor"),AND(AC205="Media",AE205="Moderado"),AND(AC205="Alta",AE205="Leve"),AND(AC205="Alta",AE205="Menor")),"Moderado",IF(OR(AND(AC205="Muy Baja",AE205="Mayor"),AND(AC205="Baja",AE205="Mayor"),AND(AC205="Media",AE205="Mayor"),AND(AC205="Alta",AE205="Moderado"),AND(AC205="Alta",AE205="Mayor"),AND(AC205="Muy Alta",AE205="Leve"),AND(AC205="Muy Alta",AE205="Menor"),AND(AC205="Muy Alta",AE205="Moderado"),AND(AC205="Muy Alta",AE205="Mayor")),"Alto",IF(OR(AND(AC205="Muy Baja",AE205="Catastrófico"),AND(AC205="Baja",AE205="Catastrófico"),AND(AC205="Media",AE205="Catastrófico"),AND(AC205="Alta",AE205="Catastrófico"),AND(AC205="Muy Alta",AE205="Catastrófico")),"Extremo","")))),"")</f>
        <v>Alto</v>
      </c>
      <c r="AH205" s="263" t="s">
        <v>26</v>
      </c>
      <c r="AI205" s="273">
        <v>12</v>
      </c>
      <c r="AJ205" s="273">
        <v>3</v>
      </c>
      <c r="AK205" s="273">
        <v>3</v>
      </c>
      <c r="AL205" s="273">
        <v>3</v>
      </c>
      <c r="AM205" s="273">
        <v>3</v>
      </c>
      <c r="AN205" s="268"/>
      <c r="AO205" s="268"/>
      <c r="AP205" s="258"/>
      <c r="AQ205" s="269"/>
      <c r="AR205" s="270"/>
      <c r="AS205" s="323"/>
      <c r="AT205" s="323"/>
      <c r="AU205" s="323"/>
      <c r="AV205" s="323"/>
      <c r="AW205" s="323"/>
      <c r="AX205" s="323"/>
      <c r="AY205" s="323"/>
      <c r="AZ205" s="323"/>
      <c r="BA205" s="323"/>
      <c r="BB205" s="323"/>
      <c r="BC205" s="323"/>
      <c r="BD205" s="323"/>
      <c r="BE205" s="323"/>
      <c r="BF205" s="323"/>
      <c r="BG205" s="323"/>
      <c r="BH205" s="323"/>
      <c r="BI205" s="323"/>
      <c r="BJ205" s="323"/>
      <c r="BK205" s="323"/>
      <c r="BL205" s="323"/>
      <c r="BM205" s="323"/>
      <c r="BN205" s="323"/>
      <c r="BO205" s="323"/>
      <c r="BP205" s="323"/>
      <c r="BQ205" s="323"/>
      <c r="BR205" s="323"/>
      <c r="BS205" s="323"/>
      <c r="BT205" s="323"/>
      <c r="BU205" s="323"/>
      <c r="BV205" s="323"/>
      <c r="BW205" s="323"/>
      <c r="BX205" s="323"/>
      <c r="BY205" s="323"/>
    </row>
    <row r="206" spans="1:77" s="113" customFormat="1" ht="114" x14ac:dyDescent="0.2">
      <c r="A206" s="437"/>
      <c r="B206" s="438"/>
      <c r="C206" s="434"/>
      <c r="D206" s="434"/>
      <c r="E206" s="434"/>
      <c r="F206" s="435"/>
      <c r="G206" s="436"/>
      <c r="H206" s="435"/>
      <c r="I206" s="435"/>
      <c r="J206" s="439"/>
      <c r="K206" s="430"/>
      <c r="L206" s="431"/>
      <c r="M206" s="432"/>
      <c r="N206" s="310">
        <f ca="1">IF(NOT(ISERROR(MATCH(M206,_xlfn.ANCHORARRAY(G49),0))),L51&amp;"Por favor no seleccionar los criterios de impacto",M206)</f>
        <v>0</v>
      </c>
      <c r="O206" s="430"/>
      <c r="P206" s="431"/>
      <c r="Q206" s="433"/>
      <c r="R206" s="316">
        <v>2</v>
      </c>
      <c r="S206" s="330" t="s">
        <v>943</v>
      </c>
      <c r="T206" s="312" t="s">
        <v>293</v>
      </c>
      <c r="U206" s="302" t="str">
        <f>IF(OR(V206="Preventivo",V206="Detectivo"),"Probabilidad",IF(V206="Correctivo","Impacto",""))</f>
        <v>Probabilidad</v>
      </c>
      <c r="V206" s="237" t="s">
        <v>13</v>
      </c>
      <c r="W206" s="237" t="s">
        <v>8</v>
      </c>
      <c r="X206" s="209" t="str">
        <f>IF(AND(V206="Preventivo",W206="Automático"),"50%",IF(AND(V206="Preventivo",W206="Manual"),"40%",IF(AND(V206="Detectivo",W206="Automático"),"40%",IF(AND(V206="Detectivo",W206="Manual"),"30%",IF(AND(V206="Correctivo",W206="Automático"),"35%",IF(AND(V206="Correctivo",W206="Manual"),"25%",""))))))</f>
        <v>40%</v>
      </c>
      <c r="Y206" s="237" t="s">
        <v>18</v>
      </c>
      <c r="Z206" s="237" t="s">
        <v>21</v>
      </c>
      <c r="AA206" s="237" t="s">
        <v>103</v>
      </c>
      <c r="AB206" s="210">
        <f t="shared" ref="AB206" si="393">IFERROR(IF(AND(U205="Probabilidad",U206="Probabilidad"),(AD205-(+AD205*X206)),IF(U206="Probabilidad",(L205-(+L205*X206)),IF(U206="Impacto",AD205,""))),"")</f>
        <v>0.36</v>
      </c>
      <c r="AC206" s="211" t="str">
        <f t="shared" ref="AC206:AC210" si="394">IFERROR(IF(AB206="","",IF(AB206&lt;=0.2,"Muy Baja",IF(AB206&lt;=0.4,"Baja",IF(AB206&lt;=0.6,"Media",IF(AB206&lt;=0.8,"Alta","Muy Alta"))))),"")</f>
        <v>Baja</v>
      </c>
      <c r="AD206" s="209">
        <f>+AB206</f>
        <v>0.36</v>
      </c>
      <c r="AE206" s="211" t="str">
        <f t="shared" ref="AE206:AE210" ca="1" si="395">IFERROR(IF(AF206="","",IF(AF206&lt;=0.2,"Leve",IF(AF206&lt;=0.4,"Menor",IF(AF206&lt;=0.6,"Moderado",IF(AF206&lt;=0.8,"Mayor","Catastrófico"))))),"")</f>
        <v>Mayor</v>
      </c>
      <c r="AF206" s="209">
        <f ca="1">IFERROR(IF(AND(U205="Impacto",U206="Impacto"),(AF205-(+AF205*X206)),IF(U206="Impacto",($P$37-(+$P$37*X206)),IF(U206="Probabilidad",AF205,""))),"")</f>
        <v>0.8</v>
      </c>
      <c r="AG206" s="212" t="str">
        <f t="shared" ref="AG206:AG207" ca="1" si="396">IFERROR(IF(OR(AND(AC206="Muy Baja",AE206="Leve"),AND(AC206="Muy Baja",AE206="Menor"),AND(AC206="Baja",AE206="Leve")),"Bajo",IF(OR(AND(AC206="Muy baja",AE206="Moderado"),AND(AC206="Baja",AE206="Menor"),AND(AC206="Baja",AE206="Moderado"),AND(AC206="Media",AE206="Leve"),AND(AC206="Media",AE206="Menor"),AND(AC206="Media",AE206="Moderado"),AND(AC206="Alta",AE206="Leve"),AND(AC206="Alta",AE206="Menor")),"Moderado",IF(OR(AND(AC206="Muy Baja",AE206="Mayor"),AND(AC206="Baja",AE206="Mayor"),AND(AC206="Media",AE206="Mayor"),AND(AC206="Alta",AE206="Moderado"),AND(AC206="Alta",AE206="Mayor"),AND(AC206="Muy Alta",AE206="Leve"),AND(AC206="Muy Alta",AE206="Menor"),AND(AC206="Muy Alta",AE206="Moderado"),AND(AC206="Muy Alta",AE206="Mayor")),"Alto",IF(OR(AND(AC206="Muy Baja",AE206="Catastrófico"),AND(AC206="Baja",AE206="Catastrófico"),AND(AC206="Media",AE206="Catastrófico"),AND(AC206="Alta",AE206="Catastrófico"),AND(AC206="Muy Alta",AE206="Catastrófico")),"Extremo","")))),"")</f>
        <v>Alto</v>
      </c>
      <c r="AH206" s="237" t="s">
        <v>26</v>
      </c>
      <c r="AI206" s="318">
        <v>12</v>
      </c>
      <c r="AJ206" s="318">
        <v>3</v>
      </c>
      <c r="AK206" s="318">
        <v>3</v>
      </c>
      <c r="AL206" s="318">
        <v>3</v>
      </c>
      <c r="AM206" s="318">
        <v>3</v>
      </c>
      <c r="AN206" s="307"/>
      <c r="AO206" s="307"/>
      <c r="AP206" s="259"/>
      <c r="AQ206" s="220"/>
      <c r="AR206" s="307"/>
      <c r="AS206" s="323"/>
      <c r="AT206" s="323"/>
      <c r="AU206" s="323"/>
      <c r="AV206" s="323"/>
      <c r="AW206" s="323"/>
      <c r="AX206" s="323"/>
      <c r="AY206" s="323"/>
      <c r="AZ206" s="323"/>
      <c r="BA206" s="323"/>
      <c r="BB206" s="323"/>
      <c r="BC206" s="323"/>
      <c r="BD206" s="323"/>
      <c r="BE206" s="323"/>
      <c r="BF206" s="323"/>
      <c r="BG206" s="323"/>
      <c r="BH206" s="323"/>
      <c r="BI206" s="323"/>
      <c r="BJ206" s="323"/>
      <c r="BK206" s="323"/>
      <c r="BL206" s="323"/>
      <c r="BM206" s="323"/>
      <c r="BN206" s="323"/>
      <c r="BO206" s="323"/>
      <c r="BP206" s="323"/>
      <c r="BQ206" s="323"/>
      <c r="BR206" s="323"/>
      <c r="BS206" s="323"/>
      <c r="BT206" s="323"/>
      <c r="BU206" s="323"/>
      <c r="BV206" s="323"/>
      <c r="BW206" s="323"/>
      <c r="BX206" s="323"/>
      <c r="BY206" s="323"/>
    </row>
    <row r="207" spans="1:77" s="113" customFormat="1" ht="13.5" hidden="1" customHeight="1" x14ac:dyDescent="0.2">
      <c r="A207" s="437"/>
      <c r="B207" s="438"/>
      <c r="C207" s="434"/>
      <c r="D207" s="434"/>
      <c r="E207" s="434"/>
      <c r="F207" s="435"/>
      <c r="G207" s="436"/>
      <c r="H207" s="435"/>
      <c r="I207" s="435"/>
      <c r="J207" s="439"/>
      <c r="K207" s="430"/>
      <c r="L207" s="431"/>
      <c r="M207" s="432"/>
      <c r="N207" s="310">
        <f ca="1">IF(NOT(ISERROR(MATCH(M207,_xlfn.ANCHORARRAY(G50),0))),L52&amp;"Por favor no seleccionar los criterios de impacto",M207)</f>
        <v>0</v>
      </c>
      <c r="O207" s="430"/>
      <c r="P207" s="431"/>
      <c r="Q207" s="433"/>
      <c r="R207" s="316">
        <v>3</v>
      </c>
      <c r="S207" s="330"/>
      <c r="T207" s="312"/>
      <c r="U207" s="302" t="str">
        <f>IF(OR(V207="Preventivo",V207="Detectivo"),"Probabilidad",IF(V207="Correctivo","Impacto",""))</f>
        <v/>
      </c>
      <c r="V207" s="237"/>
      <c r="W207" s="237"/>
      <c r="X207" s="209" t="str">
        <f>IF(AND(V207="Preventivo",W207="Automático"),"50%",IF(AND(V207="Preventivo",W207="Manual"),"40%",IF(AND(V207="Detectivo",W207="Automático"),"40%",IF(AND(V207="Detectivo",W207="Manual"),"30%",IF(AND(V207="Correctivo",W207="Automático"),"35%",IF(AND(V207="Correctivo",W207="Manual"),"25%",""))))))</f>
        <v/>
      </c>
      <c r="Y207" s="237"/>
      <c r="Z207" s="237"/>
      <c r="AA207" s="237"/>
      <c r="AB207" s="210" t="str">
        <f t="shared" ref="AB207:AB210" si="397">IFERROR(IF(AND(U206="Probabilidad",U207="Probabilidad"),(AD206-(+AD206*X207)),IF(AND(U206="Impacto",U207="Probabilidad"),(AD205-(+AD205*X207)),IF(U207="Impacto",AD206,""))),"")</f>
        <v/>
      </c>
      <c r="AC207" s="211" t="str">
        <f t="shared" si="394"/>
        <v/>
      </c>
      <c r="AD207" s="209" t="str">
        <f t="shared" ref="AD207:AD210" si="398">+AB207</f>
        <v/>
      </c>
      <c r="AE207" s="211" t="str">
        <f t="shared" si="395"/>
        <v/>
      </c>
      <c r="AF207" s="209" t="str">
        <f>IFERROR(IF(AND(U206="Impacto",U207="Impacto"),(AF206-(+AF206*X207)),IF(U207="Impacto",($P$31-(+$P$31*X207)),IF(U207="Probabilidad",AF206,""))),"")</f>
        <v/>
      </c>
      <c r="AG207" s="212" t="str">
        <f t="shared" si="396"/>
        <v/>
      </c>
      <c r="AH207" s="237"/>
      <c r="AI207" s="318"/>
      <c r="AJ207" s="318"/>
      <c r="AK207" s="318"/>
      <c r="AL207" s="318"/>
      <c r="AM207" s="318"/>
      <c r="AN207" s="307"/>
      <c r="AO207" s="307"/>
      <c r="AP207" s="259"/>
      <c r="AQ207" s="220"/>
      <c r="AR207" s="307"/>
      <c r="AS207" s="323"/>
      <c r="AT207" s="323"/>
      <c r="AU207" s="323"/>
      <c r="AV207" s="323"/>
      <c r="AW207" s="323"/>
      <c r="AX207" s="323"/>
      <c r="AY207" s="323"/>
      <c r="AZ207" s="323"/>
      <c r="BA207" s="323"/>
      <c r="BB207" s="323"/>
      <c r="BC207" s="323"/>
      <c r="BD207" s="323"/>
      <c r="BE207" s="323"/>
      <c r="BF207" s="323"/>
      <c r="BG207" s="323"/>
      <c r="BH207" s="323"/>
      <c r="BI207" s="323"/>
      <c r="BJ207" s="323"/>
      <c r="BK207" s="323"/>
      <c r="BL207" s="323"/>
      <c r="BM207" s="323"/>
      <c r="BN207" s="323"/>
      <c r="BO207" s="323"/>
      <c r="BP207" s="323"/>
      <c r="BQ207" s="323"/>
      <c r="BR207" s="323"/>
      <c r="BS207" s="323"/>
      <c r="BT207" s="323"/>
      <c r="BU207" s="323"/>
      <c r="BV207" s="323"/>
      <c r="BW207" s="323"/>
      <c r="BX207" s="323"/>
      <c r="BY207" s="323"/>
    </row>
    <row r="208" spans="1:77" s="113" customFormat="1" ht="13.5" hidden="1" customHeight="1" x14ac:dyDescent="0.2">
      <c r="A208" s="437"/>
      <c r="B208" s="438"/>
      <c r="C208" s="434"/>
      <c r="D208" s="434"/>
      <c r="E208" s="434"/>
      <c r="F208" s="435"/>
      <c r="G208" s="436"/>
      <c r="H208" s="435"/>
      <c r="I208" s="435"/>
      <c r="J208" s="439"/>
      <c r="K208" s="430"/>
      <c r="L208" s="431"/>
      <c r="M208" s="432"/>
      <c r="N208" s="310">
        <f ca="1">IF(NOT(ISERROR(MATCH(M208,_xlfn.ANCHORARRAY(G51),0))),L53&amp;"Por favor no seleccionar los criterios de impacto",M208)</f>
        <v>0</v>
      </c>
      <c r="O208" s="430"/>
      <c r="P208" s="431"/>
      <c r="Q208" s="433"/>
      <c r="R208" s="316">
        <v>4</v>
      </c>
      <c r="S208" s="330"/>
      <c r="T208" s="312"/>
      <c r="U208" s="208" t="str">
        <f t="shared" ref="U208:U210" si="399">IF(OR(V208="Preventivo",V208="Detectivo"),"Probabilidad",IF(V208="Correctivo","Impacto",""))</f>
        <v/>
      </c>
      <c r="V208" s="237"/>
      <c r="W208" s="237"/>
      <c r="X208" s="209" t="str">
        <f t="shared" ref="X208:X210" si="400">IF(AND(V208="Preventivo",W208="Automático"),"50%",IF(AND(V208="Preventivo",W208="Manual"),"40%",IF(AND(V208="Detectivo",W208="Automático"),"40%",IF(AND(V208="Detectivo",W208="Manual"),"30%",IF(AND(V208="Correctivo",W208="Automático"),"35%",IF(AND(V208="Correctivo",W208="Manual"),"25%",""))))))</f>
        <v/>
      </c>
      <c r="Y208" s="237"/>
      <c r="Z208" s="237"/>
      <c r="AA208" s="237"/>
      <c r="AB208" s="210" t="str">
        <f t="shared" si="397"/>
        <v/>
      </c>
      <c r="AC208" s="211" t="str">
        <f t="shared" si="394"/>
        <v/>
      </c>
      <c r="AD208" s="209" t="str">
        <f t="shared" si="398"/>
        <v/>
      </c>
      <c r="AE208" s="211" t="str">
        <f t="shared" si="395"/>
        <v/>
      </c>
      <c r="AF208" s="209" t="str">
        <f t="shared" ref="AF208:AF209" si="401">IFERROR(IF(AND(U207="Impacto",U208="Impacto"),(AF207-(+AF207*X208)),IF(U208="Impacto",($P$31-(+$P$31*X208)),IF(U208="Probabilidad",AF207,""))),"")</f>
        <v/>
      </c>
      <c r="AG208" s="212" t="str">
        <f>IFERROR(IF(OR(AND(AC208="Muy Baja",AE208="Leve"),AND(AC208="Muy Baja",AE208="Menor"),AND(AC208="Baja",AE208="Leve")),"Bajo",IF(OR(AND(AC208="Muy baja",AE208="Moderado"),AND(AC208="Baja",AE208="Menor"),AND(AC208="Baja",AE208="Moderado"),AND(AC208="Media",AE208="Leve"),AND(AC208="Media",AE208="Menor"),AND(AC208="Media",AE208="Moderado"),AND(AC208="Alta",AE208="Leve"),AND(AC208="Alta",AE208="Menor")),"Moderado",IF(OR(AND(AC208="Muy Baja",AE208="Mayor"),AND(AC208="Baja",AE208="Mayor"),AND(AC208="Media",AE208="Mayor"),AND(AC208="Alta",AE208="Moderado"),AND(AC208="Alta",AE208="Mayor"),AND(AC208="Muy Alta",AE208="Leve"),AND(AC208="Muy Alta",AE208="Menor"),AND(AC208="Muy Alta",AE208="Moderado"),AND(AC208="Muy Alta",AE208="Mayor")),"Alto",IF(OR(AND(AC208="Muy Baja",AE208="Catastrófico"),AND(AC208="Baja",AE208="Catastrófico"),AND(AC208="Media",AE208="Catastrófico"),AND(AC208="Alta",AE208="Catastrófico"),AND(AC208="Muy Alta",AE208="Catastrófico")),"Extremo","")))),"")</f>
        <v/>
      </c>
      <c r="AH208" s="237"/>
      <c r="AI208" s="318"/>
      <c r="AJ208" s="318"/>
      <c r="AK208" s="318"/>
      <c r="AL208" s="318"/>
      <c r="AM208" s="318"/>
      <c r="AN208" s="213"/>
      <c r="AO208" s="213"/>
      <c r="AP208" s="308"/>
      <c r="AQ208" s="220"/>
      <c r="AR208" s="213"/>
      <c r="AS208" s="323"/>
      <c r="AT208" s="323"/>
      <c r="AU208" s="323"/>
      <c r="AV208" s="323"/>
      <c r="AW208" s="323"/>
      <c r="AX208" s="323"/>
      <c r="AY208" s="323"/>
      <c r="AZ208" s="323"/>
      <c r="BA208" s="323"/>
      <c r="BB208" s="323"/>
      <c r="BC208" s="323"/>
      <c r="BD208" s="323"/>
      <c r="BE208" s="323"/>
      <c r="BF208" s="323"/>
      <c r="BG208" s="323"/>
      <c r="BH208" s="323"/>
      <c r="BI208" s="323"/>
      <c r="BJ208" s="323"/>
      <c r="BK208" s="323"/>
      <c r="BL208" s="323"/>
      <c r="BM208" s="323"/>
      <c r="BN208" s="323"/>
      <c r="BO208" s="323"/>
      <c r="BP208" s="323"/>
      <c r="BQ208" s="323"/>
      <c r="BR208" s="323"/>
      <c r="BS208" s="323"/>
      <c r="BT208" s="323"/>
      <c r="BU208" s="323"/>
      <c r="BV208" s="323"/>
      <c r="BW208" s="323"/>
      <c r="BX208" s="323"/>
      <c r="BY208" s="323"/>
    </row>
    <row r="209" spans="1:77" s="113" customFormat="1" ht="13.5" hidden="1" customHeight="1" x14ac:dyDescent="0.2">
      <c r="A209" s="437"/>
      <c r="B209" s="438"/>
      <c r="C209" s="434"/>
      <c r="D209" s="434"/>
      <c r="E209" s="434"/>
      <c r="F209" s="435"/>
      <c r="G209" s="436"/>
      <c r="H209" s="435"/>
      <c r="I209" s="435"/>
      <c r="J209" s="439"/>
      <c r="K209" s="430"/>
      <c r="L209" s="431"/>
      <c r="M209" s="432"/>
      <c r="N209" s="310">
        <f ca="1">IF(NOT(ISERROR(MATCH(M209,_xlfn.ANCHORARRAY(G52),0))),L54&amp;"Por favor no seleccionar los criterios de impacto",M209)</f>
        <v>0</v>
      </c>
      <c r="O209" s="430"/>
      <c r="P209" s="431"/>
      <c r="Q209" s="433"/>
      <c r="R209" s="316">
        <v>5</v>
      </c>
      <c r="S209" s="330"/>
      <c r="T209" s="312"/>
      <c r="U209" s="208" t="str">
        <f t="shared" si="399"/>
        <v/>
      </c>
      <c r="V209" s="237"/>
      <c r="W209" s="237"/>
      <c r="X209" s="209" t="str">
        <f t="shared" si="400"/>
        <v/>
      </c>
      <c r="Y209" s="237"/>
      <c r="Z209" s="237"/>
      <c r="AA209" s="237"/>
      <c r="AB209" s="210" t="str">
        <f t="shared" si="397"/>
        <v/>
      </c>
      <c r="AC209" s="211" t="str">
        <f t="shared" si="394"/>
        <v/>
      </c>
      <c r="AD209" s="209" t="str">
        <f t="shared" si="398"/>
        <v/>
      </c>
      <c r="AE209" s="211" t="str">
        <f t="shared" si="395"/>
        <v/>
      </c>
      <c r="AF209" s="209" t="str">
        <f t="shared" si="401"/>
        <v/>
      </c>
      <c r="AG209" s="212" t="str">
        <f t="shared" ref="AG209:AG210" si="402">IFERROR(IF(OR(AND(AC209="Muy Baja",AE209="Leve"),AND(AC209="Muy Baja",AE209="Menor"),AND(AC209="Baja",AE209="Leve")),"Bajo",IF(OR(AND(AC209="Muy baja",AE209="Moderado"),AND(AC209="Baja",AE209="Menor"),AND(AC209="Baja",AE209="Moderado"),AND(AC209="Media",AE209="Leve"),AND(AC209="Media",AE209="Menor"),AND(AC209="Media",AE209="Moderado"),AND(AC209="Alta",AE209="Leve"),AND(AC209="Alta",AE209="Menor")),"Moderado",IF(OR(AND(AC209="Muy Baja",AE209="Mayor"),AND(AC209="Baja",AE209="Mayor"),AND(AC209="Media",AE209="Mayor"),AND(AC209="Alta",AE209="Moderado"),AND(AC209="Alta",AE209="Mayor"),AND(AC209="Muy Alta",AE209="Leve"),AND(AC209="Muy Alta",AE209="Menor"),AND(AC209="Muy Alta",AE209="Moderado"),AND(AC209="Muy Alta",AE209="Mayor")),"Alto",IF(OR(AND(AC209="Muy Baja",AE209="Catastrófico"),AND(AC209="Baja",AE209="Catastrófico"),AND(AC209="Media",AE209="Catastrófico"),AND(AC209="Alta",AE209="Catastrófico"),AND(AC209="Muy Alta",AE209="Catastrófico")),"Extremo","")))),"")</f>
        <v/>
      </c>
      <c r="AH209" s="237"/>
      <c r="AI209" s="318"/>
      <c r="AJ209" s="318"/>
      <c r="AK209" s="318"/>
      <c r="AL209" s="318"/>
      <c r="AM209" s="318"/>
      <c r="AN209" s="305"/>
      <c r="AO209" s="305"/>
      <c r="AP209" s="306"/>
      <c r="AQ209" s="216"/>
      <c r="AR209" s="216"/>
      <c r="AS209" s="323"/>
      <c r="AT209" s="323"/>
      <c r="AU209" s="323"/>
      <c r="AV209" s="323"/>
      <c r="AW209" s="323"/>
      <c r="AX209" s="323"/>
      <c r="AY209" s="323"/>
      <c r="AZ209" s="323"/>
      <c r="BA209" s="323"/>
      <c r="BB209" s="323"/>
      <c r="BC209" s="323"/>
      <c r="BD209" s="323"/>
      <c r="BE209" s="323"/>
      <c r="BF209" s="323"/>
      <c r="BG209" s="323"/>
      <c r="BH209" s="323"/>
      <c r="BI209" s="323"/>
      <c r="BJ209" s="323"/>
      <c r="BK209" s="323"/>
      <c r="BL209" s="323"/>
      <c r="BM209" s="323"/>
      <c r="BN209" s="323"/>
      <c r="BO209" s="323"/>
      <c r="BP209" s="323"/>
      <c r="BQ209" s="323"/>
      <c r="BR209" s="323"/>
      <c r="BS209" s="323"/>
      <c r="BT209" s="323"/>
      <c r="BU209" s="323"/>
      <c r="BV209" s="323"/>
      <c r="BW209" s="323"/>
      <c r="BX209" s="323"/>
      <c r="BY209" s="323"/>
    </row>
    <row r="210" spans="1:77" s="113" customFormat="1" ht="13.5" hidden="1" customHeight="1" x14ac:dyDescent="0.2">
      <c r="A210" s="437"/>
      <c r="B210" s="438"/>
      <c r="C210" s="434"/>
      <c r="D210" s="434"/>
      <c r="E210" s="434"/>
      <c r="F210" s="435"/>
      <c r="G210" s="436"/>
      <c r="H210" s="435"/>
      <c r="I210" s="435"/>
      <c r="J210" s="439"/>
      <c r="K210" s="430"/>
      <c r="L210" s="431"/>
      <c r="M210" s="432"/>
      <c r="N210" s="310">
        <f ca="1">IF(NOT(ISERROR(MATCH(M210,_xlfn.ANCHORARRAY(G53),0))),L55&amp;"Por favor no seleccionar los criterios de impacto",M210)</f>
        <v>0</v>
      </c>
      <c r="O210" s="430"/>
      <c r="P210" s="431"/>
      <c r="Q210" s="433"/>
      <c r="R210" s="316">
        <v>6</v>
      </c>
      <c r="S210" s="330"/>
      <c r="T210" s="312"/>
      <c r="U210" s="208" t="str">
        <f t="shared" si="399"/>
        <v/>
      </c>
      <c r="V210" s="237"/>
      <c r="W210" s="237"/>
      <c r="X210" s="209" t="str">
        <f t="shared" si="400"/>
        <v/>
      </c>
      <c r="Y210" s="237"/>
      <c r="Z210" s="237"/>
      <c r="AA210" s="237"/>
      <c r="AB210" s="210" t="str">
        <f t="shared" si="397"/>
        <v/>
      </c>
      <c r="AC210" s="211" t="str">
        <f t="shared" si="394"/>
        <v/>
      </c>
      <c r="AD210" s="209" t="str">
        <f t="shared" si="398"/>
        <v/>
      </c>
      <c r="AE210" s="211" t="str">
        <f t="shared" si="395"/>
        <v/>
      </c>
      <c r="AF210" s="209" t="str">
        <f>IFERROR(IF(AND(U209="Impacto",U210="Impacto"),(AF209-(+AF209*X210)),IF(U210="Impacto",($P$31-(+$P$31*X210)),IF(U210="Probabilidad",AF209,""))),"")</f>
        <v/>
      </c>
      <c r="AG210" s="212" t="str">
        <f t="shared" si="402"/>
        <v/>
      </c>
      <c r="AH210" s="237"/>
      <c r="AI210" s="318"/>
      <c r="AJ210" s="318"/>
      <c r="AK210" s="318"/>
      <c r="AL210" s="318"/>
      <c r="AM210" s="318"/>
      <c r="AN210" s="305"/>
      <c r="AO210" s="305"/>
      <c r="AP210" s="306"/>
      <c r="AQ210" s="216"/>
      <c r="AR210" s="216"/>
      <c r="AS210" s="323"/>
      <c r="AT210" s="323"/>
      <c r="AU210" s="323"/>
      <c r="AV210" s="323"/>
      <c r="AW210" s="323"/>
      <c r="AX210" s="323"/>
      <c r="AY210" s="323"/>
      <c r="AZ210" s="323"/>
      <c r="BA210" s="323"/>
      <c r="BB210" s="323"/>
      <c r="BC210" s="323"/>
      <c r="BD210" s="323"/>
      <c r="BE210" s="323"/>
      <c r="BF210" s="323"/>
      <c r="BG210" s="323"/>
      <c r="BH210" s="323"/>
      <c r="BI210" s="323"/>
      <c r="BJ210" s="323"/>
      <c r="BK210" s="323"/>
      <c r="BL210" s="323"/>
      <c r="BM210" s="323"/>
      <c r="BN210" s="323"/>
      <c r="BO210" s="323"/>
      <c r="BP210" s="323"/>
      <c r="BQ210" s="323"/>
      <c r="BR210" s="323"/>
      <c r="BS210" s="323"/>
      <c r="BT210" s="323"/>
      <c r="BU210" s="323"/>
      <c r="BV210" s="323"/>
      <c r="BW210" s="323"/>
      <c r="BX210" s="323"/>
      <c r="BY210" s="323"/>
    </row>
    <row r="211" spans="1:77" s="271" customFormat="1" ht="185.25" x14ac:dyDescent="0.2">
      <c r="A211" s="437" t="s">
        <v>946</v>
      </c>
      <c r="B211" s="438" t="s">
        <v>606</v>
      </c>
      <c r="C211" s="434" t="s">
        <v>621</v>
      </c>
      <c r="D211" s="434" t="s">
        <v>107</v>
      </c>
      <c r="E211" s="434" t="s">
        <v>947</v>
      </c>
      <c r="F211" s="435" t="s">
        <v>944</v>
      </c>
      <c r="G211" s="436" t="s">
        <v>945</v>
      </c>
      <c r="H211" s="435" t="s">
        <v>655</v>
      </c>
      <c r="I211" s="435" t="s">
        <v>808</v>
      </c>
      <c r="J211" s="439">
        <v>80000</v>
      </c>
      <c r="K211" s="430" t="str">
        <f t="shared" ref="K211" si="403">IF(J211&lt;=0,"",IF(J211&lt;=2,"Muy Baja",IF(J211&lt;=24,"Baja",IF(J211&lt;=500,"Media",IF(J211&lt;=5000,"Alta","Muy Alta")))))</f>
        <v>Muy Alta</v>
      </c>
      <c r="L211" s="431">
        <f>IF(K211="","",IF(K211="Muy Baja",0.2,IF(K211="Baja",0.4,IF(K211="Media",0.6,IF(K211="Alta",0.8,IF(K211="Muy Alta",1,))))))</f>
        <v>1</v>
      </c>
      <c r="M211" s="432" t="s">
        <v>122</v>
      </c>
      <c r="N211" s="310" t="str">
        <f ca="1">IF(NOT(ISERROR(MATCH(M211,'Tabla Impacto'!$B$221:$B$223,0))),'Tabla Impacto'!$F$223&amp;"Por favor no seleccionar los criterios de impacto(Afectación Económica o presupuestal y Pérdida Reputacional)",M211)</f>
        <v xml:space="preserve">     El riesgo afecta la imagen de de la entidad con efecto publicitario sostenido a nivel de sector administrativo, nivel departamental o municipal</v>
      </c>
      <c r="O211" s="430" t="str">
        <f ca="1">IF(OR(N211='Tabla Impacto'!$C$11,N211='Tabla Impacto'!$D$11),"Leve",IF(OR(N211='Tabla Impacto'!$C$12,N211='Tabla Impacto'!$D$12),"Menor",IF(OR(N211='Tabla Impacto'!$C$13,N211='Tabla Impacto'!$D$13),"Moderado",IF(OR(N211='Tabla Impacto'!$C$14,N211='Tabla Impacto'!$D$14),"Mayor",IF(OR(N211='Tabla Impacto'!$C$15,N211='Tabla Impacto'!$D$15),"Catastrófico","")))))</f>
        <v>Mayor</v>
      </c>
      <c r="P211" s="431">
        <f ca="1">IF(O211="","",IF(O211="Leve",0.2,IF(O211="Menor",0.4,IF(O211="Moderado",0.6,IF(O211="Mayor",0.8,IF(O211="Catastrófico",1,))))))</f>
        <v>0.8</v>
      </c>
      <c r="Q211" s="433" t="str">
        <f ca="1">IF(OR(AND(K211="Muy Baja",O211="Leve"),AND(K211="Muy Baja",O211="Menor"),AND(K211="Baja",O211="Leve")),"Bajo",IF(OR(AND(K211="Muy baja",O211="Moderado"),AND(K211="Baja",O211="Menor"),AND(K211="Baja",O211="Moderado"),AND(K211="Media",O211="Leve"),AND(K211="Media",O211="Menor"),AND(K211="Media",O211="Moderado"),AND(K211="Alta",O211="Leve"),AND(K211="Alta",O211="Menor")),"Moderado",IF(OR(AND(K211="Muy Baja",O211="Mayor"),AND(K211="Baja",O211="Mayor"),AND(K211="Media",O211="Mayor"),AND(K211="Alta",O211="Moderado"),AND(K211="Alta",O211="Mayor"),AND(K211="Muy Alta",O211="Leve"),AND(K211="Muy Alta",O211="Menor"),AND(K211="Muy Alta",O211="Moderado"),AND(K211="Muy Alta",O211="Mayor")),"Alto",IF(OR(AND(K211="Muy Baja",O211="Catastrófico"),AND(K211="Baja",O211="Catastrófico"),AND(K211="Media",O211="Catastrófico"),AND(K211="Alta",O211="Catastrófico"),AND(K211="Muy Alta",O211="Catastrófico")),"Extremo",""))))</f>
        <v>Alto</v>
      </c>
      <c r="R211" s="261">
        <v>1</v>
      </c>
      <c r="S211" s="334" t="s">
        <v>948</v>
      </c>
      <c r="T211" s="272" t="s">
        <v>293</v>
      </c>
      <c r="U211" s="262" t="str">
        <f>IF(OR(V211="Preventivo",V211="Detectivo"),"Probabilidad",IF(V211="Correctivo","Impacto",""))</f>
        <v>Probabilidad</v>
      </c>
      <c r="V211" s="263" t="s">
        <v>13</v>
      </c>
      <c r="W211" s="263" t="s">
        <v>8</v>
      </c>
      <c r="X211" s="264" t="str">
        <f>IF(AND(V211="Preventivo",W211="Automático"),"50%",IF(AND(V211="Preventivo",W211="Manual"),"40%",IF(AND(V211="Detectivo",W211="Automático"),"40%",IF(AND(V211="Detectivo",W211="Manual"),"30%",IF(AND(V211="Correctivo",W211="Automático"),"35%",IF(AND(V211="Correctivo",W211="Manual"),"25%",""))))))</f>
        <v>40%</v>
      </c>
      <c r="Y211" s="263" t="s">
        <v>18</v>
      </c>
      <c r="Z211" s="263" t="s">
        <v>21</v>
      </c>
      <c r="AA211" s="263" t="s">
        <v>103</v>
      </c>
      <c r="AB211" s="265">
        <f t="shared" ref="AB211" si="404">IFERROR(IF(U211="Probabilidad",(L211-(+L211*X211)),IF(U211="Impacto",L211,"")),"")</f>
        <v>0.6</v>
      </c>
      <c r="AC211" s="266" t="str">
        <f>IFERROR(IF(AB211="","",IF(AB211&lt;=0.2,"Muy Baja",IF(AB211&lt;=0.4,"Baja",IF(AB211&lt;=0.6,"Media",IF(AB211&lt;=0.8,"Alta","Muy Alta"))))),"")</f>
        <v>Media</v>
      </c>
      <c r="AD211" s="264">
        <f>+AB211</f>
        <v>0.6</v>
      </c>
      <c r="AE211" s="266" t="str">
        <f ca="1">IFERROR(IF(AF211="","",IF(AF211&lt;=0.2,"Leve",IF(AF211&lt;=0.4,"Menor",IF(AF211&lt;=0.6,"Moderado",IF(AF211&lt;=0.8,"Mayor","Catastrófico"))))),"")</f>
        <v>Mayor</v>
      </c>
      <c r="AF211" s="264">
        <f ca="1">IFERROR(IF(U211="Impacto",(P211-(+P211*X211)),IF(U211="Probabilidad",P211,"")),"")</f>
        <v>0.8</v>
      </c>
      <c r="AG211" s="267" t="str">
        <f ca="1">IFERROR(IF(OR(AND(AC211="Muy Baja",AE211="Leve"),AND(AC211="Muy Baja",AE211="Menor"),AND(AC211="Baja",AE211="Leve")),"Bajo",IF(OR(AND(AC211="Muy baja",AE211="Moderado"),AND(AC211="Baja",AE211="Menor"),AND(AC211="Baja",AE211="Moderado"),AND(AC211="Media",AE211="Leve"),AND(AC211="Media",AE211="Menor"),AND(AC211="Media",AE211="Moderado"),AND(AC211="Alta",AE211="Leve"),AND(AC211="Alta",AE211="Menor")),"Moderado",IF(OR(AND(AC211="Muy Baja",AE211="Mayor"),AND(AC211="Baja",AE211="Mayor"),AND(AC211="Media",AE211="Mayor"),AND(AC211="Alta",AE211="Moderado"),AND(AC211="Alta",AE211="Mayor"),AND(AC211="Muy Alta",AE211="Leve"),AND(AC211="Muy Alta",AE211="Menor"),AND(AC211="Muy Alta",AE211="Moderado"),AND(AC211="Muy Alta",AE211="Mayor")),"Alto",IF(OR(AND(AC211="Muy Baja",AE211="Catastrófico"),AND(AC211="Baja",AE211="Catastrófico"),AND(AC211="Media",AE211="Catastrófico"),AND(AC211="Alta",AE211="Catastrófico"),AND(AC211="Muy Alta",AE211="Catastrófico")),"Extremo","")))),"")</f>
        <v>Alto</v>
      </c>
      <c r="AH211" s="263" t="s">
        <v>26</v>
      </c>
      <c r="AI211" s="273">
        <v>12</v>
      </c>
      <c r="AJ211" s="273">
        <v>3</v>
      </c>
      <c r="AK211" s="273">
        <v>3</v>
      </c>
      <c r="AL211" s="273">
        <v>3</v>
      </c>
      <c r="AM211" s="273">
        <v>3</v>
      </c>
      <c r="AN211" s="268"/>
      <c r="AO211" s="268"/>
      <c r="AP211" s="258"/>
      <c r="AQ211" s="269"/>
      <c r="AR211" s="270"/>
      <c r="AS211" s="323"/>
      <c r="AT211" s="323"/>
      <c r="AU211" s="323"/>
      <c r="AV211" s="323"/>
      <c r="AW211" s="323"/>
      <c r="AX211" s="323"/>
      <c r="AY211" s="323"/>
      <c r="AZ211" s="323"/>
      <c r="BA211" s="323"/>
      <c r="BB211" s="323"/>
      <c r="BC211" s="323"/>
      <c r="BD211" s="323"/>
      <c r="BE211" s="323"/>
      <c r="BF211" s="323"/>
      <c r="BG211" s="323"/>
      <c r="BH211" s="323"/>
      <c r="BI211" s="323"/>
      <c r="BJ211" s="323"/>
      <c r="BK211" s="323"/>
      <c r="BL211" s="323"/>
      <c r="BM211" s="323"/>
      <c r="BN211" s="323"/>
      <c r="BO211" s="323"/>
      <c r="BP211" s="323"/>
      <c r="BQ211" s="323"/>
      <c r="BR211" s="323"/>
      <c r="BS211" s="323"/>
      <c r="BT211" s="323"/>
      <c r="BU211" s="323"/>
      <c r="BV211" s="323"/>
      <c r="BW211" s="323"/>
      <c r="BX211" s="323"/>
      <c r="BY211" s="323"/>
    </row>
    <row r="212" spans="1:77" s="113" customFormat="1" ht="99.75" x14ac:dyDescent="0.2">
      <c r="A212" s="437"/>
      <c r="B212" s="438"/>
      <c r="C212" s="434"/>
      <c r="D212" s="434"/>
      <c r="E212" s="434"/>
      <c r="F212" s="435"/>
      <c r="G212" s="436"/>
      <c r="H212" s="435"/>
      <c r="I212" s="435"/>
      <c r="J212" s="439"/>
      <c r="K212" s="430"/>
      <c r="L212" s="431"/>
      <c r="M212" s="432"/>
      <c r="N212" s="310">
        <f ca="1">IF(NOT(ISERROR(MATCH(M212,_xlfn.ANCHORARRAY(G49),0))),L51&amp;"Por favor no seleccionar los criterios de impacto",M212)</f>
        <v>0</v>
      </c>
      <c r="O212" s="430"/>
      <c r="P212" s="431"/>
      <c r="Q212" s="433"/>
      <c r="R212" s="316">
        <v>2</v>
      </c>
      <c r="S212" s="330" t="s">
        <v>949</v>
      </c>
      <c r="T212" s="312" t="s">
        <v>293</v>
      </c>
      <c r="U212" s="302" t="str">
        <f>IF(OR(V212="Preventivo",V212="Detectivo"),"Probabilidad",IF(V212="Correctivo","Impacto",""))</f>
        <v>Probabilidad</v>
      </c>
      <c r="V212" s="237" t="s">
        <v>13</v>
      </c>
      <c r="W212" s="237" t="s">
        <v>8</v>
      </c>
      <c r="X212" s="209" t="str">
        <f>IF(AND(V212="Preventivo",W212="Automático"),"50%",IF(AND(V212="Preventivo",W212="Manual"),"40%",IF(AND(V212="Detectivo",W212="Automático"),"40%",IF(AND(V212="Detectivo",W212="Manual"),"30%",IF(AND(V212="Correctivo",W212="Automático"),"35%",IF(AND(V212="Correctivo",W212="Manual"),"25%",""))))))</f>
        <v>40%</v>
      </c>
      <c r="Y212" s="237" t="s">
        <v>18</v>
      </c>
      <c r="Z212" s="237" t="s">
        <v>21</v>
      </c>
      <c r="AA212" s="237" t="s">
        <v>104</v>
      </c>
      <c r="AB212" s="210">
        <f t="shared" ref="AB212" si="405">IFERROR(IF(AND(U211="Probabilidad",U212="Probabilidad"),(AD211-(+AD211*X212)),IF(U212="Probabilidad",(L211-(+L211*X212)),IF(U212="Impacto",AD211,""))),"")</f>
        <v>0.36</v>
      </c>
      <c r="AC212" s="211" t="str">
        <f t="shared" ref="AC212:AC216" si="406">IFERROR(IF(AB212="","",IF(AB212&lt;=0.2,"Muy Baja",IF(AB212&lt;=0.4,"Baja",IF(AB212&lt;=0.6,"Media",IF(AB212&lt;=0.8,"Alta","Muy Alta"))))),"")</f>
        <v>Baja</v>
      </c>
      <c r="AD212" s="209">
        <f>+AB212</f>
        <v>0.36</v>
      </c>
      <c r="AE212" s="211" t="str">
        <f t="shared" ref="AE212:AE216" ca="1" si="407">IFERROR(IF(AF212="","",IF(AF212&lt;=0.2,"Leve",IF(AF212&lt;=0.4,"Menor",IF(AF212&lt;=0.6,"Moderado",IF(AF212&lt;=0.8,"Mayor","Catastrófico"))))),"")</f>
        <v>Mayor</v>
      </c>
      <c r="AF212" s="209">
        <f ca="1">IFERROR(IF(AND(U211="Impacto",U212="Impacto"),(AF211-(+AF211*X212)),IF(U212="Impacto",($P$37-(+$P$37*X212)),IF(U212="Probabilidad",AF211,""))),"")</f>
        <v>0.8</v>
      </c>
      <c r="AG212" s="212" t="str">
        <f t="shared" ref="AG212:AG213" ca="1" si="408">IFERROR(IF(OR(AND(AC212="Muy Baja",AE212="Leve"),AND(AC212="Muy Baja",AE212="Menor"),AND(AC212="Baja",AE212="Leve")),"Bajo",IF(OR(AND(AC212="Muy baja",AE212="Moderado"),AND(AC212="Baja",AE212="Menor"),AND(AC212="Baja",AE212="Moderado"),AND(AC212="Media",AE212="Leve"),AND(AC212="Media",AE212="Menor"),AND(AC212="Media",AE212="Moderado"),AND(AC212="Alta",AE212="Leve"),AND(AC212="Alta",AE212="Menor")),"Moderado",IF(OR(AND(AC212="Muy Baja",AE212="Mayor"),AND(AC212="Baja",AE212="Mayor"),AND(AC212="Media",AE212="Mayor"),AND(AC212="Alta",AE212="Moderado"),AND(AC212="Alta",AE212="Mayor"),AND(AC212="Muy Alta",AE212="Leve"),AND(AC212="Muy Alta",AE212="Menor"),AND(AC212="Muy Alta",AE212="Moderado"),AND(AC212="Muy Alta",AE212="Mayor")),"Alto",IF(OR(AND(AC212="Muy Baja",AE212="Catastrófico"),AND(AC212="Baja",AE212="Catastrófico"),AND(AC212="Media",AE212="Catastrófico"),AND(AC212="Alta",AE212="Catastrófico"),AND(AC212="Muy Alta",AE212="Catastrófico")),"Extremo","")))),"")</f>
        <v>Alto</v>
      </c>
      <c r="AH212" s="237" t="s">
        <v>26</v>
      </c>
      <c r="AI212" s="273">
        <v>12</v>
      </c>
      <c r="AJ212" s="273">
        <v>3</v>
      </c>
      <c r="AK212" s="273">
        <v>3</v>
      </c>
      <c r="AL212" s="273">
        <v>3</v>
      </c>
      <c r="AM212" s="273">
        <v>3</v>
      </c>
      <c r="AN212" s="311"/>
      <c r="AO212" s="311"/>
      <c r="AP212" s="259"/>
      <c r="AQ212" s="220"/>
      <c r="AR212" s="311"/>
      <c r="AS212" s="323"/>
      <c r="AT212" s="323"/>
      <c r="AU212" s="323"/>
      <c r="AV212" s="323"/>
      <c r="AW212" s="323"/>
      <c r="AX212" s="323"/>
      <c r="AY212" s="323"/>
      <c r="AZ212" s="323"/>
      <c r="BA212" s="323"/>
      <c r="BB212" s="323"/>
      <c r="BC212" s="323"/>
      <c r="BD212" s="323"/>
      <c r="BE212" s="323"/>
      <c r="BF212" s="323"/>
      <c r="BG212" s="323"/>
      <c r="BH212" s="323"/>
      <c r="BI212" s="323"/>
      <c r="BJ212" s="323"/>
      <c r="BK212" s="323"/>
      <c r="BL212" s="323"/>
      <c r="BM212" s="323"/>
      <c r="BN212" s="323"/>
      <c r="BO212" s="323"/>
      <c r="BP212" s="323"/>
      <c r="BQ212" s="323"/>
      <c r="BR212" s="323"/>
      <c r="BS212" s="323"/>
      <c r="BT212" s="323"/>
      <c r="BU212" s="323"/>
      <c r="BV212" s="323"/>
      <c r="BW212" s="323"/>
      <c r="BX212" s="323"/>
      <c r="BY212" s="323"/>
    </row>
    <row r="213" spans="1:77" s="113" customFormat="1" ht="37.5" hidden="1" customHeight="1" x14ac:dyDescent="0.2">
      <c r="A213" s="437"/>
      <c r="B213" s="438"/>
      <c r="C213" s="434"/>
      <c r="D213" s="434"/>
      <c r="E213" s="434"/>
      <c r="F213" s="435"/>
      <c r="G213" s="436"/>
      <c r="H213" s="435"/>
      <c r="I213" s="435"/>
      <c r="J213" s="439"/>
      <c r="K213" s="430"/>
      <c r="L213" s="431"/>
      <c r="M213" s="432"/>
      <c r="N213" s="310">
        <f ca="1">IF(NOT(ISERROR(MATCH(M213,_xlfn.ANCHORARRAY(G50),0))),L52&amp;"Por favor no seleccionar los criterios de impacto",M213)</f>
        <v>0</v>
      </c>
      <c r="O213" s="430"/>
      <c r="P213" s="431"/>
      <c r="Q213" s="433"/>
      <c r="R213" s="316">
        <v>3</v>
      </c>
      <c r="S213" s="330"/>
      <c r="T213" s="312"/>
      <c r="U213" s="302" t="str">
        <f>IF(OR(V213="Preventivo",V213="Detectivo"),"Probabilidad",IF(V213="Correctivo","Impacto",""))</f>
        <v/>
      </c>
      <c r="V213" s="237"/>
      <c r="W213" s="237"/>
      <c r="X213" s="209" t="str">
        <f>IF(AND(V213="Preventivo",W213="Automático"),"50%",IF(AND(V213="Preventivo",W213="Manual"),"40%",IF(AND(V213="Detectivo",W213="Automático"),"40%",IF(AND(V213="Detectivo",W213="Manual"),"30%",IF(AND(V213="Correctivo",W213="Automático"),"35%",IF(AND(V213="Correctivo",W213="Manual"),"25%",""))))))</f>
        <v/>
      </c>
      <c r="Y213" s="237"/>
      <c r="Z213" s="237"/>
      <c r="AA213" s="237"/>
      <c r="AB213" s="210" t="str">
        <f t="shared" ref="AB213:AB216" si="409">IFERROR(IF(AND(U212="Probabilidad",U213="Probabilidad"),(AD212-(+AD212*X213)),IF(AND(U212="Impacto",U213="Probabilidad"),(AD211-(+AD211*X213)),IF(U213="Impacto",AD212,""))),"")</f>
        <v/>
      </c>
      <c r="AC213" s="211" t="str">
        <f t="shared" si="406"/>
        <v/>
      </c>
      <c r="AD213" s="209" t="str">
        <f t="shared" ref="AD213:AD216" si="410">+AB213</f>
        <v/>
      </c>
      <c r="AE213" s="211" t="str">
        <f t="shared" si="407"/>
        <v/>
      </c>
      <c r="AF213" s="209" t="str">
        <f>IFERROR(IF(AND(U212="Impacto",U213="Impacto"),(AF212-(+AF212*X213)),IF(U213="Impacto",($P$31-(+$P$31*X213)),IF(U213="Probabilidad",AF212,""))),"")</f>
        <v/>
      </c>
      <c r="AG213" s="212" t="str">
        <f t="shared" si="408"/>
        <v/>
      </c>
      <c r="AH213" s="237"/>
      <c r="AI213" s="318"/>
      <c r="AJ213" s="318"/>
      <c r="AK213" s="318"/>
      <c r="AL213" s="318"/>
      <c r="AM213" s="318"/>
      <c r="AN213" s="311"/>
      <c r="AO213" s="311"/>
      <c r="AP213" s="259"/>
      <c r="AQ213" s="220"/>
      <c r="AR213" s="311"/>
      <c r="AS213" s="323"/>
      <c r="AT213" s="323"/>
      <c r="AU213" s="323"/>
      <c r="AV213" s="323"/>
      <c r="AW213" s="323"/>
      <c r="AX213" s="323"/>
      <c r="AY213" s="323"/>
      <c r="AZ213" s="323"/>
      <c r="BA213" s="323"/>
      <c r="BB213" s="323"/>
      <c r="BC213" s="323"/>
      <c r="BD213" s="323"/>
      <c r="BE213" s="323"/>
      <c r="BF213" s="323"/>
      <c r="BG213" s="323"/>
      <c r="BH213" s="323"/>
      <c r="BI213" s="323"/>
      <c r="BJ213" s="323"/>
      <c r="BK213" s="323"/>
      <c r="BL213" s="323"/>
      <c r="BM213" s="323"/>
      <c r="BN213" s="323"/>
      <c r="BO213" s="323"/>
      <c r="BP213" s="323"/>
      <c r="BQ213" s="323"/>
      <c r="BR213" s="323"/>
      <c r="BS213" s="323"/>
      <c r="BT213" s="323"/>
      <c r="BU213" s="323"/>
      <c r="BV213" s="323"/>
      <c r="BW213" s="323"/>
      <c r="BX213" s="323"/>
      <c r="BY213" s="323"/>
    </row>
    <row r="214" spans="1:77" s="113" customFormat="1" ht="37.5" hidden="1" customHeight="1" x14ac:dyDescent="0.2">
      <c r="A214" s="437"/>
      <c r="B214" s="438"/>
      <c r="C214" s="434"/>
      <c r="D214" s="434"/>
      <c r="E214" s="434"/>
      <c r="F214" s="435"/>
      <c r="G214" s="436"/>
      <c r="H214" s="435"/>
      <c r="I214" s="435"/>
      <c r="J214" s="439"/>
      <c r="K214" s="430"/>
      <c r="L214" s="431"/>
      <c r="M214" s="432"/>
      <c r="N214" s="310">
        <f ca="1">IF(NOT(ISERROR(MATCH(M214,_xlfn.ANCHORARRAY(G51),0))),L53&amp;"Por favor no seleccionar los criterios de impacto",M214)</f>
        <v>0</v>
      </c>
      <c r="O214" s="430"/>
      <c r="P214" s="431"/>
      <c r="Q214" s="433"/>
      <c r="R214" s="316">
        <v>4</v>
      </c>
      <c r="S214" s="330"/>
      <c r="T214" s="312"/>
      <c r="U214" s="208" t="str">
        <f t="shared" ref="U214:U216" si="411">IF(OR(V214="Preventivo",V214="Detectivo"),"Probabilidad",IF(V214="Correctivo","Impacto",""))</f>
        <v/>
      </c>
      <c r="V214" s="237"/>
      <c r="W214" s="237"/>
      <c r="X214" s="209" t="str">
        <f t="shared" ref="X214:X216" si="412">IF(AND(V214="Preventivo",W214="Automático"),"50%",IF(AND(V214="Preventivo",W214="Manual"),"40%",IF(AND(V214="Detectivo",W214="Automático"),"40%",IF(AND(V214="Detectivo",W214="Manual"),"30%",IF(AND(V214="Correctivo",W214="Automático"),"35%",IF(AND(V214="Correctivo",W214="Manual"),"25%",""))))))</f>
        <v/>
      </c>
      <c r="Y214" s="237"/>
      <c r="Z214" s="237"/>
      <c r="AA214" s="237"/>
      <c r="AB214" s="210" t="str">
        <f t="shared" si="409"/>
        <v/>
      </c>
      <c r="AC214" s="211" t="str">
        <f t="shared" si="406"/>
        <v/>
      </c>
      <c r="AD214" s="209" t="str">
        <f t="shared" si="410"/>
        <v/>
      </c>
      <c r="AE214" s="211" t="str">
        <f t="shared" si="407"/>
        <v/>
      </c>
      <c r="AF214" s="209" t="str">
        <f t="shared" ref="AF214:AF215" si="413">IFERROR(IF(AND(U213="Impacto",U214="Impacto"),(AF213-(+AF213*X214)),IF(U214="Impacto",($P$31-(+$P$31*X214)),IF(U214="Probabilidad",AF213,""))),"")</f>
        <v/>
      </c>
      <c r="AG214" s="212" t="str">
        <f>IFERROR(IF(OR(AND(AC214="Muy Baja",AE214="Leve"),AND(AC214="Muy Baja",AE214="Menor"),AND(AC214="Baja",AE214="Leve")),"Bajo",IF(OR(AND(AC214="Muy baja",AE214="Moderado"),AND(AC214="Baja",AE214="Menor"),AND(AC214="Baja",AE214="Moderado"),AND(AC214="Media",AE214="Leve"),AND(AC214="Media",AE214="Menor"),AND(AC214="Media",AE214="Moderado"),AND(AC214="Alta",AE214="Leve"),AND(AC214="Alta",AE214="Menor")),"Moderado",IF(OR(AND(AC214="Muy Baja",AE214="Mayor"),AND(AC214="Baja",AE214="Mayor"),AND(AC214="Media",AE214="Mayor"),AND(AC214="Alta",AE214="Moderado"),AND(AC214="Alta",AE214="Mayor"),AND(AC214="Muy Alta",AE214="Leve"),AND(AC214="Muy Alta",AE214="Menor"),AND(AC214="Muy Alta",AE214="Moderado"),AND(AC214="Muy Alta",AE214="Mayor")),"Alto",IF(OR(AND(AC214="Muy Baja",AE214="Catastrófico"),AND(AC214="Baja",AE214="Catastrófico"),AND(AC214="Media",AE214="Catastrófico"),AND(AC214="Alta",AE214="Catastrófico"),AND(AC214="Muy Alta",AE214="Catastrófico")),"Extremo","")))),"")</f>
        <v/>
      </c>
      <c r="AH214" s="237"/>
      <c r="AI214" s="318"/>
      <c r="AJ214" s="318"/>
      <c r="AK214" s="318"/>
      <c r="AL214" s="318"/>
      <c r="AM214" s="318"/>
      <c r="AN214" s="213"/>
      <c r="AO214" s="213"/>
      <c r="AP214" s="316"/>
      <c r="AQ214" s="220"/>
      <c r="AR214" s="213"/>
      <c r="AS214" s="323"/>
      <c r="AT214" s="323"/>
      <c r="AU214" s="323"/>
      <c r="AV214" s="323"/>
      <c r="AW214" s="323"/>
      <c r="AX214" s="323"/>
      <c r="AY214" s="323"/>
      <c r="AZ214" s="323"/>
      <c r="BA214" s="323"/>
      <c r="BB214" s="323"/>
      <c r="BC214" s="323"/>
      <c r="BD214" s="323"/>
      <c r="BE214" s="323"/>
      <c r="BF214" s="323"/>
      <c r="BG214" s="323"/>
      <c r="BH214" s="323"/>
      <c r="BI214" s="323"/>
      <c r="BJ214" s="323"/>
      <c r="BK214" s="323"/>
      <c r="BL214" s="323"/>
      <c r="BM214" s="323"/>
      <c r="BN214" s="323"/>
      <c r="BO214" s="323"/>
      <c r="BP214" s="323"/>
      <c r="BQ214" s="323"/>
      <c r="BR214" s="323"/>
      <c r="BS214" s="323"/>
      <c r="BT214" s="323"/>
      <c r="BU214" s="323"/>
      <c r="BV214" s="323"/>
      <c r="BW214" s="323"/>
      <c r="BX214" s="323"/>
      <c r="BY214" s="323"/>
    </row>
    <row r="215" spans="1:77" s="113" customFormat="1" ht="37.5" hidden="1" customHeight="1" x14ac:dyDescent="0.2">
      <c r="A215" s="437"/>
      <c r="B215" s="438"/>
      <c r="C215" s="434"/>
      <c r="D215" s="434"/>
      <c r="E215" s="434"/>
      <c r="F215" s="435"/>
      <c r="G215" s="436"/>
      <c r="H215" s="435"/>
      <c r="I215" s="435"/>
      <c r="J215" s="439"/>
      <c r="K215" s="430"/>
      <c r="L215" s="431"/>
      <c r="M215" s="432"/>
      <c r="N215" s="310">
        <f ca="1">IF(NOT(ISERROR(MATCH(M215,_xlfn.ANCHORARRAY(G52),0))),L54&amp;"Por favor no seleccionar los criterios de impacto",M215)</f>
        <v>0</v>
      </c>
      <c r="O215" s="430"/>
      <c r="P215" s="431"/>
      <c r="Q215" s="433"/>
      <c r="R215" s="316">
        <v>5</v>
      </c>
      <c r="S215" s="330"/>
      <c r="T215" s="312"/>
      <c r="U215" s="208" t="str">
        <f t="shared" si="411"/>
        <v/>
      </c>
      <c r="V215" s="237"/>
      <c r="W215" s="237"/>
      <c r="X215" s="209" t="str">
        <f t="shared" si="412"/>
        <v/>
      </c>
      <c r="Y215" s="237"/>
      <c r="Z215" s="237"/>
      <c r="AA215" s="237"/>
      <c r="AB215" s="210" t="str">
        <f t="shared" si="409"/>
        <v/>
      </c>
      <c r="AC215" s="211" t="str">
        <f t="shared" si="406"/>
        <v/>
      </c>
      <c r="AD215" s="209" t="str">
        <f t="shared" si="410"/>
        <v/>
      </c>
      <c r="AE215" s="211" t="str">
        <f t="shared" si="407"/>
        <v/>
      </c>
      <c r="AF215" s="209" t="str">
        <f t="shared" si="413"/>
        <v/>
      </c>
      <c r="AG215" s="212" t="str">
        <f t="shared" ref="AG215:AG216" si="414">IFERROR(IF(OR(AND(AC215="Muy Baja",AE215="Leve"),AND(AC215="Muy Baja",AE215="Menor"),AND(AC215="Baja",AE215="Leve")),"Bajo",IF(OR(AND(AC215="Muy baja",AE215="Moderado"),AND(AC215="Baja",AE215="Menor"),AND(AC215="Baja",AE215="Moderado"),AND(AC215="Media",AE215="Leve"),AND(AC215="Media",AE215="Menor"),AND(AC215="Media",AE215="Moderado"),AND(AC215="Alta",AE215="Leve"),AND(AC215="Alta",AE215="Menor")),"Moderado",IF(OR(AND(AC215="Muy Baja",AE215="Mayor"),AND(AC215="Baja",AE215="Mayor"),AND(AC215="Media",AE215="Mayor"),AND(AC215="Alta",AE215="Moderado"),AND(AC215="Alta",AE215="Mayor"),AND(AC215="Muy Alta",AE215="Leve"),AND(AC215="Muy Alta",AE215="Menor"),AND(AC215="Muy Alta",AE215="Moderado"),AND(AC215="Muy Alta",AE215="Mayor")),"Alto",IF(OR(AND(AC215="Muy Baja",AE215="Catastrófico"),AND(AC215="Baja",AE215="Catastrófico"),AND(AC215="Media",AE215="Catastrófico"),AND(AC215="Alta",AE215="Catastrófico"),AND(AC215="Muy Alta",AE215="Catastrófico")),"Extremo","")))),"")</f>
        <v/>
      </c>
      <c r="AH215" s="237"/>
      <c r="AI215" s="318"/>
      <c r="AJ215" s="318"/>
      <c r="AK215" s="318"/>
      <c r="AL215" s="318"/>
      <c r="AM215" s="318"/>
      <c r="AN215" s="312"/>
      <c r="AO215" s="312"/>
      <c r="AP215" s="309"/>
      <c r="AQ215" s="216"/>
      <c r="AR215" s="216"/>
      <c r="AS215" s="323"/>
      <c r="AT215" s="323"/>
      <c r="AU215" s="323"/>
      <c r="AV215" s="323"/>
      <c r="AW215" s="323"/>
      <c r="AX215" s="323"/>
      <c r="AY215" s="323"/>
      <c r="AZ215" s="323"/>
      <c r="BA215" s="323"/>
      <c r="BB215" s="323"/>
      <c r="BC215" s="323"/>
      <c r="BD215" s="323"/>
      <c r="BE215" s="323"/>
      <c r="BF215" s="323"/>
      <c r="BG215" s="323"/>
      <c r="BH215" s="323"/>
      <c r="BI215" s="323"/>
      <c r="BJ215" s="323"/>
      <c r="BK215" s="323"/>
      <c r="BL215" s="323"/>
      <c r="BM215" s="323"/>
      <c r="BN215" s="323"/>
      <c r="BO215" s="323"/>
      <c r="BP215" s="323"/>
      <c r="BQ215" s="323"/>
      <c r="BR215" s="323"/>
      <c r="BS215" s="323"/>
      <c r="BT215" s="323"/>
      <c r="BU215" s="323"/>
      <c r="BV215" s="323"/>
      <c r="BW215" s="323"/>
      <c r="BX215" s="323"/>
      <c r="BY215" s="323"/>
    </row>
    <row r="216" spans="1:77" s="113" customFormat="1" ht="37.5" hidden="1" customHeight="1" x14ac:dyDescent="0.2">
      <c r="A216" s="437"/>
      <c r="B216" s="438"/>
      <c r="C216" s="434"/>
      <c r="D216" s="434"/>
      <c r="E216" s="434"/>
      <c r="F216" s="435"/>
      <c r="G216" s="436"/>
      <c r="H216" s="435"/>
      <c r="I216" s="435"/>
      <c r="J216" s="439"/>
      <c r="K216" s="430"/>
      <c r="L216" s="431"/>
      <c r="M216" s="432"/>
      <c r="N216" s="310">
        <f ca="1">IF(NOT(ISERROR(MATCH(M216,_xlfn.ANCHORARRAY(G53),0))),L55&amp;"Por favor no seleccionar los criterios de impacto",M216)</f>
        <v>0</v>
      </c>
      <c r="O216" s="430"/>
      <c r="P216" s="431"/>
      <c r="Q216" s="433"/>
      <c r="R216" s="316">
        <v>6</v>
      </c>
      <c r="S216" s="330"/>
      <c r="T216" s="312"/>
      <c r="U216" s="208" t="str">
        <f t="shared" si="411"/>
        <v/>
      </c>
      <c r="V216" s="237"/>
      <c r="W216" s="237"/>
      <c r="X216" s="209" t="str">
        <f t="shared" si="412"/>
        <v/>
      </c>
      <c r="Y216" s="237"/>
      <c r="Z216" s="237"/>
      <c r="AA216" s="237"/>
      <c r="AB216" s="210" t="str">
        <f t="shared" si="409"/>
        <v/>
      </c>
      <c r="AC216" s="211" t="str">
        <f t="shared" si="406"/>
        <v/>
      </c>
      <c r="AD216" s="209" t="str">
        <f t="shared" si="410"/>
        <v/>
      </c>
      <c r="AE216" s="211" t="str">
        <f t="shared" si="407"/>
        <v/>
      </c>
      <c r="AF216" s="209" t="str">
        <f>IFERROR(IF(AND(U215="Impacto",U216="Impacto"),(AF215-(+AF215*X216)),IF(U216="Impacto",($P$31-(+$P$31*X216)),IF(U216="Probabilidad",AF215,""))),"")</f>
        <v/>
      </c>
      <c r="AG216" s="212" t="str">
        <f t="shared" si="414"/>
        <v/>
      </c>
      <c r="AH216" s="237"/>
      <c r="AI216" s="318"/>
      <c r="AJ216" s="318"/>
      <c r="AK216" s="318"/>
      <c r="AL216" s="318"/>
      <c r="AM216" s="318"/>
      <c r="AN216" s="312"/>
      <c r="AO216" s="312"/>
      <c r="AP216" s="309"/>
      <c r="AQ216" s="216"/>
      <c r="AR216" s="216"/>
      <c r="AS216" s="323"/>
      <c r="AT216" s="323"/>
      <c r="AU216" s="323"/>
      <c r="AV216" s="323"/>
      <c r="AW216" s="323"/>
      <c r="AX216" s="323"/>
      <c r="AY216" s="323"/>
      <c r="AZ216" s="323"/>
      <c r="BA216" s="323"/>
      <c r="BB216" s="323"/>
      <c r="BC216" s="323"/>
      <c r="BD216" s="323"/>
      <c r="BE216" s="323"/>
      <c r="BF216" s="323"/>
      <c r="BG216" s="323"/>
      <c r="BH216" s="323"/>
      <c r="BI216" s="323"/>
      <c r="BJ216" s="323"/>
      <c r="BK216" s="323"/>
      <c r="BL216" s="323"/>
      <c r="BM216" s="323"/>
      <c r="BN216" s="323"/>
      <c r="BO216" s="323"/>
      <c r="BP216" s="323"/>
      <c r="BQ216" s="323"/>
      <c r="BR216" s="323"/>
      <c r="BS216" s="323"/>
      <c r="BT216" s="323"/>
      <c r="BU216" s="323"/>
      <c r="BV216" s="323"/>
      <c r="BW216" s="323"/>
      <c r="BX216" s="323"/>
      <c r="BY216" s="323"/>
    </row>
    <row r="217" spans="1:77" s="271" customFormat="1" ht="128.25" x14ac:dyDescent="0.2">
      <c r="A217" s="437" t="s">
        <v>953</v>
      </c>
      <c r="B217" s="438" t="s">
        <v>606</v>
      </c>
      <c r="C217" s="434" t="s">
        <v>621</v>
      </c>
      <c r="D217" s="434" t="s">
        <v>108</v>
      </c>
      <c r="E217" s="434" t="s">
        <v>951</v>
      </c>
      <c r="F217" s="435" t="s">
        <v>952</v>
      </c>
      <c r="G217" s="436" t="s">
        <v>950</v>
      </c>
      <c r="H217" s="435" t="s">
        <v>655</v>
      </c>
      <c r="I217" s="435" t="s">
        <v>954</v>
      </c>
      <c r="J217" s="439">
        <v>80000</v>
      </c>
      <c r="K217" s="430" t="str">
        <f t="shared" ref="K217" si="415">IF(J217&lt;=0,"",IF(J217&lt;=2,"Muy Baja",IF(J217&lt;=24,"Baja",IF(J217&lt;=500,"Media",IF(J217&lt;=5000,"Alta","Muy Alta")))))</f>
        <v>Muy Alta</v>
      </c>
      <c r="L217" s="431">
        <f>IF(K217="","",IF(K217="Muy Baja",0.2,IF(K217="Baja",0.4,IF(K217="Media",0.6,IF(K217="Alta",0.8,IF(K217="Muy Alta",1,))))))</f>
        <v>1</v>
      </c>
      <c r="M217" s="432" t="s">
        <v>115</v>
      </c>
      <c r="N217" s="310" t="str">
        <f ca="1">IF(NOT(ISERROR(MATCH(M217,'Tabla Impacto'!$B$221:$B$223,0))),'Tabla Impacto'!$F$223&amp;"Por favor no seleccionar los criterios de impacto(Afectación Económica o presupuestal y Pérdida Reputacional)",M217)</f>
        <v xml:space="preserve">     Entre 50 y 100 SMLMV </v>
      </c>
      <c r="O217" s="430" t="str">
        <f ca="1">IF(OR(N217='Tabla Impacto'!$C$11,N217='Tabla Impacto'!$D$11),"Leve",IF(OR(N217='Tabla Impacto'!$C$12,N217='Tabla Impacto'!$D$12),"Menor",IF(OR(N217='Tabla Impacto'!$C$13,N217='Tabla Impacto'!$D$13),"Moderado",IF(OR(N217='Tabla Impacto'!$C$14,N217='Tabla Impacto'!$D$14),"Mayor",IF(OR(N217='Tabla Impacto'!$C$15,N217='Tabla Impacto'!$D$15),"Catastrófico","")))))</f>
        <v>Moderado</v>
      </c>
      <c r="P217" s="431">
        <f ca="1">IF(O217="","",IF(O217="Leve",0.2,IF(O217="Menor",0.4,IF(O217="Moderado",0.6,IF(O217="Mayor",0.8,IF(O217="Catastrófico",1,))))))</f>
        <v>0.6</v>
      </c>
      <c r="Q217" s="433" t="str">
        <f ca="1">IF(OR(AND(K217="Muy Baja",O217="Leve"),AND(K217="Muy Baja",O217="Menor"),AND(K217="Baja",O217="Leve")),"Bajo",IF(OR(AND(K217="Muy baja",O217="Moderado"),AND(K217="Baja",O217="Menor"),AND(K217="Baja",O217="Moderado"),AND(K217="Media",O217="Leve"),AND(K217="Media",O217="Menor"),AND(K217="Media",O217="Moderado"),AND(K217="Alta",O217="Leve"),AND(K217="Alta",O217="Menor")),"Moderado",IF(OR(AND(K217="Muy Baja",O217="Mayor"),AND(K217="Baja",O217="Mayor"),AND(K217="Media",O217="Mayor"),AND(K217="Alta",O217="Moderado"),AND(K217="Alta",O217="Mayor"),AND(K217="Muy Alta",O217="Leve"),AND(K217="Muy Alta",O217="Menor"),AND(K217="Muy Alta",O217="Moderado"),AND(K217="Muy Alta",O217="Mayor")),"Alto",IF(OR(AND(K217="Muy Baja",O217="Catastrófico"),AND(K217="Baja",O217="Catastrófico"),AND(K217="Media",O217="Catastrófico"),AND(K217="Alta",O217="Catastrófico"),AND(K217="Muy Alta",O217="Catastrófico")),"Extremo",""))))</f>
        <v>Alto</v>
      </c>
      <c r="R217" s="261">
        <v>1</v>
      </c>
      <c r="S217" s="334" t="s">
        <v>955</v>
      </c>
      <c r="T217" s="272" t="s">
        <v>293</v>
      </c>
      <c r="U217" s="262" t="str">
        <f>IF(OR(V217="Preventivo",V217="Detectivo"),"Probabilidad",IF(V217="Correctivo","Impacto",""))</f>
        <v>Probabilidad</v>
      </c>
      <c r="V217" s="263" t="s">
        <v>14</v>
      </c>
      <c r="W217" s="263" t="s">
        <v>8</v>
      </c>
      <c r="X217" s="264" t="str">
        <f>IF(AND(V217="Preventivo",W217="Automático"),"50%",IF(AND(V217="Preventivo",W217="Manual"),"40%",IF(AND(V217="Detectivo",W217="Automático"),"40%",IF(AND(V217="Detectivo",W217="Manual"),"30%",IF(AND(V217="Correctivo",W217="Automático"),"35%",IF(AND(V217="Correctivo",W217="Manual"),"25%",""))))))</f>
        <v>30%</v>
      </c>
      <c r="Y217" s="263" t="s">
        <v>18</v>
      </c>
      <c r="Z217" s="263" t="s">
        <v>21</v>
      </c>
      <c r="AA217" s="263" t="s">
        <v>103</v>
      </c>
      <c r="AB217" s="265">
        <f t="shared" ref="AB217" si="416">IFERROR(IF(U217="Probabilidad",(L217-(+L217*X217)),IF(U217="Impacto",L217,"")),"")</f>
        <v>0.7</v>
      </c>
      <c r="AC217" s="266" t="str">
        <f>IFERROR(IF(AB217="","",IF(AB217&lt;=0.2,"Muy Baja",IF(AB217&lt;=0.4,"Baja",IF(AB217&lt;=0.6,"Media",IF(AB217&lt;=0.8,"Alta","Muy Alta"))))),"")</f>
        <v>Alta</v>
      </c>
      <c r="AD217" s="264">
        <f>+AB217</f>
        <v>0.7</v>
      </c>
      <c r="AE217" s="266" t="str">
        <f ca="1">IFERROR(IF(AF217="","",IF(AF217&lt;=0.2,"Leve",IF(AF217&lt;=0.4,"Menor",IF(AF217&lt;=0.6,"Moderado",IF(AF217&lt;=0.8,"Mayor","Catastrófico"))))),"")</f>
        <v>Moderado</v>
      </c>
      <c r="AF217" s="264">
        <f ca="1">IFERROR(IF(U217="Impacto",(P217-(+P217*X217)),IF(U217="Probabilidad",P217,"")),"")</f>
        <v>0.6</v>
      </c>
      <c r="AG217" s="267" t="str">
        <f ca="1">IFERROR(IF(OR(AND(AC217="Muy Baja",AE217="Leve"),AND(AC217="Muy Baja",AE217="Menor"),AND(AC217="Baja",AE217="Leve")),"Bajo",IF(OR(AND(AC217="Muy baja",AE217="Moderado"),AND(AC217="Baja",AE217="Menor"),AND(AC217="Baja",AE217="Moderado"),AND(AC217="Media",AE217="Leve"),AND(AC217="Media",AE217="Menor"),AND(AC217="Media",AE217="Moderado"),AND(AC217="Alta",AE217="Leve"),AND(AC217="Alta",AE217="Menor")),"Moderado",IF(OR(AND(AC217="Muy Baja",AE217="Mayor"),AND(AC217="Baja",AE217="Mayor"),AND(AC217="Media",AE217="Mayor"),AND(AC217="Alta",AE217="Moderado"),AND(AC217="Alta",AE217="Mayor"),AND(AC217="Muy Alta",AE217="Leve"),AND(AC217="Muy Alta",AE217="Menor"),AND(AC217="Muy Alta",AE217="Moderado"),AND(AC217="Muy Alta",AE217="Mayor")),"Alto",IF(OR(AND(AC217="Muy Baja",AE217="Catastrófico"),AND(AC217="Baja",AE217="Catastrófico"),AND(AC217="Media",AE217="Catastrófico"),AND(AC217="Alta",AE217="Catastrófico"),AND(AC217="Muy Alta",AE217="Catastrófico")),"Extremo","")))),"")</f>
        <v>Alto</v>
      </c>
      <c r="AH217" s="263" t="s">
        <v>26</v>
      </c>
      <c r="AI217" s="273">
        <v>0</v>
      </c>
      <c r="AJ217" s="273">
        <v>0</v>
      </c>
      <c r="AK217" s="273">
        <v>0</v>
      </c>
      <c r="AL217" s="273">
        <v>0</v>
      </c>
      <c r="AM217" s="273">
        <v>0</v>
      </c>
      <c r="AN217" s="268"/>
      <c r="AO217" s="268"/>
      <c r="AP217" s="258"/>
      <c r="AQ217" s="269"/>
      <c r="AR217" s="270"/>
      <c r="AS217" s="323"/>
      <c r="AT217" s="323"/>
      <c r="AU217" s="323"/>
      <c r="AV217" s="323"/>
      <c r="AW217" s="323"/>
      <c r="AX217" s="323"/>
      <c r="AY217" s="323"/>
      <c r="AZ217" s="323"/>
      <c r="BA217" s="323"/>
      <c r="BB217" s="323"/>
      <c r="BC217" s="323"/>
      <c r="BD217" s="323"/>
      <c r="BE217" s="323"/>
      <c r="BF217" s="323"/>
      <c r="BG217" s="323"/>
      <c r="BH217" s="323"/>
      <c r="BI217" s="323"/>
      <c r="BJ217" s="323"/>
      <c r="BK217" s="323"/>
      <c r="BL217" s="323"/>
      <c r="BM217" s="323"/>
      <c r="BN217" s="323"/>
      <c r="BO217" s="323"/>
      <c r="BP217" s="323"/>
      <c r="BQ217" s="323"/>
      <c r="BR217" s="323"/>
      <c r="BS217" s="323"/>
      <c r="BT217" s="323"/>
      <c r="BU217" s="323"/>
      <c r="BV217" s="323"/>
      <c r="BW217" s="323"/>
      <c r="BX217" s="323"/>
      <c r="BY217" s="323"/>
    </row>
    <row r="218" spans="1:77" s="113" customFormat="1" ht="142.5" x14ac:dyDescent="0.2">
      <c r="A218" s="437"/>
      <c r="B218" s="438"/>
      <c r="C218" s="434"/>
      <c r="D218" s="434"/>
      <c r="E218" s="434"/>
      <c r="F218" s="435"/>
      <c r="G218" s="436"/>
      <c r="H218" s="435"/>
      <c r="I218" s="435"/>
      <c r="J218" s="439"/>
      <c r="K218" s="430"/>
      <c r="L218" s="431"/>
      <c r="M218" s="432"/>
      <c r="N218" s="310">
        <f ca="1">IF(NOT(ISERROR(MATCH(M218,_xlfn.ANCHORARRAY(G43),0))),L45&amp;"Por favor no seleccionar los criterios de impacto",M218)</f>
        <v>0</v>
      </c>
      <c r="O218" s="430"/>
      <c r="P218" s="431"/>
      <c r="Q218" s="433"/>
      <c r="R218" s="316">
        <v>2</v>
      </c>
      <c r="S218" s="330" t="s">
        <v>956</v>
      </c>
      <c r="T218" s="312" t="s">
        <v>293</v>
      </c>
      <c r="U218" s="302" t="str">
        <f>IF(OR(V218="Preventivo",V218="Detectivo"),"Probabilidad",IF(V218="Correctivo","Impacto",""))</f>
        <v>Probabilidad</v>
      </c>
      <c r="V218" s="237" t="s">
        <v>13</v>
      </c>
      <c r="W218" s="237" t="s">
        <v>8</v>
      </c>
      <c r="X218" s="209" t="str">
        <f>IF(AND(V218="Preventivo",W218="Automático"),"50%",IF(AND(V218="Preventivo",W218="Manual"),"40%",IF(AND(V218="Detectivo",W218="Automático"),"40%",IF(AND(V218="Detectivo",W218="Manual"),"30%",IF(AND(V218="Correctivo",W218="Automático"),"35%",IF(AND(V218="Correctivo",W218="Manual"),"25%",""))))))</f>
        <v>40%</v>
      </c>
      <c r="Y218" s="237" t="s">
        <v>18</v>
      </c>
      <c r="Z218" s="237" t="s">
        <v>21</v>
      </c>
      <c r="AA218" s="237" t="s">
        <v>103</v>
      </c>
      <c r="AB218" s="210">
        <f t="shared" ref="AB218" si="417">IFERROR(IF(AND(U217="Probabilidad",U218="Probabilidad"),(AD217-(+AD217*X218)),IF(U218="Probabilidad",(L217-(+L217*X218)),IF(U218="Impacto",AD217,""))),"")</f>
        <v>0.42</v>
      </c>
      <c r="AC218" s="211" t="str">
        <f t="shared" ref="AC218:AC222" si="418">IFERROR(IF(AB218="","",IF(AB218&lt;=0.2,"Muy Baja",IF(AB218&lt;=0.4,"Baja",IF(AB218&lt;=0.6,"Media",IF(AB218&lt;=0.8,"Alta","Muy Alta"))))),"")</f>
        <v>Media</v>
      </c>
      <c r="AD218" s="209">
        <f>+AB218</f>
        <v>0.42</v>
      </c>
      <c r="AE218" s="211" t="str">
        <f t="shared" ref="AE218:AE222" ca="1" si="419">IFERROR(IF(AF218="","",IF(AF218&lt;=0.2,"Leve",IF(AF218&lt;=0.4,"Menor",IF(AF218&lt;=0.6,"Moderado",IF(AF218&lt;=0.8,"Mayor","Catastrófico"))))),"")</f>
        <v>Moderado</v>
      </c>
      <c r="AF218" s="209">
        <f ca="1">IFERROR(IF(AND(U217="Impacto",U218="Impacto"),(AF217-(+AF217*X218)),IF(U218="Impacto",($P$37-(+$P$37*X218)),IF(U218="Probabilidad",AF217,""))),"")</f>
        <v>0.6</v>
      </c>
      <c r="AG218" s="212" t="str">
        <f t="shared" ref="AG218:AG219" ca="1" si="420">IFERROR(IF(OR(AND(AC218="Muy Baja",AE218="Leve"),AND(AC218="Muy Baja",AE218="Menor"),AND(AC218="Baja",AE218="Leve")),"Bajo",IF(OR(AND(AC218="Muy baja",AE218="Moderado"),AND(AC218="Baja",AE218="Menor"),AND(AC218="Baja",AE218="Moderado"),AND(AC218="Media",AE218="Leve"),AND(AC218="Media",AE218="Menor"),AND(AC218="Media",AE218="Moderado"),AND(AC218="Alta",AE218="Leve"),AND(AC218="Alta",AE218="Menor")),"Moderado",IF(OR(AND(AC218="Muy Baja",AE218="Mayor"),AND(AC218="Baja",AE218="Mayor"),AND(AC218="Media",AE218="Mayor"),AND(AC218="Alta",AE218="Moderado"),AND(AC218="Alta",AE218="Mayor"),AND(AC218="Muy Alta",AE218="Leve"),AND(AC218="Muy Alta",AE218="Menor"),AND(AC218="Muy Alta",AE218="Moderado"),AND(AC218="Muy Alta",AE218="Mayor")),"Alto",IF(OR(AND(AC218="Muy Baja",AE218="Catastrófico"),AND(AC218="Baja",AE218="Catastrófico"),AND(AC218="Media",AE218="Catastrófico"),AND(AC218="Alta",AE218="Catastrófico"),AND(AC218="Muy Alta",AE218="Catastrófico")),"Extremo","")))),"")</f>
        <v>Moderado</v>
      </c>
      <c r="AH218" s="237" t="s">
        <v>26</v>
      </c>
      <c r="AI218" s="318">
        <v>12</v>
      </c>
      <c r="AJ218" s="318">
        <v>3</v>
      </c>
      <c r="AK218" s="318">
        <v>3</v>
      </c>
      <c r="AL218" s="318">
        <v>3</v>
      </c>
      <c r="AM218" s="318">
        <v>3</v>
      </c>
      <c r="AN218" s="311"/>
      <c r="AO218" s="311"/>
      <c r="AP218" s="259"/>
      <c r="AQ218" s="220"/>
      <c r="AR218" s="311"/>
      <c r="AS218" s="323"/>
      <c r="AT218" s="323"/>
      <c r="AU218" s="323"/>
      <c r="AV218" s="323"/>
      <c r="AW218" s="323"/>
      <c r="AX218" s="323"/>
      <c r="AY218" s="323"/>
      <c r="AZ218" s="323"/>
      <c r="BA218" s="323"/>
      <c r="BB218" s="323"/>
      <c r="BC218" s="323"/>
      <c r="BD218" s="323"/>
      <c r="BE218" s="323"/>
      <c r="BF218" s="323"/>
      <c r="BG218" s="323"/>
      <c r="BH218" s="323"/>
      <c r="BI218" s="323"/>
      <c r="BJ218" s="323"/>
      <c r="BK218" s="323"/>
      <c r="BL218" s="323"/>
      <c r="BM218" s="323"/>
      <c r="BN218" s="323"/>
      <c r="BO218" s="323"/>
      <c r="BP218" s="323"/>
      <c r="BQ218" s="323"/>
      <c r="BR218" s="323"/>
      <c r="BS218" s="323"/>
      <c r="BT218" s="323"/>
      <c r="BU218" s="323"/>
      <c r="BV218" s="323"/>
      <c r="BW218" s="323"/>
      <c r="BX218" s="323"/>
      <c r="BY218" s="323"/>
    </row>
    <row r="219" spans="1:77" s="113" customFormat="1" ht="18.75" hidden="1" customHeight="1" x14ac:dyDescent="0.2">
      <c r="A219" s="437"/>
      <c r="B219" s="438"/>
      <c r="C219" s="434"/>
      <c r="D219" s="434"/>
      <c r="E219" s="434"/>
      <c r="F219" s="435"/>
      <c r="G219" s="436"/>
      <c r="H219" s="435"/>
      <c r="I219" s="435"/>
      <c r="J219" s="439"/>
      <c r="K219" s="430"/>
      <c r="L219" s="431"/>
      <c r="M219" s="432"/>
      <c r="N219" s="310">
        <f ca="1">IF(NOT(ISERROR(MATCH(M219,_xlfn.ANCHORARRAY(G44),0))),L46&amp;"Por favor no seleccionar los criterios de impacto",M219)</f>
        <v>0</v>
      </c>
      <c r="O219" s="430"/>
      <c r="P219" s="431"/>
      <c r="Q219" s="433"/>
      <c r="R219" s="316">
        <v>3</v>
      </c>
      <c r="S219" s="330"/>
      <c r="T219" s="312"/>
      <c r="U219" s="302" t="str">
        <f>IF(OR(V219="Preventivo",V219="Detectivo"),"Probabilidad",IF(V219="Correctivo","Impacto",""))</f>
        <v/>
      </c>
      <c r="V219" s="237"/>
      <c r="W219" s="237"/>
      <c r="X219" s="209" t="str">
        <f>IF(AND(V219="Preventivo",W219="Automático"),"50%",IF(AND(V219="Preventivo",W219="Manual"),"40%",IF(AND(V219="Detectivo",W219="Automático"),"40%",IF(AND(V219="Detectivo",W219="Manual"),"30%",IF(AND(V219="Correctivo",W219="Automático"),"35%",IF(AND(V219="Correctivo",W219="Manual"),"25%",""))))))</f>
        <v/>
      </c>
      <c r="Y219" s="237"/>
      <c r="Z219" s="237"/>
      <c r="AA219" s="237"/>
      <c r="AB219" s="210" t="str">
        <f t="shared" ref="AB219:AB222" si="421">IFERROR(IF(AND(U218="Probabilidad",U219="Probabilidad"),(AD218-(+AD218*X219)),IF(AND(U218="Impacto",U219="Probabilidad"),(AD217-(+AD217*X219)),IF(U219="Impacto",AD218,""))),"")</f>
        <v/>
      </c>
      <c r="AC219" s="211" t="str">
        <f t="shared" si="418"/>
        <v/>
      </c>
      <c r="AD219" s="209" t="str">
        <f t="shared" ref="AD219:AD222" si="422">+AB219</f>
        <v/>
      </c>
      <c r="AE219" s="211" t="str">
        <f t="shared" si="419"/>
        <v/>
      </c>
      <c r="AF219" s="209" t="str">
        <f>IFERROR(IF(AND(U218="Impacto",U219="Impacto"),(AF218-(+AF218*X219)),IF(U219="Impacto",($P$31-(+$P$31*X219)),IF(U219="Probabilidad",AF218,""))),"")</f>
        <v/>
      </c>
      <c r="AG219" s="212" t="str">
        <f t="shared" si="420"/>
        <v/>
      </c>
      <c r="AH219" s="237"/>
      <c r="AI219" s="318"/>
      <c r="AJ219" s="318"/>
      <c r="AK219" s="318"/>
      <c r="AL219" s="318"/>
      <c r="AM219" s="318"/>
      <c r="AN219" s="311"/>
      <c r="AO219" s="311"/>
      <c r="AP219" s="259"/>
      <c r="AQ219" s="220"/>
      <c r="AR219" s="311"/>
      <c r="AS219" s="323"/>
      <c r="AT219" s="323"/>
      <c r="AU219" s="323"/>
      <c r="AV219" s="323"/>
      <c r="AW219" s="323"/>
      <c r="AX219" s="323"/>
      <c r="AY219" s="323"/>
      <c r="AZ219" s="323"/>
      <c r="BA219" s="323"/>
      <c r="BB219" s="323"/>
      <c r="BC219" s="323"/>
      <c r="BD219" s="323"/>
      <c r="BE219" s="323"/>
      <c r="BF219" s="323"/>
      <c r="BG219" s="323"/>
      <c r="BH219" s="323"/>
      <c r="BI219" s="323"/>
      <c r="BJ219" s="323"/>
      <c r="BK219" s="323"/>
      <c r="BL219" s="323"/>
      <c r="BM219" s="323"/>
      <c r="BN219" s="323"/>
      <c r="BO219" s="323"/>
      <c r="BP219" s="323"/>
      <c r="BQ219" s="323"/>
      <c r="BR219" s="323"/>
      <c r="BS219" s="323"/>
      <c r="BT219" s="323"/>
      <c r="BU219" s="323"/>
      <c r="BV219" s="323"/>
      <c r="BW219" s="323"/>
      <c r="BX219" s="323"/>
      <c r="BY219" s="323"/>
    </row>
    <row r="220" spans="1:77" s="113" customFormat="1" ht="18.75" hidden="1" customHeight="1" x14ac:dyDescent="0.2">
      <c r="A220" s="437"/>
      <c r="B220" s="438"/>
      <c r="C220" s="434"/>
      <c r="D220" s="434"/>
      <c r="E220" s="434"/>
      <c r="F220" s="435"/>
      <c r="G220" s="436"/>
      <c r="H220" s="435"/>
      <c r="I220" s="435"/>
      <c r="J220" s="439"/>
      <c r="K220" s="430"/>
      <c r="L220" s="431"/>
      <c r="M220" s="432"/>
      <c r="N220" s="310">
        <f ca="1">IF(NOT(ISERROR(MATCH(M220,_xlfn.ANCHORARRAY(G45),0))),L47&amp;"Por favor no seleccionar los criterios de impacto",M220)</f>
        <v>0</v>
      </c>
      <c r="O220" s="430"/>
      <c r="P220" s="431"/>
      <c r="Q220" s="433"/>
      <c r="R220" s="316">
        <v>4</v>
      </c>
      <c r="S220" s="330"/>
      <c r="T220" s="312"/>
      <c r="U220" s="208" t="str">
        <f t="shared" ref="U220:U222" si="423">IF(OR(V220="Preventivo",V220="Detectivo"),"Probabilidad",IF(V220="Correctivo","Impacto",""))</f>
        <v/>
      </c>
      <c r="V220" s="237"/>
      <c r="W220" s="237"/>
      <c r="X220" s="209" t="str">
        <f t="shared" ref="X220:X222" si="424">IF(AND(V220="Preventivo",W220="Automático"),"50%",IF(AND(V220="Preventivo",W220="Manual"),"40%",IF(AND(V220="Detectivo",W220="Automático"),"40%",IF(AND(V220="Detectivo",W220="Manual"),"30%",IF(AND(V220="Correctivo",W220="Automático"),"35%",IF(AND(V220="Correctivo",W220="Manual"),"25%",""))))))</f>
        <v/>
      </c>
      <c r="Y220" s="237"/>
      <c r="Z220" s="237"/>
      <c r="AA220" s="237"/>
      <c r="AB220" s="210" t="str">
        <f t="shared" si="421"/>
        <v/>
      </c>
      <c r="AC220" s="211" t="str">
        <f t="shared" si="418"/>
        <v/>
      </c>
      <c r="AD220" s="209" t="str">
        <f t="shared" si="422"/>
        <v/>
      </c>
      <c r="AE220" s="211" t="str">
        <f t="shared" si="419"/>
        <v/>
      </c>
      <c r="AF220" s="209" t="str">
        <f t="shared" ref="AF220:AF221" si="425">IFERROR(IF(AND(U219="Impacto",U220="Impacto"),(AF219-(+AF219*X220)),IF(U220="Impacto",($P$31-(+$P$31*X220)),IF(U220="Probabilidad",AF219,""))),"")</f>
        <v/>
      </c>
      <c r="AG220" s="212" t="str">
        <f>IFERROR(IF(OR(AND(AC220="Muy Baja",AE220="Leve"),AND(AC220="Muy Baja",AE220="Menor"),AND(AC220="Baja",AE220="Leve")),"Bajo",IF(OR(AND(AC220="Muy baja",AE220="Moderado"),AND(AC220="Baja",AE220="Menor"),AND(AC220="Baja",AE220="Moderado"),AND(AC220="Media",AE220="Leve"),AND(AC220="Media",AE220="Menor"),AND(AC220="Media",AE220="Moderado"),AND(AC220="Alta",AE220="Leve"),AND(AC220="Alta",AE220="Menor")),"Moderado",IF(OR(AND(AC220="Muy Baja",AE220="Mayor"),AND(AC220="Baja",AE220="Mayor"),AND(AC220="Media",AE220="Mayor"),AND(AC220="Alta",AE220="Moderado"),AND(AC220="Alta",AE220="Mayor"),AND(AC220="Muy Alta",AE220="Leve"),AND(AC220="Muy Alta",AE220="Menor"),AND(AC220="Muy Alta",AE220="Moderado"),AND(AC220="Muy Alta",AE220="Mayor")),"Alto",IF(OR(AND(AC220="Muy Baja",AE220="Catastrófico"),AND(AC220="Baja",AE220="Catastrófico"),AND(AC220="Media",AE220="Catastrófico"),AND(AC220="Alta",AE220="Catastrófico"),AND(AC220="Muy Alta",AE220="Catastrófico")),"Extremo","")))),"")</f>
        <v/>
      </c>
      <c r="AH220" s="237"/>
      <c r="AI220" s="318"/>
      <c r="AJ220" s="318"/>
      <c r="AK220" s="318"/>
      <c r="AL220" s="318"/>
      <c r="AM220" s="318"/>
      <c r="AN220" s="213"/>
      <c r="AO220" s="213"/>
      <c r="AP220" s="316"/>
      <c r="AQ220" s="220"/>
      <c r="AR220" s="213"/>
      <c r="AS220" s="323"/>
      <c r="AT220" s="323"/>
      <c r="AU220" s="323"/>
      <c r="AV220" s="323"/>
      <c r="AW220" s="323"/>
      <c r="AX220" s="323"/>
      <c r="AY220" s="323"/>
      <c r="AZ220" s="323"/>
      <c r="BA220" s="323"/>
      <c r="BB220" s="323"/>
      <c r="BC220" s="323"/>
      <c r="BD220" s="323"/>
      <c r="BE220" s="323"/>
      <c r="BF220" s="323"/>
      <c r="BG220" s="323"/>
      <c r="BH220" s="323"/>
      <c r="BI220" s="323"/>
      <c r="BJ220" s="323"/>
      <c r="BK220" s="323"/>
      <c r="BL220" s="323"/>
      <c r="BM220" s="323"/>
      <c r="BN220" s="323"/>
      <c r="BO220" s="323"/>
      <c r="BP220" s="323"/>
      <c r="BQ220" s="323"/>
      <c r="BR220" s="323"/>
      <c r="BS220" s="323"/>
      <c r="BT220" s="323"/>
      <c r="BU220" s="323"/>
      <c r="BV220" s="323"/>
      <c r="BW220" s="323"/>
      <c r="BX220" s="323"/>
      <c r="BY220" s="323"/>
    </row>
    <row r="221" spans="1:77" s="113" customFormat="1" ht="18.75" hidden="1" customHeight="1" x14ac:dyDescent="0.2">
      <c r="A221" s="437"/>
      <c r="B221" s="438"/>
      <c r="C221" s="434"/>
      <c r="D221" s="434"/>
      <c r="E221" s="434"/>
      <c r="F221" s="435"/>
      <c r="G221" s="436"/>
      <c r="H221" s="435"/>
      <c r="I221" s="435"/>
      <c r="J221" s="439"/>
      <c r="K221" s="430"/>
      <c r="L221" s="431"/>
      <c r="M221" s="432"/>
      <c r="N221" s="310">
        <f ca="1">IF(NOT(ISERROR(MATCH(M221,_xlfn.ANCHORARRAY(G46),0))),L48&amp;"Por favor no seleccionar los criterios de impacto",M221)</f>
        <v>0</v>
      </c>
      <c r="O221" s="430"/>
      <c r="P221" s="431"/>
      <c r="Q221" s="433"/>
      <c r="R221" s="316">
        <v>5</v>
      </c>
      <c r="S221" s="330"/>
      <c r="T221" s="312"/>
      <c r="U221" s="208" t="str">
        <f t="shared" si="423"/>
        <v/>
      </c>
      <c r="V221" s="237"/>
      <c r="W221" s="237"/>
      <c r="X221" s="209" t="str">
        <f t="shared" si="424"/>
        <v/>
      </c>
      <c r="Y221" s="237"/>
      <c r="Z221" s="237"/>
      <c r="AA221" s="237"/>
      <c r="AB221" s="210" t="str">
        <f t="shared" si="421"/>
        <v/>
      </c>
      <c r="AC221" s="211" t="str">
        <f t="shared" si="418"/>
        <v/>
      </c>
      <c r="AD221" s="209" t="str">
        <f t="shared" si="422"/>
        <v/>
      </c>
      <c r="AE221" s="211" t="str">
        <f t="shared" si="419"/>
        <v/>
      </c>
      <c r="AF221" s="209" t="str">
        <f t="shared" si="425"/>
        <v/>
      </c>
      <c r="AG221" s="212" t="str">
        <f t="shared" ref="AG221:AG222" si="426">IFERROR(IF(OR(AND(AC221="Muy Baja",AE221="Leve"),AND(AC221="Muy Baja",AE221="Menor"),AND(AC221="Baja",AE221="Leve")),"Bajo",IF(OR(AND(AC221="Muy baja",AE221="Moderado"),AND(AC221="Baja",AE221="Menor"),AND(AC221="Baja",AE221="Moderado"),AND(AC221="Media",AE221="Leve"),AND(AC221="Media",AE221="Menor"),AND(AC221="Media",AE221="Moderado"),AND(AC221="Alta",AE221="Leve"),AND(AC221="Alta",AE221="Menor")),"Moderado",IF(OR(AND(AC221="Muy Baja",AE221="Mayor"),AND(AC221="Baja",AE221="Mayor"),AND(AC221="Media",AE221="Mayor"),AND(AC221="Alta",AE221="Moderado"),AND(AC221="Alta",AE221="Mayor"),AND(AC221="Muy Alta",AE221="Leve"),AND(AC221="Muy Alta",AE221="Menor"),AND(AC221="Muy Alta",AE221="Moderado"),AND(AC221="Muy Alta",AE221="Mayor")),"Alto",IF(OR(AND(AC221="Muy Baja",AE221="Catastrófico"),AND(AC221="Baja",AE221="Catastrófico"),AND(AC221="Media",AE221="Catastrófico"),AND(AC221="Alta",AE221="Catastrófico"),AND(AC221="Muy Alta",AE221="Catastrófico")),"Extremo","")))),"")</f>
        <v/>
      </c>
      <c r="AH221" s="237"/>
      <c r="AI221" s="318"/>
      <c r="AJ221" s="318"/>
      <c r="AK221" s="318"/>
      <c r="AL221" s="318"/>
      <c r="AM221" s="318"/>
      <c r="AN221" s="312"/>
      <c r="AO221" s="312"/>
      <c r="AP221" s="309"/>
      <c r="AQ221" s="216"/>
      <c r="AR221" s="216"/>
      <c r="AS221" s="323"/>
      <c r="AT221" s="323"/>
      <c r="AU221" s="323"/>
      <c r="AV221" s="323"/>
      <c r="AW221" s="323"/>
      <c r="AX221" s="323"/>
      <c r="AY221" s="323"/>
      <c r="AZ221" s="323"/>
      <c r="BA221" s="323"/>
      <c r="BB221" s="323"/>
      <c r="BC221" s="323"/>
      <c r="BD221" s="323"/>
      <c r="BE221" s="323"/>
      <c r="BF221" s="323"/>
      <c r="BG221" s="323"/>
      <c r="BH221" s="323"/>
      <c r="BI221" s="323"/>
      <c r="BJ221" s="323"/>
      <c r="BK221" s="323"/>
      <c r="BL221" s="323"/>
      <c r="BM221" s="323"/>
      <c r="BN221" s="323"/>
      <c r="BO221" s="323"/>
      <c r="BP221" s="323"/>
      <c r="BQ221" s="323"/>
      <c r="BR221" s="323"/>
      <c r="BS221" s="323"/>
      <c r="BT221" s="323"/>
      <c r="BU221" s="323"/>
      <c r="BV221" s="323"/>
      <c r="BW221" s="323"/>
      <c r="BX221" s="323"/>
      <c r="BY221" s="323"/>
    </row>
    <row r="222" spans="1:77" s="113" customFormat="1" ht="18.75" hidden="1" customHeight="1" x14ac:dyDescent="0.2">
      <c r="A222" s="437"/>
      <c r="B222" s="438"/>
      <c r="C222" s="434"/>
      <c r="D222" s="434"/>
      <c r="E222" s="434"/>
      <c r="F222" s="435"/>
      <c r="G222" s="436"/>
      <c r="H222" s="435"/>
      <c r="I222" s="435"/>
      <c r="J222" s="439"/>
      <c r="K222" s="430"/>
      <c r="L222" s="431"/>
      <c r="M222" s="432"/>
      <c r="N222" s="310">
        <f ca="1">IF(NOT(ISERROR(MATCH(M222,_xlfn.ANCHORARRAY(G47),0))),L49&amp;"Por favor no seleccionar los criterios de impacto",M222)</f>
        <v>0</v>
      </c>
      <c r="O222" s="430"/>
      <c r="P222" s="431"/>
      <c r="Q222" s="433"/>
      <c r="R222" s="316">
        <v>6</v>
      </c>
      <c r="S222" s="330"/>
      <c r="T222" s="312"/>
      <c r="U222" s="208" t="str">
        <f t="shared" si="423"/>
        <v/>
      </c>
      <c r="V222" s="237"/>
      <c r="W222" s="237"/>
      <c r="X222" s="209" t="str">
        <f t="shared" si="424"/>
        <v/>
      </c>
      <c r="Y222" s="237"/>
      <c r="Z222" s="237"/>
      <c r="AA222" s="237"/>
      <c r="AB222" s="210" t="str">
        <f t="shared" si="421"/>
        <v/>
      </c>
      <c r="AC222" s="211" t="str">
        <f t="shared" si="418"/>
        <v/>
      </c>
      <c r="AD222" s="209" t="str">
        <f t="shared" si="422"/>
        <v/>
      </c>
      <c r="AE222" s="211" t="str">
        <f t="shared" si="419"/>
        <v/>
      </c>
      <c r="AF222" s="209" t="str">
        <f>IFERROR(IF(AND(U221="Impacto",U222="Impacto"),(AF221-(+AF221*X222)),IF(U222="Impacto",($P$31-(+$P$31*X222)),IF(U222="Probabilidad",AF221,""))),"")</f>
        <v/>
      </c>
      <c r="AG222" s="212" t="str">
        <f t="shared" si="426"/>
        <v/>
      </c>
      <c r="AH222" s="237"/>
      <c r="AI222" s="318"/>
      <c r="AJ222" s="318"/>
      <c r="AK222" s="318"/>
      <c r="AL222" s="318"/>
      <c r="AM222" s="318"/>
      <c r="AN222" s="312"/>
      <c r="AO222" s="312"/>
      <c r="AP222" s="309"/>
      <c r="AQ222" s="216"/>
      <c r="AR222" s="216"/>
      <c r="AS222" s="323"/>
      <c r="AT222" s="323"/>
      <c r="AU222" s="323"/>
      <c r="AV222" s="323"/>
      <c r="AW222" s="323"/>
      <c r="AX222" s="323"/>
      <c r="AY222" s="323"/>
      <c r="AZ222" s="323"/>
      <c r="BA222" s="323"/>
      <c r="BB222" s="323"/>
      <c r="BC222" s="323"/>
      <c r="BD222" s="323"/>
      <c r="BE222" s="323"/>
      <c r="BF222" s="323"/>
      <c r="BG222" s="323"/>
      <c r="BH222" s="323"/>
      <c r="BI222" s="323"/>
      <c r="BJ222" s="323"/>
      <c r="BK222" s="323"/>
      <c r="BL222" s="323"/>
      <c r="BM222" s="323"/>
      <c r="BN222" s="323"/>
      <c r="BO222" s="323"/>
      <c r="BP222" s="323"/>
      <c r="BQ222" s="323"/>
      <c r="BR222" s="323"/>
      <c r="BS222" s="323"/>
      <c r="BT222" s="323"/>
      <c r="BU222" s="323"/>
      <c r="BV222" s="323"/>
      <c r="BW222" s="323"/>
      <c r="BX222" s="323"/>
      <c r="BY222" s="323"/>
    </row>
    <row r="223" spans="1:77" s="271" customFormat="1" ht="187.15" customHeight="1" x14ac:dyDescent="0.2">
      <c r="A223" s="437" t="s">
        <v>968</v>
      </c>
      <c r="B223" s="438" t="s">
        <v>610</v>
      </c>
      <c r="C223" s="434" t="s">
        <v>621</v>
      </c>
      <c r="D223" s="434" t="s">
        <v>107</v>
      </c>
      <c r="E223" s="434" t="s">
        <v>1088</v>
      </c>
      <c r="F223" s="435" t="s">
        <v>970</v>
      </c>
      <c r="G223" s="436" t="s">
        <v>969</v>
      </c>
      <c r="H223" s="435" t="s">
        <v>655</v>
      </c>
      <c r="I223" s="435" t="s">
        <v>808</v>
      </c>
      <c r="J223" s="439">
        <v>1935</v>
      </c>
      <c r="K223" s="430" t="str">
        <f t="shared" ref="K223" si="427">IF(J223&lt;=0,"",IF(J223&lt;=2,"Muy Baja",IF(J223&lt;=24,"Baja",IF(J223&lt;=500,"Media",IF(J223&lt;=5000,"Alta","Muy Alta")))))</f>
        <v>Alta</v>
      </c>
      <c r="L223" s="431">
        <f>IF(K223="","",IF(K223="Muy Baja",0.2,IF(K223="Baja",0.4,IF(K223="Media",0.6,IF(K223="Alta",0.8,IF(K223="Muy Alta",1,))))))</f>
        <v>0.8</v>
      </c>
      <c r="M223" s="432" t="s">
        <v>121</v>
      </c>
      <c r="N223" s="310" t="str">
        <f ca="1">IF(NOT(ISERROR(MATCH(M223,'Tabla Impacto'!$B$221:$B$223,0))),'Tabla Impacto'!$F$223&amp;"Por favor no seleccionar los criterios de impacto(Afectación Económica o presupuestal y Pérdida Reputacional)",M223)</f>
        <v xml:space="preserve">     El riesgo afecta la imagen de la entidad con algunos usuarios de relevancia frente al logro de los objetivos</v>
      </c>
      <c r="O223" s="430" t="str">
        <f ca="1">IF(OR(N223='Tabla Impacto'!$C$11,N223='Tabla Impacto'!$D$11),"Leve",IF(OR(N223='Tabla Impacto'!$C$12,N223='Tabla Impacto'!$D$12),"Menor",IF(OR(N223='Tabla Impacto'!$C$13,N223='Tabla Impacto'!$D$13),"Moderado",IF(OR(N223='Tabla Impacto'!$C$14,N223='Tabla Impacto'!$D$14),"Mayor",IF(OR(N223='Tabla Impacto'!$C$15,N223='Tabla Impacto'!$D$15),"Catastrófico","")))))</f>
        <v>Moderado</v>
      </c>
      <c r="P223" s="431">
        <f ca="1">IF(O223="","",IF(O223="Leve",0.2,IF(O223="Menor",0.4,IF(O223="Moderado",0.6,IF(O223="Mayor",0.8,IF(O223="Catastrófico",1,))))))</f>
        <v>0.6</v>
      </c>
      <c r="Q223" s="433" t="str">
        <f ca="1">IF(OR(AND(K223="Muy Baja",O223="Leve"),AND(K223="Muy Baja",O223="Menor"),AND(K223="Baja",O223="Leve")),"Bajo",IF(OR(AND(K223="Muy baja",O223="Moderado"),AND(K223="Baja",O223="Menor"),AND(K223="Baja",O223="Moderado"),AND(K223="Media",O223="Leve"),AND(K223="Media",O223="Menor"),AND(K223="Media",O223="Moderado"),AND(K223="Alta",O223="Leve"),AND(K223="Alta",O223="Menor")),"Moderado",IF(OR(AND(K223="Muy Baja",O223="Mayor"),AND(K223="Baja",O223="Mayor"),AND(K223="Media",O223="Mayor"),AND(K223="Alta",O223="Moderado"),AND(K223="Alta",O223="Mayor"),AND(K223="Muy Alta",O223="Leve"),AND(K223="Muy Alta",O223="Menor"),AND(K223="Muy Alta",O223="Moderado"),AND(K223="Muy Alta",O223="Mayor")),"Alto",IF(OR(AND(K223="Muy Baja",O223="Catastrófico"),AND(K223="Baja",O223="Catastrófico"),AND(K223="Media",O223="Catastrófico"),AND(K223="Alta",O223="Catastrófico"),AND(K223="Muy Alta",O223="Catastrófico")),"Extremo",""))))</f>
        <v>Alto</v>
      </c>
      <c r="R223" s="261">
        <v>1</v>
      </c>
      <c r="S223" s="334" t="s">
        <v>971</v>
      </c>
      <c r="T223" s="272" t="s">
        <v>292</v>
      </c>
      <c r="U223" s="262" t="str">
        <f>IF(OR(V223="Preventivo",V223="Detectivo"),"Probabilidad",IF(V223="Correctivo","Impacto",""))</f>
        <v>Probabilidad</v>
      </c>
      <c r="V223" s="263" t="s">
        <v>13</v>
      </c>
      <c r="W223" s="263" t="s">
        <v>8</v>
      </c>
      <c r="X223" s="264" t="str">
        <f>IF(AND(V223="Preventivo",W223="Automático"),"50%",IF(AND(V223="Preventivo",W223="Manual"),"40%",IF(AND(V223="Detectivo",W223="Automático"),"40%",IF(AND(V223="Detectivo",W223="Manual"),"30%",IF(AND(V223="Correctivo",W223="Automático"),"35%",IF(AND(V223="Correctivo",W223="Manual"),"25%",""))))))</f>
        <v>40%</v>
      </c>
      <c r="Y223" s="263" t="s">
        <v>18</v>
      </c>
      <c r="Z223" s="263" t="s">
        <v>21</v>
      </c>
      <c r="AA223" s="263" t="s">
        <v>103</v>
      </c>
      <c r="AB223" s="265">
        <f t="shared" ref="AB223" si="428">IFERROR(IF(U223="Probabilidad",(L223-(+L223*X223)),IF(U223="Impacto",L223,"")),"")</f>
        <v>0.48</v>
      </c>
      <c r="AC223" s="266" t="str">
        <f>IFERROR(IF(AB223="","",IF(AB223&lt;=0.2,"Muy Baja",IF(AB223&lt;=0.4,"Baja",IF(AB223&lt;=0.6,"Media",IF(AB223&lt;=0.8,"Alta","Muy Alta"))))),"")</f>
        <v>Media</v>
      </c>
      <c r="AD223" s="264">
        <f>+AB223</f>
        <v>0.48</v>
      </c>
      <c r="AE223" s="266" t="str">
        <f ca="1">IFERROR(IF(AF223="","",IF(AF223&lt;=0.2,"Leve",IF(AF223&lt;=0.4,"Menor",IF(AF223&lt;=0.6,"Moderado",IF(AF223&lt;=0.8,"Mayor","Catastrófico"))))),"")</f>
        <v>Moderado</v>
      </c>
      <c r="AF223" s="264">
        <f ca="1">IFERROR(IF(U223="Impacto",(P223-(+P223*X223)),IF(U223="Probabilidad",P223,"")),"")</f>
        <v>0.6</v>
      </c>
      <c r="AG223" s="267" t="str">
        <f ca="1">IFERROR(IF(OR(AND(AC223="Muy Baja",AE223="Leve"),AND(AC223="Muy Baja",AE223="Menor"),AND(AC223="Baja",AE223="Leve")),"Bajo",IF(OR(AND(AC223="Muy baja",AE223="Moderado"),AND(AC223="Baja",AE223="Menor"),AND(AC223="Baja",AE223="Moderado"),AND(AC223="Media",AE223="Leve"),AND(AC223="Media",AE223="Menor"),AND(AC223="Media",AE223="Moderado"),AND(AC223="Alta",AE223="Leve"),AND(AC223="Alta",AE223="Menor")),"Moderado",IF(OR(AND(AC223="Muy Baja",AE223="Mayor"),AND(AC223="Baja",AE223="Mayor"),AND(AC223="Media",AE223="Mayor"),AND(AC223="Alta",AE223="Moderado"),AND(AC223="Alta",AE223="Mayor"),AND(AC223="Muy Alta",AE223="Leve"),AND(AC223="Muy Alta",AE223="Menor"),AND(AC223="Muy Alta",AE223="Moderado"),AND(AC223="Muy Alta",AE223="Mayor")),"Alto",IF(OR(AND(AC223="Muy Baja",AE223="Catastrófico"),AND(AC223="Baja",AE223="Catastrófico"),AND(AC223="Media",AE223="Catastrófico"),AND(AC223="Alta",AE223="Catastrófico"),AND(AC223="Muy Alta",AE223="Catastrófico")),"Extremo","")))),"")</f>
        <v>Moderado</v>
      </c>
      <c r="AH223" s="263" t="s">
        <v>26</v>
      </c>
      <c r="AI223" s="273">
        <v>19</v>
      </c>
      <c r="AJ223" s="273">
        <v>1</v>
      </c>
      <c r="AK223" s="273">
        <v>6</v>
      </c>
      <c r="AL223" s="273">
        <v>6</v>
      </c>
      <c r="AM223" s="273">
        <v>6</v>
      </c>
      <c r="AN223" s="268"/>
      <c r="AO223" s="268"/>
      <c r="AP223" s="258"/>
      <c r="AQ223" s="269"/>
      <c r="AR223" s="270"/>
      <c r="AS223" s="323"/>
      <c r="AT223" s="323"/>
      <c r="AU223" s="323"/>
      <c r="AV223" s="323"/>
      <c r="AW223" s="323"/>
      <c r="AX223" s="323"/>
      <c r="AY223" s="323"/>
      <c r="AZ223" s="323"/>
      <c r="BA223" s="323"/>
      <c r="BB223" s="323"/>
      <c r="BC223" s="323"/>
      <c r="BD223" s="323"/>
      <c r="BE223" s="323"/>
      <c r="BF223" s="323"/>
      <c r="BG223" s="323"/>
      <c r="BH223" s="323"/>
      <c r="BI223" s="323"/>
      <c r="BJ223" s="323"/>
      <c r="BK223" s="323"/>
      <c r="BL223" s="323"/>
      <c r="BM223" s="323"/>
      <c r="BN223" s="323"/>
      <c r="BO223" s="323"/>
      <c r="BP223" s="323"/>
      <c r="BQ223" s="323"/>
      <c r="BR223" s="323"/>
      <c r="BS223" s="323"/>
      <c r="BT223" s="323"/>
      <c r="BU223" s="323"/>
      <c r="BV223" s="323"/>
      <c r="BW223" s="323"/>
      <c r="BX223" s="323"/>
      <c r="BY223" s="323"/>
    </row>
    <row r="224" spans="1:77" s="113" customFormat="1" ht="16.5" hidden="1" customHeight="1" x14ac:dyDescent="0.2">
      <c r="A224" s="437"/>
      <c r="B224" s="438"/>
      <c r="C224" s="434"/>
      <c r="D224" s="434"/>
      <c r="E224" s="434"/>
      <c r="F224" s="435"/>
      <c r="G224" s="436"/>
      <c r="H224" s="435"/>
      <c r="I224" s="435"/>
      <c r="J224" s="439"/>
      <c r="K224" s="430"/>
      <c r="L224" s="431"/>
      <c r="M224" s="432"/>
      <c r="N224" s="310">
        <f ca="1">IF(NOT(ISERROR(MATCH(M224,_xlfn.ANCHORARRAY(G49),0))),L51&amp;"Por favor no seleccionar los criterios de impacto",M224)</f>
        <v>0</v>
      </c>
      <c r="O224" s="430"/>
      <c r="P224" s="431"/>
      <c r="Q224" s="433"/>
      <c r="R224" s="316">
        <v>2</v>
      </c>
      <c r="S224" s="330"/>
      <c r="T224" s="312"/>
      <c r="U224" s="302" t="str">
        <f>IF(OR(V224="Preventivo",V224="Detectivo"),"Probabilidad",IF(V224="Correctivo","Impacto",""))</f>
        <v/>
      </c>
      <c r="V224" s="237"/>
      <c r="W224" s="237"/>
      <c r="X224" s="209" t="str">
        <f>IF(AND(V224="Preventivo",W224="Automático"),"50%",IF(AND(V224="Preventivo",W224="Manual"),"40%",IF(AND(V224="Detectivo",W224="Automático"),"40%",IF(AND(V224="Detectivo",W224="Manual"),"30%",IF(AND(V224="Correctivo",W224="Automático"),"35%",IF(AND(V224="Correctivo",W224="Manual"),"25%",""))))))</f>
        <v/>
      </c>
      <c r="Y224" s="237"/>
      <c r="Z224" s="237"/>
      <c r="AA224" s="237"/>
      <c r="AB224" s="210" t="str">
        <f t="shared" ref="AB224" si="429">IFERROR(IF(AND(U223="Probabilidad",U224="Probabilidad"),(AD223-(+AD223*X224)),IF(U224="Probabilidad",(L223-(+L223*X224)),IF(U224="Impacto",AD223,""))),"")</f>
        <v/>
      </c>
      <c r="AC224" s="211" t="str">
        <f t="shared" ref="AC224:AC228" si="430">IFERROR(IF(AB224="","",IF(AB224&lt;=0.2,"Muy Baja",IF(AB224&lt;=0.4,"Baja",IF(AB224&lt;=0.6,"Media",IF(AB224&lt;=0.8,"Alta","Muy Alta"))))),"")</f>
        <v/>
      </c>
      <c r="AD224" s="209" t="str">
        <f>+AB224</f>
        <v/>
      </c>
      <c r="AE224" s="211" t="str">
        <f t="shared" ref="AE224:AE228" si="431">IFERROR(IF(AF224="","",IF(AF224&lt;=0.2,"Leve",IF(AF224&lt;=0.4,"Menor",IF(AF224&lt;=0.6,"Moderado",IF(AF224&lt;=0.8,"Mayor","Catastrófico"))))),"")</f>
        <v/>
      </c>
      <c r="AF224" s="209" t="str">
        <f>IFERROR(IF(AND(U223="Impacto",U224="Impacto"),(AF223-(+AF223*X224)),IF(U224="Impacto",($P$37-(+$P$37*X224)),IF(U224="Probabilidad",AF223,""))),"")</f>
        <v/>
      </c>
      <c r="AG224" s="212" t="str">
        <f t="shared" ref="AG224:AG225" si="432">IFERROR(IF(OR(AND(AC224="Muy Baja",AE224="Leve"),AND(AC224="Muy Baja",AE224="Menor"),AND(AC224="Baja",AE224="Leve")),"Bajo",IF(OR(AND(AC224="Muy baja",AE224="Moderado"),AND(AC224="Baja",AE224="Menor"),AND(AC224="Baja",AE224="Moderado"),AND(AC224="Media",AE224="Leve"),AND(AC224="Media",AE224="Menor"),AND(AC224="Media",AE224="Moderado"),AND(AC224="Alta",AE224="Leve"),AND(AC224="Alta",AE224="Menor")),"Moderado",IF(OR(AND(AC224="Muy Baja",AE224="Mayor"),AND(AC224="Baja",AE224="Mayor"),AND(AC224="Media",AE224="Mayor"),AND(AC224="Alta",AE224="Moderado"),AND(AC224="Alta",AE224="Mayor"),AND(AC224="Muy Alta",AE224="Leve"),AND(AC224="Muy Alta",AE224="Menor"),AND(AC224="Muy Alta",AE224="Moderado"),AND(AC224="Muy Alta",AE224="Mayor")),"Alto",IF(OR(AND(AC224="Muy Baja",AE224="Catastrófico"),AND(AC224="Baja",AE224="Catastrófico"),AND(AC224="Media",AE224="Catastrófico"),AND(AC224="Alta",AE224="Catastrófico"),AND(AC224="Muy Alta",AE224="Catastrófico")),"Extremo","")))),"")</f>
        <v/>
      </c>
      <c r="AH224" s="237"/>
      <c r="AI224" s="318"/>
      <c r="AJ224" s="318"/>
      <c r="AK224" s="318"/>
      <c r="AL224" s="318"/>
      <c r="AM224" s="318"/>
      <c r="AN224" s="311"/>
      <c r="AO224" s="311"/>
      <c r="AP224" s="259"/>
      <c r="AQ224" s="220"/>
      <c r="AR224" s="311"/>
      <c r="AS224" s="323"/>
      <c r="AT224" s="323"/>
      <c r="AU224" s="323"/>
      <c r="AV224" s="323"/>
      <c r="AW224" s="323"/>
      <c r="AX224" s="323"/>
      <c r="AY224" s="323"/>
      <c r="AZ224" s="323"/>
      <c r="BA224" s="323"/>
      <c r="BB224" s="323"/>
      <c r="BC224" s="323"/>
      <c r="BD224" s="323"/>
      <c r="BE224" s="323"/>
      <c r="BF224" s="323"/>
      <c r="BG224" s="323"/>
      <c r="BH224" s="323"/>
      <c r="BI224" s="323"/>
      <c r="BJ224" s="323"/>
      <c r="BK224" s="323"/>
      <c r="BL224" s="323"/>
      <c r="BM224" s="323"/>
      <c r="BN224" s="323"/>
      <c r="BO224" s="323"/>
      <c r="BP224" s="323"/>
      <c r="BQ224" s="323"/>
      <c r="BR224" s="323"/>
      <c r="BS224" s="323"/>
      <c r="BT224" s="323"/>
      <c r="BU224" s="323"/>
      <c r="BV224" s="323"/>
      <c r="BW224" s="323"/>
      <c r="BX224" s="323"/>
      <c r="BY224" s="323"/>
    </row>
    <row r="225" spans="1:77" s="113" customFormat="1" ht="16.5" hidden="1" customHeight="1" x14ac:dyDescent="0.2">
      <c r="A225" s="437"/>
      <c r="B225" s="438"/>
      <c r="C225" s="434"/>
      <c r="D225" s="434"/>
      <c r="E225" s="434"/>
      <c r="F225" s="435"/>
      <c r="G225" s="436"/>
      <c r="H225" s="435"/>
      <c r="I225" s="435"/>
      <c r="J225" s="439"/>
      <c r="K225" s="430"/>
      <c r="L225" s="431"/>
      <c r="M225" s="432"/>
      <c r="N225" s="310">
        <f ca="1">IF(NOT(ISERROR(MATCH(M225,_xlfn.ANCHORARRAY(G50),0))),L52&amp;"Por favor no seleccionar los criterios de impacto",M225)</f>
        <v>0</v>
      </c>
      <c r="O225" s="430"/>
      <c r="P225" s="431"/>
      <c r="Q225" s="433"/>
      <c r="R225" s="316">
        <v>3</v>
      </c>
      <c r="S225" s="330"/>
      <c r="T225" s="312"/>
      <c r="U225" s="302" t="str">
        <f>IF(OR(V225="Preventivo",V225="Detectivo"),"Probabilidad",IF(V225="Correctivo","Impacto",""))</f>
        <v/>
      </c>
      <c r="V225" s="237"/>
      <c r="W225" s="237"/>
      <c r="X225" s="209" t="str">
        <f>IF(AND(V225="Preventivo",W225="Automático"),"50%",IF(AND(V225="Preventivo",W225="Manual"),"40%",IF(AND(V225="Detectivo",W225="Automático"),"40%",IF(AND(V225="Detectivo",W225="Manual"),"30%",IF(AND(V225="Correctivo",W225="Automático"),"35%",IF(AND(V225="Correctivo",W225="Manual"),"25%",""))))))</f>
        <v/>
      </c>
      <c r="Y225" s="237"/>
      <c r="Z225" s="237"/>
      <c r="AA225" s="237"/>
      <c r="AB225" s="210" t="str">
        <f t="shared" ref="AB225:AB228" si="433">IFERROR(IF(AND(U224="Probabilidad",U225="Probabilidad"),(AD224-(+AD224*X225)),IF(AND(U224="Impacto",U225="Probabilidad"),(AD223-(+AD223*X225)),IF(U225="Impacto",AD224,""))),"")</f>
        <v/>
      </c>
      <c r="AC225" s="211" t="str">
        <f t="shared" si="430"/>
        <v/>
      </c>
      <c r="AD225" s="209" t="str">
        <f t="shared" ref="AD225:AD228" si="434">+AB225</f>
        <v/>
      </c>
      <c r="AE225" s="211" t="str">
        <f t="shared" si="431"/>
        <v/>
      </c>
      <c r="AF225" s="209" t="str">
        <f>IFERROR(IF(AND(U224="Impacto",U225="Impacto"),(AF224-(+AF224*X225)),IF(U225="Impacto",($P$31-(+$P$31*X225)),IF(U225="Probabilidad",AF224,""))),"")</f>
        <v/>
      </c>
      <c r="AG225" s="212" t="str">
        <f t="shared" si="432"/>
        <v/>
      </c>
      <c r="AH225" s="237"/>
      <c r="AI225" s="318"/>
      <c r="AJ225" s="318"/>
      <c r="AK225" s="318"/>
      <c r="AL225" s="318"/>
      <c r="AM225" s="318"/>
      <c r="AN225" s="311"/>
      <c r="AO225" s="311"/>
      <c r="AP225" s="259"/>
      <c r="AQ225" s="220"/>
      <c r="AR225" s="311"/>
      <c r="AS225" s="323"/>
      <c r="AT225" s="323"/>
      <c r="AU225" s="323"/>
      <c r="AV225" s="323"/>
      <c r="AW225" s="323"/>
      <c r="AX225" s="323"/>
      <c r="AY225" s="323"/>
      <c r="AZ225" s="323"/>
      <c r="BA225" s="323"/>
      <c r="BB225" s="323"/>
      <c r="BC225" s="323"/>
      <c r="BD225" s="323"/>
      <c r="BE225" s="323"/>
      <c r="BF225" s="323"/>
      <c r="BG225" s="323"/>
      <c r="BH225" s="323"/>
      <c r="BI225" s="323"/>
      <c r="BJ225" s="323"/>
      <c r="BK225" s="323"/>
      <c r="BL225" s="323"/>
      <c r="BM225" s="323"/>
      <c r="BN225" s="323"/>
      <c r="BO225" s="323"/>
      <c r="BP225" s="323"/>
      <c r="BQ225" s="323"/>
      <c r="BR225" s="323"/>
      <c r="BS225" s="323"/>
      <c r="BT225" s="323"/>
      <c r="BU225" s="323"/>
      <c r="BV225" s="323"/>
      <c r="BW225" s="323"/>
      <c r="BX225" s="323"/>
      <c r="BY225" s="323"/>
    </row>
    <row r="226" spans="1:77" s="113" customFormat="1" ht="16.5" hidden="1" customHeight="1" x14ac:dyDescent="0.2">
      <c r="A226" s="437"/>
      <c r="B226" s="438"/>
      <c r="C226" s="434"/>
      <c r="D226" s="434"/>
      <c r="E226" s="434"/>
      <c r="F226" s="435"/>
      <c r="G226" s="436"/>
      <c r="H226" s="435"/>
      <c r="I226" s="435"/>
      <c r="J226" s="439"/>
      <c r="K226" s="430"/>
      <c r="L226" s="431"/>
      <c r="M226" s="432"/>
      <c r="N226" s="310">
        <f ca="1">IF(NOT(ISERROR(MATCH(M226,_xlfn.ANCHORARRAY(G51),0))),L53&amp;"Por favor no seleccionar los criterios de impacto",M226)</f>
        <v>0</v>
      </c>
      <c r="O226" s="430"/>
      <c r="P226" s="431"/>
      <c r="Q226" s="433"/>
      <c r="R226" s="316">
        <v>4</v>
      </c>
      <c r="S226" s="330"/>
      <c r="T226" s="312"/>
      <c r="U226" s="208" t="str">
        <f t="shared" ref="U226:U228" si="435">IF(OR(V226="Preventivo",V226="Detectivo"),"Probabilidad",IF(V226="Correctivo","Impacto",""))</f>
        <v/>
      </c>
      <c r="V226" s="237"/>
      <c r="W226" s="237"/>
      <c r="X226" s="209" t="str">
        <f t="shared" ref="X226:X228" si="436">IF(AND(V226="Preventivo",W226="Automático"),"50%",IF(AND(V226="Preventivo",W226="Manual"),"40%",IF(AND(V226="Detectivo",W226="Automático"),"40%",IF(AND(V226="Detectivo",W226="Manual"),"30%",IF(AND(V226="Correctivo",W226="Automático"),"35%",IF(AND(V226="Correctivo",W226="Manual"),"25%",""))))))</f>
        <v/>
      </c>
      <c r="Y226" s="237"/>
      <c r="Z226" s="237"/>
      <c r="AA226" s="237"/>
      <c r="AB226" s="210" t="str">
        <f t="shared" si="433"/>
        <v/>
      </c>
      <c r="AC226" s="211" t="str">
        <f t="shared" si="430"/>
        <v/>
      </c>
      <c r="AD226" s="209" t="str">
        <f t="shared" si="434"/>
        <v/>
      </c>
      <c r="AE226" s="211" t="str">
        <f t="shared" si="431"/>
        <v/>
      </c>
      <c r="AF226" s="209" t="str">
        <f t="shared" ref="AF226:AF227" si="437">IFERROR(IF(AND(U225="Impacto",U226="Impacto"),(AF225-(+AF225*X226)),IF(U226="Impacto",($P$31-(+$P$31*X226)),IF(U226="Probabilidad",AF225,""))),"")</f>
        <v/>
      </c>
      <c r="AG226" s="212" t="str">
        <f>IFERROR(IF(OR(AND(AC226="Muy Baja",AE226="Leve"),AND(AC226="Muy Baja",AE226="Menor"),AND(AC226="Baja",AE226="Leve")),"Bajo",IF(OR(AND(AC226="Muy baja",AE226="Moderado"),AND(AC226="Baja",AE226="Menor"),AND(AC226="Baja",AE226="Moderado"),AND(AC226="Media",AE226="Leve"),AND(AC226="Media",AE226="Menor"),AND(AC226="Media",AE226="Moderado"),AND(AC226="Alta",AE226="Leve"),AND(AC226="Alta",AE226="Menor")),"Moderado",IF(OR(AND(AC226="Muy Baja",AE226="Mayor"),AND(AC226="Baja",AE226="Mayor"),AND(AC226="Media",AE226="Mayor"),AND(AC226="Alta",AE226="Moderado"),AND(AC226="Alta",AE226="Mayor"),AND(AC226="Muy Alta",AE226="Leve"),AND(AC226="Muy Alta",AE226="Menor"),AND(AC226="Muy Alta",AE226="Moderado"),AND(AC226="Muy Alta",AE226="Mayor")),"Alto",IF(OR(AND(AC226="Muy Baja",AE226="Catastrófico"),AND(AC226="Baja",AE226="Catastrófico"),AND(AC226="Media",AE226="Catastrófico"),AND(AC226="Alta",AE226="Catastrófico"),AND(AC226="Muy Alta",AE226="Catastrófico")),"Extremo","")))),"")</f>
        <v/>
      </c>
      <c r="AH226" s="237"/>
      <c r="AI226" s="318"/>
      <c r="AJ226" s="318"/>
      <c r="AK226" s="318"/>
      <c r="AL226" s="318"/>
      <c r="AM226" s="318"/>
      <c r="AN226" s="213"/>
      <c r="AO226" s="213"/>
      <c r="AP226" s="316"/>
      <c r="AQ226" s="220"/>
      <c r="AR226" s="213"/>
      <c r="AS226" s="323"/>
      <c r="AT226" s="323"/>
      <c r="AU226" s="323"/>
      <c r="AV226" s="323"/>
      <c r="AW226" s="323"/>
      <c r="AX226" s="323"/>
      <c r="AY226" s="323"/>
      <c r="AZ226" s="323"/>
      <c r="BA226" s="323"/>
      <c r="BB226" s="323"/>
      <c r="BC226" s="323"/>
      <c r="BD226" s="323"/>
      <c r="BE226" s="323"/>
      <c r="BF226" s="323"/>
      <c r="BG226" s="323"/>
      <c r="BH226" s="323"/>
      <c r="BI226" s="323"/>
      <c r="BJ226" s="323"/>
      <c r="BK226" s="323"/>
      <c r="BL226" s="323"/>
      <c r="BM226" s="323"/>
      <c r="BN226" s="323"/>
      <c r="BO226" s="323"/>
      <c r="BP226" s="323"/>
      <c r="BQ226" s="323"/>
      <c r="BR226" s="323"/>
      <c r="BS226" s="323"/>
      <c r="BT226" s="323"/>
      <c r="BU226" s="323"/>
      <c r="BV226" s="323"/>
      <c r="BW226" s="323"/>
      <c r="BX226" s="323"/>
      <c r="BY226" s="323"/>
    </row>
    <row r="227" spans="1:77" s="113" customFormat="1" ht="16.5" hidden="1" customHeight="1" x14ac:dyDescent="0.2">
      <c r="A227" s="437"/>
      <c r="B227" s="438"/>
      <c r="C227" s="434"/>
      <c r="D227" s="434"/>
      <c r="E227" s="434"/>
      <c r="F227" s="435"/>
      <c r="G227" s="436"/>
      <c r="H227" s="435"/>
      <c r="I227" s="435"/>
      <c r="J227" s="439"/>
      <c r="K227" s="430"/>
      <c r="L227" s="431"/>
      <c r="M227" s="432"/>
      <c r="N227" s="310">
        <f ca="1">IF(NOT(ISERROR(MATCH(M227,_xlfn.ANCHORARRAY(G52),0))),L54&amp;"Por favor no seleccionar los criterios de impacto",M227)</f>
        <v>0</v>
      </c>
      <c r="O227" s="430"/>
      <c r="P227" s="431"/>
      <c r="Q227" s="433"/>
      <c r="R227" s="316">
        <v>5</v>
      </c>
      <c r="S227" s="330"/>
      <c r="T227" s="312"/>
      <c r="U227" s="208" t="str">
        <f t="shared" si="435"/>
        <v/>
      </c>
      <c r="V227" s="237"/>
      <c r="W227" s="237"/>
      <c r="X227" s="209" t="str">
        <f t="shared" si="436"/>
        <v/>
      </c>
      <c r="Y227" s="237"/>
      <c r="Z227" s="237"/>
      <c r="AA227" s="237"/>
      <c r="AB227" s="210" t="str">
        <f t="shared" si="433"/>
        <v/>
      </c>
      <c r="AC227" s="211" t="str">
        <f t="shared" si="430"/>
        <v/>
      </c>
      <c r="AD227" s="209" t="str">
        <f t="shared" si="434"/>
        <v/>
      </c>
      <c r="AE227" s="211" t="str">
        <f t="shared" si="431"/>
        <v/>
      </c>
      <c r="AF227" s="209" t="str">
        <f t="shared" si="437"/>
        <v/>
      </c>
      <c r="AG227" s="212" t="str">
        <f t="shared" ref="AG227:AG228" si="438">IFERROR(IF(OR(AND(AC227="Muy Baja",AE227="Leve"),AND(AC227="Muy Baja",AE227="Menor"),AND(AC227="Baja",AE227="Leve")),"Bajo",IF(OR(AND(AC227="Muy baja",AE227="Moderado"),AND(AC227="Baja",AE227="Menor"),AND(AC227="Baja",AE227="Moderado"),AND(AC227="Media",AE227="Leve"),AND(AC227="Media",AE227="Menor"),AND(AC227="Media",AE227="Moderado"),AND(AC227="Alta",AE227="Leve"),AND(AC227="Alta",AE227="Menor")),"Moderado",IF(OR(AND(AC227="Muy Baja",AE227="Mayor"),AND(AC227="Baja",AE227="Mayor"),AND(AC227="Media",AE227="Mayor"),AND(AC227="Alta",AE227="Moderado"),AND(AC227="Alta",AE227="Mayor"),AND(AC227="Muy Alta",AE227="Leve"),AND(AC227="Muy Alta",AE227="Menor"),AND(AC227="Muy Alta",AE227="Moderado"),AND(AC227="Muy Alta",AE227="Mayor")),"Alto",IF(OR(AND(AC227="Muy Baja",AE227="Catastrófico"),AND(AC227="Baja",AE227="Catastrófico"),AND(AC227="Media",AE227="Catastrófico"),AND(AC227="Alta",AE227="Catastrófico"),AND(AC227="Muy Alta",AE227="Catastrófico")),"Extremo","")))),"")</f>
        <v/>
      </c>
      <c r="AH227" s="237"/>
      <c r="AI227" s="318"/>
      <c r="AJ227" s="318"/>
      <c r="AK227" s="318"/>
      <c r="AL227" s="318"/>
      <c r="AM227" s="318"/>
      <c r="AN227" s="312"/>
      <c r="AO227" s="312"/>
      <c r="AP227" s="309"/>
      <c r="AQ227" s="216"/>
      <c r="AR227" s="216"/>
      <c r="AS227" s="323"/>
      <c r="AT227" s="323"/>
      <c r="AU227" s="323"/>
      <c r="AV227" s="323"/>
      <c r="AW227" s="323"/>
      <c r="AX227" s="323"/>
      <c r="AY227" s="323"/>
      <c r="AZ227" s="323"/>
      <c r="BA227" s="323"/>
      <c r="BB227" s="323"/>
      <c r="BC227" s="323"/>
      <c r="BD227" s="323"/>
      <c r="BE227" s="323"/>
      <c r="BF227" s="323"/>
      <c r="BG227" s="323"/>
      <c r="BH227" s="323"/>
      <c r="BI227" s="323"/>
      <c r="BJ227" s="323"/>
      <c r="BK227" s="323"/>
      <c r="BL227" s="323"/>
      <c r="BM227" s="323"/>
      <c r="BN227" s="323"/>
      <c r="BO227" s="323"/>
      <c r="BP227" s="323"/>
      <c r="BQ227" s="323"/>
      <c r="BR227" s="323"/>
      <c r="BS227" s="323"/>
      <c r="BT227" s="323"/>
      <c r="BU227" s="323"/>
      <c r="BV227" s="323"/>
      <c r="BW227" s="323"/>
      <c r="BX227" s="323"/>
      <c r="BY227" s="323"/>
    </row>
    <row r="228" spans="1:77" s="113" customFormat="1" ht="16.5" hidden="1" customHeight="1" x14ac:dyDescent="0.2">
      <c r="A228" s="437"/>
      <c r="B228" s="438"/>
      <c r="C228" s="434"/>
      <c r="D228" s="434"/>
      <c r="E228" s="434"/>
      <c r="F228" s="435"/>
      <c r="G228" s="436"/>
      <c r="H228" s="435"/>
      <c r="I228" s="435"/>
      <c r="J228" s="439"/>
      <c r="K228" s="430"/>
      <c r="L228" s="431"/>
      <c r="M228" s="432"/>
      <c r="N228" s="310">
        <f ca="1">IF(NOT(ISERROR(MATCH(M228,_xlfn.ANCHORARRAY(G53),0))),L55&amp;"Por favor no seleccionar los criterios de impacto",M228)</f>
        <v>0</v>
      </c>
      <c r="O228" s="430"/>
      <c r="P228" s="431"/>
      <c r="Q228" s="433"/>
      <c r="R228" s="316">
        <v>6</v>
      </c>
      <c r="S228" s="330"/>
      <c r="T228" s="312"/>
      <c r="U228" s="208" t="str">
        <f t="shared" si="435"/>
        <v/>
      </c>
      <c r="V228" s="237"/>
      <c r="W228" s="237"/>
      <c r="X228" s="209" t="str">
        <f t="shared" si="436"/>
        <v/>
      </c>
      <c r="Y228" s="237"/>
      <c r="Z228" s="237"/>
      <c r="AA228" s="237"/>
      <c r="AB228" s="210" t="str">
        <f t="shared" si="433"/>
        <v/>
      </c>
      <c r="AC228" s="211" t="str">
        <f t="shared" si="430"/>
        <v/>
      </c>
      <c r="AD228" s="209" t="str">
        <f t="shared" si="434"/>
        <v/>
      </c>
      <c r="AE228" s="211" t="str">
        <f t="shared" si="431"/>
        <v/>
      </c>
      <c r="AF228" s="209" t="str">
        <f>IFERROR(IF(AND(U227="Impacto",U228="Impacto"),(AF227-(+AF227*X228)),IF(U228="Impacto",($P$31-(+$P$31*X228)),IF(U228="Probabilidad",AF227,""))),"")</f>
        <v/>
      </c>
      <c r="AG228" s="212" t="str">
        <f t="shared" si="438"/>
        <v/>
      </c>
      <c r="AH228" s="237"/>
      <c r="AI228" s="318"/>
      <c r="AJ228" s="318"/>
      <c r="AK228" s="318"/>
      <c r="AL228" s="318"/>
      <c r="AM228" s="318"/>
      <c r="AN228" s="312"/>
      <c r="AO228" s="312"/>
      <c r="AP228" s="309"/>
      <c r="AQ228" s="216"/>
      <c r="AR228" s="216"/>
      <c r="AS228" s="323"/>
      <c r="AT228" s="323"/>
      <c r="AU228" s="323"/>
      <c r="AV228" s="323"/>
      <c r="AW228" s="323"/>
      <c r="AX228" s="323"/>
      <c r="AY228" s="323"/>
      <c r="AZ228" s="323"/>
      <c r="BA228" s="323"/>
      <c r="BB228" s="323"/>
      <c r="BC228" s="323"/>
      <c r="BD228" s="323"/>
      <c r="BE228" s="323"/>
      <c r="BF228" s="323"/>
      <c r="BG228" s="323"/>
      <c r="BH228" s="323"/>
      <c r="BI228" s="323"/>
      <c r="BJ228" s="323"/>
      <c r="BK228" s="323"/>
      <c r="BL228" s="323"/>
      <c r="BM228" s="323"/>
      <c r="BN228" s="323"/>
      <c r="BO228" s="323"/>
      <c r="BP228" s="323"/>
      <c r="BQ228" s="323"/>
      <c r="BR228" s="323"/>
      <c r="BS228" s="323"/>
      <c r="BT228" s="323"/>
      <c r="BU228" s="323"/>
      <c r="BV228" s="323"/>
      <c r="BW228" s="323"/>
      <c r="BX228" s="323"/>
      <c r="BY228" s="323"/>
    </row>
    <row r="229" spans="1:77" s="271" customFormat="1" ht="216" customHeight="1" x14ac:dyDescent="0.2">
      <c r="A229" s="437" t="s">
        <v>972</v>
      </c>
      <c r="B229" s="438" t="s">
        <v>611</v>
      </c>
      <c r="C229" s="434" t="s">
        <v>620</v>
      </c>
      <c r="D229" s="434" t="s">
        <v>109</v>
      </c>
      <c r="E229" s="434" t="s">
        <v>974</v>
      </c>
      <c r="F229" s="435" t="s">
        <v>685</v>
      </c>
      <c r="G229" s="436" t="s">
        <v>973</v>
      </c>
      <c r="H229" s="435" t="s">
        <v>655</v>
      </c>
      <c r="I229" s="435" t="s">
        <v>975</v>
      </c>
      <c r="J229" s="439">
        <v>2040</v>
      </c>
      <c r="K229" s="430" t="str">
        <f t="shared" ref="K229" si="439">IF(J229&lt;=0,"",IF(J229&lt;=2,"Muy Baja",IF(J229&lt;=24,"Baja",IF(J229&lt;=500,"Media",IF(J229&lt;=5000,"Alta","Muy Alta")))))</f>
        <v>Alta</v>
      </c>
      <c r="L229" s="431">
        <f>IF(K229="","",IF(K229="Muy Baja",0.2,IF(K229="Baja",0.4,IF(K229="Media",0.6,IF(K229="Alta",0.8,IF(K229="Muy Alta",1,))))))</f>
        <v>0.8</v>
      </c>
      <c r="M229" s="432" t="s">
        <v>112</v>
      </c>
      <c r="N229" s="310" t="str">
        <f ca="1">IF(NOT(ISERROR(MATCH(M229,'Tabla Impacto'!$B$221:$B$223,0))),'Tabla Impacto'!$F$223&amp;"Por favor no seleccionar los criterios de impacto(Afectación Económica o presupuestal y Pérdida Reputacional)",M229)</f>
        <v xml:space="preserve">     Afectación menor a 10 SMLMV .</v>
      </c>
      <c r="O229" s="430" t="str">
        <f ca="1">IF(OR(N229='Tabla Impacto'!$C$11,N229='Tabla Impacto'!$D$11),"Leve",IF(OR(N229='Tabla Impacto'!$C$12,N229='Tabla Impacto'!$D$12),"Menor",IF(OR(N229='Tabla Impacto'!$C$13,N229='Tabla Impacto'!$D$13),"Moderado",IF(OR(N229='Tabla Impacto'!$C$14,N229='Tabla Impacto'!$D$14),"Mayor",IF(OR(N229='Tabla Impacto'!$C$15,N229='Tabla Impacto'!$D$15),"Catastrófico","")))))</f>
        <v>Leve</v>
      </c>
      <c r="P229" s="431">
        <f ca="1">IF(O229="","",IF(O229="Leve",0.2,IF(O229="Menor",0.4,IF(O229="Moderado",0.6,IF(O229="Mayor",0.8,IF(O229="Catastrófico",1,))))))</f>
        <v>0.2</v>
      </c>
      <c r="Q229" s="433" t="str">
        <f ca="1">IF(OR(AND(K229="Muy Baja",O229="Leve"),AND(K229="Muy Baja",O229="Menor"),AND(K229="Baja",O229="Leve")),"Bajo",IF(OR(AND(K229="Muy baja",O229="Moderado"),AND(K229="Baja",O229="Menor"),AND(K229="Baja",O229="Moderado"),AND(K229="Media",O229="Leve"),AND(K229="Media",O229="Menor"),AND(K229="Media",O229="Moderado"),AND(K229="Alta",O229="Leve"),AND(K229="Alta",O229="Menor")),"Moderado",IF(OR(AND(K229="Muy Baja",O229="Mayor"),AND(K229="Baja",O229="Mayor"),AND(K229="Media",O229="Mayor"),AND(K229="Alta",O229="Moderado"),AND(K229="Alta",O229="Mayor"),AND(K229="Muy Alta",O229="Leve"),AND(K229="Muy Alta",O229="Menor"),AND(K229="Muy Alta",O229="Moderado"),AND(K229="Muy Alta",O229="Mayor")),"Alto",IF(OR(AND(K229="Muy Baja",O229="Catastrófico"),AND(K229="Baja",O229="Catastrófico"),AND(K229="Media",O229="Catastrófico"),AND(K229="Alta",O229="Catastrófico"),AND(K229="Muy Alta",O229="Catastrófico")),"Extremo",""))))</f>
        <v>Moderado</v>
      </c>
      <c r="R229" s="261">
        <v>1</v>
      </c>
      <c r="S229" s="334" t="s">
        <v>976</v>
      </c>
      <c r="T229" s="272" t="s">
        <v>292</v>
      </c>
      <c r="U229" s="262" t="str">
        <f>IF(OR(V229="Preventivo",V229="Detectivo"),"Probabilidad",IF(V229="Correctivo","Impacto",""))</f>
        <v>Probabilidad</v>
      </c>
      <c r="V229" s="263" t="s">
        <v>13</v>
      </c>
      <c r="W229" s="263" t="s">
        <v>8</v>
      </c>
      <c r="X229" s="264" t="str">
        <f>IF(AND(V229="Preventivo",W229="Automático"),"50%",IF(AND(V229="Preventivo",W229="Manual"),"40%",IF(AND(V229="Detectivo",W229="Automático"),"40%",IF(AND(V229="Detectivo",W229="Manual"),"30%",IF(AND(V229="Correctivo",W229="Automático"),"35%",IF(AND(V229="Correctivo",W229="Manual"),"25%",""))))))</f>
        <v>40%</v>
      </c>
      <c r="Y229" s="263" t="s">
        <v>18</v>
      </c>
      <c r="Z229" s="263" t="s">
        <v>21</v>
      </c>
      <c r="AA229" s="263" t="s">
        <v>103</v>
      </c>
      <c r="AB229" s="265">
        <f t="shared" ref="AB229" si="440">IFERROR(IF(U229="Probabilidad",(L229-(+L229*X229)),IF(U229="Impacto",L229,"")),"")</f>
        <v>0.48</v>
      </c>
      <c r="AC229" s="266" t="str">
        <f>IFERROR(IF(AB229="","",IF(AB229&lt;=0.2,"Muy Baja",IF(AB229&lt;=0.4,"Baja",IF(AB229&lt;=0.6,"Media",IF(AB229&lt;=0.8,"Alta","Muy Alta"))))),"")</f>
        <v>Media</v>
      </c>
      <c r="AD229" s="264">
        <f>+AB229</f>
        <v>0.48</v>
      </c>
      <c r="AE229" s="266" t="str">
        <f ca="1">IFERROR(IF(AF229="","",IF(AF229&lt;=0.2,"Leve",IF(AF229&lt;=0.4,"Menor",IF(AF229&lt;=0.6,"Moderado",IF(AF229&lt;=0.8,"Mayor","Catastrófico"))))),"")</f>
        <v>Leve</v>
      </c>
      <c r="AF229" s="264">
        <f ca="1">IFERROR(IF(U229="Impacto",(P229-(+P229*X229)),IF(U229="Probabilidad",P229,"")),"")</f>
        <v>0.2</v>
      </c>
      <c r="AG229" s="267" t="str">
        <f ca="1">IFERROR(IF(OR(AND(AC229="Muy Baja",AE229="Leve"),AND(AC229="Muy Baja",AE229="Menor"),AND(AC229="Baja",AE229="Leve")),"Bajo",IF(OR(AND(AC229="Muy baja",AE229="Moderado"),AND(AC229="Baja",AE229="Menor"),AND(AC229="Baja",AE229="Moderado"),AND(AC229="Media",AE229="Leve"),AND(AC229="Media",AE229="Menor"),AND(AC229="Media",AE229="Moderado"),AND(AC229="Alta",AE229="Leve"),AND(AC229="Alta",AE229="Menor")),"Moderado",IF(OR(AND(AC229="Muy Baja",AE229="Mayor"),AND(AC229="Baja",AE229="Mayor"),AND(AC229="Media",AE229="Mayor"),AND(AC229="Alta",AE229="Moderado"),AND(AC229="Alta",AE229="Mayor"),AND(AC229="Muy Alta",AE229="Leve"),AND(AC229="Muy Alta",AE229="Menor"),AND(AC229="Muy Alta",AE229="Moderado"),AND(AC229="Muy Alta",AE229="Mayor")),"Alto",IF(OR(AND(AC229="Muy Baja",AE229="Catastrófico"),AND(AC229="Baja",AE229="Catastrófico"),AND(AC229="Media",AE229="Catastrófico"),AND(AC229="Alta",AE229="Catastrófico"),AND(AC229="Muy Alta",AE229="Catastrófico")),"Extremo","")))),"")</f>
        <v>Moderado</v>
      </c>
      <c r="AH229" s="263" t="s">
        <v>26</v>
      </c>
      <c r="AI229" s="273">
        <v>0</v>
      </c>
      <c r="AJ229" s="273">
        <v>0</v>
      </c>
      <c r="AK229" s="273">
        <v>0</v>
      </c>
      <c r="AL229" s="273">
        <v>0</v>
      </c>
      <c r="AM229" s="273">
        <v>0</v>
      </c>
      <c r="AN229" s="268"/>
      <c r="AO229" s="268"/>
      <c r="AP229" s="258"/>
      <c r="AQ229" s="269"/>
      <c r="AR229" s="270"/>
      <c r="AS229" s="323"/>
      <c r="AT229" s="323"/>
      <c r="AU229" s="323"/>
      <c r="AV229" s="323"/>
      <c r="AW229" s="323"/>
      <c r="AX229" s="323"/>
      <c r="AY229" s="323"/>
      <c r="AZ229" s="323"/>
      <c r="BA229" s="323"/>
      <c r="BB229" s="323"/>
      <c r="BC229" s="323"/>
      <c r="BD229" s="323"/>
      <c r="BE229" s="323"/>
      <c r="BF229" s="323"/>
      <c r="BG229" s="323"/>
      <c r="BH229" s="323"/>
      <c r="BI229" s="323"/>
      <c r="BJ229" s="323"/>
      <c r="BK229" s="323"/>
      <c r="BL229" s="323"/>
      <c r="BM229" s="323"/>
      <c r="BN229" s="323"/>
      <c r="BO229" s="323"/>
      <c r="BP229" s="323"/>
      <c r="BQ229" s="323"/>
      <c r="BR229" s="323"/>
      <c r="BS229" s="323"/>
      <c r="BT229" s="323"/>
      <c r="BU229" s="323"/>
      <c r="BV229" s="323"/>
      <c r="BW229" s="323"/>
      <c r="BX229" s="323"/>
      <c r="BY229" s="323"/>
    </row>
    <row r="230" spans="1:77" s="113" customFormat="1" ht="275.45" customHeight="1" x14ac:dyDescent="0.2">
      <c r="A230" s="437"/>
      <c r="B230" s="438"/>
      <c r="C230" s="434"/>
      <c r="D230" s="434"/>
      <c r="E230" s="434"/>
      <c r="F230" s="435"/>
      <c r="G230" s="436"/>
      <c r="H230" s="435"/>
      <c r="I230" s="435"/>
      <c r="J230" s="439"/>
      <c r="K230" s="430"/>
      <c r="L230" s="431"/>
      <c r="M230" s="432"/>
      <c r="N230" s="310">
        <f ca="1">IF(NOT(ISERROR(MATCH(M230,_xlfn.ANCHORARRAY(G37),0))),L39&amp;"Por favor no seleccionar los criterios de impacto",M230)</f>
        <v>0</v>
      </c>
      <c r="O230" s="430"/>
      <c r="P230" s="431"/>
      <c r="Q230" s="433"/>
      <c r="R230" s="316">
        <v>2</v>
      </c>
      <c r="S230" s="330" t="s">
        <v>977</v>
      </c>
      <c r="T230" s="312" t="s">
        <v>292</v>
      </c>
      <c r="U230" s="302" t="str">
        <f>IF(OR(V230="Preventivo",V230="Detectivo"),"Probabilidad",IF(V230="Correctivo","Impacto",""))</f>
        <v>Probabilidad</v>
      </c>
      <c r="V230" s="237" t="s">
        <v>13</v>
      </c>
      <c r="W230" s="237" t="s">
        <v>8</v>
      </c>
      <c r="X230" s="209" t="str">
        <f>IF(AND(V230="Preventivo",W230="Automático"),"50%",IF(AND(V230="Preventivo",W230="Manual"),"40%",IF(AND(V230="Detectivo",W230="Automático"),"40%",IF(AND(V230="Detectivo",W230="Manual"),"30%",IF(AND(V230="Correctivo",W230="Automático"),"35%",IF(AND(V230="Correctivo",W230="Manual"),"25%",""))))))</f>
        <v>40%</v>
      </c>
      <c r="Y230" s="237" t="s">
        <v>18</v>
      </c>
      <c r="Z230" s="237" t="s">
        <v>21</v>
      </c>
      <c r="AA230" s="237" t="s">
        <v>103</v>
      </c>
      <c r="AB230" s="210">
        <f t="shared" ref="AB230" si="441">IFERROR(IF(AND(U229="Probabilidad",U230="Probabilidad"),(AD229-(+AD229*X230)),IF(U230="Probabilidad",(L229-(+L229*X230)),IF(U230="Impacto",AD229,""))),"")</f>
        <v>0.28799999999999998</v>
      </c>
      <c r="AC230" s="211" t="str">
        <f t="shared" ref="AC230:AC234" si="442">IFERROR(IF(AB230="","",IF(AB230&lt;=0.2,"Muy Baja",IF(AB230&lt;=0.4,"Baja",IF(AB230&lt;=0.6,"Media",IF(AB230&lt;=0.8,"Alta","Muy Alta"))))),"")</f>
        <v>Baja</v>
      </c>
      <c r="AD230" s="209">
        <f>+AB230</f>
        <v>0.28799999999999998</v>
      </c>
      <c r="AE230" s="211" t="str">
        <f t="shared" ref="AE230:AE234" ca="1" si="443">IFERROR(IF(AF230="","",IF(AF230&lt;=0.2,"Leve",IF(AF230&lt;=0.4,"Menor",IF(AF230&lt;=0.6,"Moderado",IF(AF230&lt;=0.8,"Mayor","Catastrófico"))))),"")</f>
        <v>Leve</v>
      </c>
      <c r="AF230" s="209">
        <f ca="1">IFERROR(IF(AND(U229="Impacto",U230="Impacto"),(AF229-(+AF229*X230)),IF(U230="Impacto",($P$37-(+$P$37*X230)),IF(U230="Probabilidad",AF229,""))),"")</f>
        <v>0.2</v>
      </c>
      <c r="AG230" s="212" t="str">
        <f t="shared" ref="AG230:AG231" ca="1" si="444">IFERROR(IF(OR(AND(AC230="Muy Baja",AE230="Leve"),AND(AC230="Muy Baja",AE230="Menor"),AND(AC230="Baja",AE230="Leve")),"Bajo",IF(OR(AND(AC230="Muy baja",AE230="Moderado"),AND(AC230="Baja",AE230="Menor"),AND(AC230="Baja",AE230="Moderado"),AND(AC230="Media",AE230="Leve"),AND(AC230="Media",AE230="Menor"),AND(AC230="Media",AE230="Moderado"),AND(AC230="Alta",AE230="Leve"),AND(AC230="Alta",AE230="Menor")),"Moderado",IF(OR(AND(AC230="Muy Baja",AE230="Mayor"),AND(AC230="Baja",AE230="Mayor"),AND(AC230="Media",AE230="Mayor"),AND(AC230="Alta",AE230="Moderado"),AND(AC230="Alta",AE230="Mayor"),AND(AC230="Muy Alta",AE230="Leve"),AND(AC230="Muy Alta",AE230="Menor"),AND(AC230="Muy Alta",AE230="Moderado"),AND(AC230="Muy Alta",AE230="Mayor")),"Alto",IF(OR(AND(AC230="Muy Baja",AE230="Catastrófico"),AND(AC230="Baja",AE230="Catastrófico"),AND(AC230="Media",AE230="Catastrófico"),AND(AC230="Alta",AE230="Catastrófico"),AND(AC230="Muy Alta",AE230="Catastrófico")),"Extremo","")))),"")</f>
        <v>Bajo</v>
      </c>
      <c r="AH230" s="237" t="s">
        <v>27</v>
      </c>
      <c r="AI230" s="273">
        <v>4</v>
      </c>
      <c r="AJ230" s="273">
        <v>1</v>
      </c>
      <c r="AK230" s="273">
        <v>1</v>
      </c>
      <c r="AL230" s="273">
        <v>1</v>
      </c>
      <c r="AM230" s="273">
        <v>1</v>
      </c>
      <c r="AN230" s="311"/>
      <c r="AO230" s="311"/>
      <c r="AP230" s="259"/>
      <c r="AQ230" s="220"/>
      <c r="AR230" s="311"/>
      <c r="AS230" s="323"/>
      <c r="AT230" s="323"/>
      <c r="AU230" s="323"/>
      <c r="AV230" s="323"/>
      <c r="AW230" s="323"/>
      <c r="AX230" s="323"/>
      <c r="AY230" s="323"/>
      <c r="AZ230" s="323"/>
      <c r="BA230" s="323"/>
      <c r="BB230" s="323"/>
      <c r="BC230" s="323"/>
      <c r="BD230" s="323"/>
      <c r="BE230" s="323"/>
      <c r="BF230" s="323"/>
      <c r="BG230" s="323"/>
      <c r="BH230" s="323"/>
      <c r="BI230" s="323"/>
      <c r="BJ230" s="323"/>
      <c r="BK230" s="323"/>
      <c r="BL230" s="323"/>
      <c r="BM230" s="323"/>
      <c r="BN230" s="323"/>
      <c r="BO230" s="323"/>
      <c r="BP230" s="323"/>
      <c r="BQ230" s="323"/>
      <c r="BR230" s="323"/>
      <c r="BS230" s="323"/>
      <c r="BT230" s="323"/>
      <c r="BU230" s="323"/>
      <c r="BV230" s="323"/>
      <c r="BW230" s="323"/>
      <c r="BX230" s="323"/>
      <c r="BY230" s="323"/>
    </row>
    <row r="231" spans="1:77" s="113" customFormat="1" ht="24" hidden="1" customHeight="1" x14ac:dyDescent="0.2">
      <c r="A231" s="437"/>
      <c r="B231" s="438"/>
      <c r="C231" s="434"/>
      <c r="D231" s="434"/>
      <c r="E231" s="434"/>
      <c r="F231" s="435"/>
      <c r="G231" s="436"/>
      <c r="H231" s="435"/>
      <c r="I231" s="435"/>
      <c r="J231" s="439"/>
      <c r="K231" s="430"/>
      <c r="L231" s="431"/>
      <c r="M231" s="432"/>
      <c r="N231" s="310">
        <f ca="1">IF(NOT(ISERROR(MATCH(M231,_xlfn.ANCHORARRAY(G38),0))),L40&amp;"Por favor no seleccionar los criterios de impacto",M231)</f>
        <v>0</v>
      </c>
      <c r="O231" s="430"/>
      <c r="P231" s="431"/>
      <c r="Q231" s="433"/>
      <c r="R231" s="316">
        <v>3</v>
      </c>
      <c r="S231" s="330"/>
      <c r="T231" s="312"/>
      <c r="U231" s="302" t="str">
        <f>IF(OR(V231="Preventivo",V231="Detectivo"),"Probabilidad",IF(V231="Correctivo","Impacto",""))</f>
        <v/>
      </c>
      <c r="V231" s="237"/>
      <c r="W231" s="237"/>
      <c r="X231" s="209" t="str">
        <f>IF(AND(V231="Preventivo",W231="Automático"),"50%",IF(AND(V231="Preventivo",W231="Manual"),"40%",IF(AND(V231="Detectivo",W231="Automático"),"40%",IF(AND(V231="Detectivo",W231="Manual"),"30%",IF(AND(V231="Correctivo",W231="Automático"),"35%",IF(AND(V231="Correctivo",W231="Manual"),"25%",""))))))</f>
        <v/>
      </c>
      <c r="Y231" s="237"/>
      <c r="Z231" s="237"/>
      <c r="AA231" s="237"/>
      <c r="AB231" s="210" t="str">
        <f t="shared" ref="AB231:AB234" si="445">IFERROR(IF(AND(U230="Probabilidad",U231="Probabilidad"),(AD230-(+AD230*X231)),IF(AND(U230="Impacto",U231="Probabilidad"),(AD229-(+AD229*X231)),IF(U231="Impacto",AD230,""))),"")</f>
        <v/>
      </c>
      <c r="AC231" s="211" t="str">
        <f t="shared" si="442"/>
        <v/>
      </c>
      <c r="AD231" s="209" t="str">
        <f t="shared" ref="AD231:AD234" si="446">+AB231</f>
        <v/>
      </c>
      <c r="AE231" s="211" t="str">
        <f t="shared" si="443"/>
        <v/>
      </c>
      <c r="AF231" s="209" t="str">
        <f>IFERROR(IF(AND(U230="Impacto",U231="Impacto"),(AF230-(+AF230*X231)),IF(U231="Impacto",($P$31-(+$P$31*X231)),IF(U231="Probabilidad",AF230,""))),"")</f>
        <v/>
      </c>
      <c r="AG231" s="212" t="str">
        <f t="shared" si="444"/>
        <v/>
      </c>
      <c r="AH231" s="237"/>
      <c r="AI231" s="318"/>
      <c r="AJ231" s="318"/>
      <c r="AK231" s="318"/>
      <c r="AL231" s="318"/>
      <c r="AM231" s="318"/>
      <c r="AN231" s="311"/>
      <c r="AO231" s="311"/>
      <c r="AP231" s="259"/>
      <c r="AQ231" s="220"/>
      <c r="AR231" s="311"/>
      <c r="AS231" s="323"/>
      <c r="AT231" s="323"/>
      <c r="AU231" s="323"/>
      <c r="AV231" s="323"/>
      <c r="AW231" s="323"/>
      <c r="AX231" s="323"/>
      <c r="AY231" s="323"/>
      <c r="AZ231" s="323"/>
      <c r="BA231" s="323"/>
      <c r="BB231" s="323"/>
      <c r="BC231" s="323"/>
      <c r="BD231" s="323"/>
      <c r="BE231" s="323"/>
      <c r="BF231" s="323"/>
      <c r="BG231" s="323"/>
      <c r="BH231" s="323"/>
      <c r="BI231" s="323"/>
      <c r="BJ231" s="323"/>
      <c r="BK231" s="323"/>
      <c r="BL231" s="323"/>
      <c r="BM231" s="323"/>
      <c r="BN231" s="323"/>
      <c r="BO231" s="323"/>
      <c r="BP231" s="323"/>
      <c r="BQ231" s="323"/>
      <c r="BR231" s="323"/>
      <c r="BS231" s="323"/>
      <c r="BT231" s="323"/>
      <c r="BU231" s="323"/>
      <c r="BV231" s="323"/>
      <c r="BW231" s="323"/>
      <c r="BX231" s="323"/>
      <c r="BY231" s="323"/>
    </row>
    <row r="232" spans="1:77" s="113" customFormat="1" ht="24" hidden="1" customHeight="1" x14ac:dyDescent="0.2">
      <c r="A232" s="437"/>
      <c r="B232" s="438"/>
      <c r="C232" s="434"/>
      <c r="D232" s="434"/>
      <c r="E232" s="434"/>
      <c r="F232" s="435"/>
      <c r="G232" s="436"/>
      <c r="H232" s="435"/>
      <c r="I232" s="435"/>
      <c r="J232" s="439"/>
      <c r="K232" s="430"/>
      <c r="L232" s="431"/>
      <c r="M232" s="432"/>
      <c r="N232" s="310">
        <f ca="1">IF(NOT(ISERROR(MATCH(M232,_xlfn.ANCHORARRAY(G39),0))),L41&amp;"Por favor no seleccionar los criterios de impacto",M232)</f>
        <v>0</v>
      </c>
      <c r="O232" s="430"/>
      <c r="P232" s="431"/>
      <c r="Q232" s="433"/>
      <c r="R232" s="316">
        <v>4</v>
      </c>
      <c r="S232" s="330"/>
      <c r="T232" s="312"/>
      <c r="U232" s="208" t="str">
        <f t="shared" ref="U232:U234" si="447">IF(OR(V232="Preventivo",V232="Detectivo"),"Probabilidad",IF(V232="Correctivo","Impacto",""))</f>
        <v/>
      </c>
      <c r="V232" s="237"/>
      <c r="W232" s="237"/>
      <c r="X232" s="209" t="str">
        <f t="shared" ref="X232:X234" si="448">IF(AND(V232="Preventivo",W232="Automático"),"50%",IF(AND(V232="Preventivo",W232="Manual"),"40%",IF(AND(V232="Detectivo",W232="Automático"),"40%",IF(AND(V232="Detectivo",W232="Manual"),"30%",IF(AND(V232="Correctivo",W232="Automático"),"35%",IF(AND(V232="Correctivo",W232="Manual"),"25%",""))))))</f>
        <v/>
      </c>
      <c r="Y232" s="237"/>
      <c r="Z232" s="237"/>
      <c r="AA232" s="237"/>
      <c r="AB232" s="210" t="str">
        <f t="shared" si="445"/>
        <v/>
      </c>
      <c r="AC232" s="211" t="str">
        <f t="shared" si="442"/>
        <v/>
      </c>
      <c r="AD232" s="209" t="str">
        <f t="shared" si="446"/>
        <v/>
      </c>
      <c r="AE232" s="211" t="str">
        <f t="shared" si="443"/>
        <v/>
      </c>
      <c r="AF232" s="209" t="str">
        <f t="shared" ref="AF232:AF233" si="449">IFERROR(IF(AND(U231="Impacto",U232="Impacto"),(AF231-(+AF231*X232)),IF(U232="Impacto",($P$31-(+$P$31*X232)),IF(U232="Probabilidad",AF231,""))),"")</f>
        <v/>
      </c>
      <c r="AG232" s="212" t="str">
        <f>IFERROR(IF(OR(AND(AC232="Muy Baja",AE232="Leve"),AND(AC232="Muy Baja",AE232="Menor"),AND(AC232="Baja",AE232="Leve")),"Bajo",IF(OR(AND(AC232="Muy baja",AE232="Moderado"),AND(AC232="Baja",AE232="Menor"),AND(AC232="Baja",AE232="Moderado"),AND(AC232="Media",AE232="Leve"),AND(AC232="Media",AE232="Menor"),AND(AC232="Media",AE232="Moderado"),AND(AC232="Alta",AE232="Leve"),AND(AC232="Alta",AE232="Menor")),"Moderado",IF(OR(AND(AC232="Muy Baja",AE232="Mayor"),AND(AC232="Baja",AE232="Mayor"),AND(AC232="Media",AE232="Mayor"),AND(AC232="Alta",AE232="Moderado"),AND(AC232="Alta",AE232="Mayor"),AND(AC232="Muy Alta",AE232="Leve"),AND(AC232="Muy Alta",AE232="Menor"),AND(AC232="Muy Alta",AE232="Moderado"),AND(AC232="Muy Alta",AE232="Mayor")),"Alto",IF(OR(AND(AC232="Muy Baja",AE232="Catastrófico"),AND(AC232="Baja",AE232="Catastrófico"),AND(AC232="Media",AE232="Catastrófico"),AND(AC232="Alta",AE232="Catastrófico"),AND(AC232="Muy Alta",AE232="Catastrófico")),"Extremo","")))),"")</f>
        <v/>
      </c>
      <c r="AH232" s="237"/>
      <c r="AI232" s="318"/>
      <c r="AJ232" s="318"/>
      <c r="AK232" s="318"/>
      <c r="AL232" s="318"/>
      <c r="AM232" s="318"/>
      <c r="AN232" s="213"/>
      <c r="AO232" s="213"/>
      <c r="AP232" s="316"/>
      <c r="AQ232" s="220"/>
      <c r="AR232" s="213"/>
      <c r="AS232" s="323"/>
      <c r="AT232" s="323"/>
      <c r="AU232" s="323"/>
      <c r="AV232" s="323"/>
      <c r="AW232" s="323"/>
      <c r="AX232" s="323"/>
      <c r="AY232" s="323"/>
      <c r="AZ232" s="323"/>
      <c r="BA232" s="323"/>
      <c r="BB232" s="323"/>
      <c r="BC232" s="323"/>
      <c r="BD232" s="323"/>
      <c r="BE232" s="323"/>
      <c r="BF232" s="323"/>
      <c r="BG232" s="323"/>
      <c r="BH232" s="323"/>
      <c r="BI232" s="323"/>
      <c r="BJ232" s="323"/>
      <c r="BK232" s="323"/>
      <c r="BL232" s="323"/>
      <c r="BM232" s="323"/>
      <c r="BN232" s="323"/>
      <c r="BO232" s="323"/>
      <c r="BP232" s="323"/>
      <c r="BQ232" s="323"/>
      <c r="BR232" s="323"/>
      <c r="BS232" s="323"/>
      <c r="BT232" s="323"/>
      <c r="BU232" s="323"/>
      <c r="BV232" s="323"/>
      <c r="BW232" s="323"/>
      <c r="BX232" s="323"/>
      <c r="BY232" s="323"/>
    </row>
    <row r="233" spans="1:77" s="113" customFormat="1" ht="24" hidden="1" customHeight="1" x14ac:dyDescent="0.2">
      <c r="A233" s="437"/>
      <c r="B233" s="438"/>
      <c r="C233" s="434"/>
      <c r="D233" s="434"/>
      <c r="E233" s="434"/>
      <c r="F233" s="435"/>
      <c r="G233" s="436"/>
      <c r="H233" s="435"/>
      <c r="I233" s="435"/>
      <c r="J233" s="439"/>
      <c r="K233" s="430"/>
      <c r="L233" s="431"/>
      <c r="M233" s="432"/>
      <c r="N233" s="310">
        <f ca="1">IF(NOT(ISERROR(MATCH(M233,_xlfn.ANCHORARRAY(G40),0))),L42&amp;"Por favor no seleccionar los criterios de impacto",M233)</f>
        <v>0</v>
      </c>
      <c r="O233" s="430"/>
      <c r="P233" s="431"/>
      <c r="Q233" s="433"/>
      <c r="R233" s="316">
        <v>5</v>
      </c>
      <c r="S233" s="330"/>
      <c r="T233" s="312"/>
      <c r="U233" s="208" t="str">
        <f t="shared" si="447"/>
        <v/>
      </c>
      <c r="V233" s="237"/>
      <c r="W233" s="237"/>
      <c r="X233" s="209" t="str">
        <f t="shared" si="448"/>
        <v/>
      </c>
      <c r="Y233" s="237"/>
      <c r="Z233" s="237"/>
      <c r="AA233" s="237"/>
      <c r="AB233" s="210" t="str">
        <f t="shared" si="445"/>
        <v/>
      </c>
      <c r="AC233" s="211" t="str">
        <f t="shared" si="442"/>
        <v/>
      </c>
      <c r="AD233" s="209" t="str">
        <f t="shared" si="446"/>
        <v/>
      </c>
      <c r="AE233" s="211" t="str">
        <f t="shared" si="443"/>
        <v/>
      </c>
      <c r="AF233" s="209" t="str">
        <f t="shared" si="449"/>
        <v/>
      </c>
      <c r="AG233" s="212" t="str">
        <f t="shared" ref="AG233:AG234" si="450">IFERROR(IF(OR(AND(AC233="Muy Baja",AE233="Leve"),AND(AC233="Muy Baja",AE233="Menor"),AND(AC233="Baja",AE233="Leve")),"Bajo",IF(OR(AND(AC233="Muy baja",AE233="Moderado"),AND(AC233="Baja",AE233="Menor"),AND(AC233="Baja",AE233="Moderado"),AND(AC233="Media",AE233="Leve"),AND(AC233="Media",AE233="Menor"),AND(AC233="Media",AE233="Moderado"),AND(AC233="Alta",AE233="Leve"),AND(AC233="Alta",AE233="Menor")),"Moderado",IF(OR(AND(AC233="Muy Baja",AE233="Mayor"),AND(AC233="Baja",AE233="Mayor"),AND(AC233="Media",AE233="Mayor"),AND(AC233="Alta",AE233="Moderado"),AND(AC233="Alta",AE233="Mayor"),AND(AC233="Muy Alta",AE233="Leve"),AND(AC233="Muy Alta",AE233="Menor"),AND(AC233="Muy Alta",AE233="Moderado"),AND(AC233="Muy Alta",AE233="Mayor")),"Alto",IF(OR(AND(AC233="Muy Baja",AE233="Catastrófico"),AND(AC233="Baja",AE233="Catastrófico"),AND(AC233="Media",AE233="Catastrófico"),AND(AC233="Alta",AE233="Catastrófico"),AND(AC233="Muy Alta",AE233="Catastrófico")),"Extremo","")))),"")</f>
        <v/>
      </c>
      <c r="AH233" s="237"/>
      <c r="AI233" s="318"/>
      <c r="AJ233" s="318"/>
      <c r="AK233" s="318"/>
      <c r="AL233" s="318"/>
      <c r="AM233" s="318"/>
      <c r="AN233" s="312"/>
      <c r="AO233" s="312"/>
      <c r="AP233" s="309"/>
      <c r="AQ233" s="216"/>
      <c r="AR233" s="216"/>
      <c r="AS233" s="323"/>
      <c r="AT233" s="323"/>
      <c r="AU233" s="323"/>
      <c r="AV233" s="323"/>
      <c r="AW233" s="323"/>
      <c r="AX233" s="323"/>
      <c r="AY233" s="323"/>
      <c r="AZ233" s="323"/>
      <c r="BA233" s="323"/>
      <c r="BB233" s="323"/>
      <c r="BC233" s="323"/>
      <c r="BD233" s="323"/>
      <c r="BE233" s="323"/>
      <c r="BF233" s="323"/>
      <c r="BG233" s="323"/>
      <c r="BH233" s="323"/>
      <c r="BI233" s="323"/>
      <c r="BJ233" s="323"/>
      <c r="BK233" s="323"/>
      <c r="BL233" s="323"/>
      <c r="BM233" s="323"/>
      <c r="BN233" s="323"/>
      <c r="BO233" s="323"/>
      <c r="BP233" s="323"/>
      <c r="BQ233" s="323"/>
      <c r="BR233" s="323"/>
      <c r="BS233" s="323"/>
      <c r="BT233" s="323"/>
      <c r="BU233" s="323"/>
      <c r="BV233" s="323"/>
      <c r="BW233" s="323"/>
      <c r="BX233" s="323"/>
      <c r="BY233" s="323"/>
    </row>
    <row r="234" spans="1:77" s="113" customFormat="1" ht="24" hidden="1" customHeight="1" x14ac:dyDescent="0.2">
      <c r="A234" s="437"/>
      <c r="B234" s="438"/>
      <c r="C234" s="434"/>
      <c r="D234" s="434"/>
      <c r="E234" s="434"/>
      <c r="F234" s="435"/>
      <c r="G234" s="436"/>
      <c r="H234" s="435"/>
      <c r="I234" s="435"/>
      <c r="J234" s="439"/>
      <c r="K234" s="430"/>
      <c r="L234" s="431"/>
      <c r="M234" s="432"/>
      <c r="N234" s="310">
        <f ca="1">IF(NOT(ISERROR(MATCH(M234,_xlfn.ANCHORARRAY(G41),0))),L43&amp;"Por favor no seleccionar los criterios de impacto",M234)</f>
        <v>0</v>
      </c>
      <c r="O234" s="430"/>
      <c r="P234" s="431"/>
      <c r="Q234" s="433"/>
      <c r="R234" s="316">
        <v>6</v>
      </c>
      <c r="S234" s="330"/>
      <c r="T234" s="312"/>
      <c r="U234" s="208" t="str">
        <f t="shared" si="447"/>
        <v/>
      </c>
      <c r="V234" s="237"/>
      <c r="W234" s="237"/>
      <c r="X234" s="209" t="str">
        <f t="shared" si="448"/>
        <v/>
      </c>
      <c r="Y234" s="237"/>
      <c r="Z234" s="237"/>
      <c r="AA234" s="237"/>
      <c r="AB234" s="210" t="str">
        <f t="shared" si="445"/>
        <v/>
      </c>
      <c r="AC234" s="211" t="str">
        <f t="shared" si="442"/>
        <v/>
      </c>
      <c r="AD234" s="209" t="str">
        <f t="shared" si="446"/>
        <v/>
      </c>
      <c r="AE234" s="211" t="str">
        <f t="shared" si="443"/>
        <v/>
      </c>
      <c r="AF234" s="209" t="str">
        <f>IFERROR(IF(AND(U233="Impacto",U234="Impacto"),(AF233-(+AF233*X234)),IF(U234="Impacto",($P$31-(+$P$31*X234)),IF(U234="Probabilidad",AF233,""))),"")</f>
        <v/>
      </c>
      <c r="AG234" s="212" t="str">
        <f t="shared" si="450"/>
        <v/>
      </c>
      <c r="AH234" s="237"/>
      <c r="AI234" s="318"/>
      <c r="AJ234" s="318"/>
      <c r="AK234" s="318"/>
      <c r="AL234" s="318"/>
      <c r="AM234" s="318"/>
      <c r="AN234" s="312"/>
      <c r="AO234" s="312"/>
      <c r="AP234" s="309"/>
      <c r="AQ234" s="216"/>
      <c r="AR234" s="216"/>
      <c r="AS234" s="323"/>
      <c r="AT234" s="323"/>
      <c r="AU234" s="323"/>
      <c r="AV234" s="323"/>
      <c r="AW234" s="323"/>
      <c r="AX234" s="323"/>
      <c r="AY234" s="323"/>
      <c r="AZ234" s="323"/>
      <c r="BA234" s="323"/>
      <c r="BB234" s="323"/>
      <c r="BC234" s="323"/>
      <c r="BD234" s="323"/>
      <c r="BE234" s="323"/>
      <c r="BF234" s="323"/>
      <c r="BG234" s="323"/>
      <c r="BH234" s="323"/>
      <c r="BI234" s="323"/>
      <c r="BJ234" s="323"/>
      <c r="BK234" s="323"/>
      <c r="BL234" s="323"/>
      <c r="BM234" s="323"/>
      <c r="BN234" s="323"/>
      <c r="BO234" s="323"/>
      <c r="BP234" s="323"/>
      <c r="BQ234" s="323"/>
      <c r="BR234" s="323"/>
      <c r="BS234" s="323"/>
      <c r="BT234" s="323"/>
      <c r="BU234" s="323"/>
      <c r="BV234" s="323"/>
      <c r="BW234" s="323"/>
      <c r="BX234" s="323"/>
      <c r="BY234" s="323"/>
    </row>
    <row r="235" spans="1:77" s="271" customFormat="1" ht="114" x14ac:dyDescent="0.2">
      <c r="A235" s="437" t="s">
        <v>978</v>
      </c>
      <c r="B235" s="438" t="s">
        <v>611</v>
      </c>
      <c r="C235" s="434" t="s">
        <v>620</v>
      </c>
      <c r="D235" s="434" t="s">
        <v>109</v>
      </c>
      <c r="E235" s="434" t="s">
        <v>980</v>
      </c>
      <c r="F235" s="435" t="s">
        <v>685</v>
      </c>
      <c r="G235" s="436" t="s">
        <v>979</v>
      </c>
      <c r="H235" s="435" t="s">
        <v>655</v>
      </c>
      <c r="I235" s="435" t="s">
        <v>975</v>
      </c>
      <c r="J235" s="439">
        <v>4800</v>
      </c>
      <c r="K235" s="430" t="str">
        <f t="shared" ref="K235" si="451">IF(J235&lt;=0,"",IF(J235&lt;=2,"Muy Baja",IF(J235&lt;=24,"Baja",IF(J235&lt;=500,"Media",IF(J235&lt;=5000,"Alta","Muy Alta")))))</f>
        <v>Alta</v>
      </c>
      <c r="L235" s="431">
        <f>IF(K235="","",IF(K235="Muy Baja",0.2,IF(K235="Baja",0.4,IF(K235="Media",0.6,IF(K235="Alta",0.8,IF(K235="Muy Alta",1,))))))</f>
        <v>0.8</v>
      </c>
      <c r="M235" s="432" t="s">
        <v>121</v>
      </c>
      <c r="N235" s="310" t="str">
        <f ca="1">IF(NOT(ISERROR(MATCH(M235,'Tabla Impacto'!$B$221:$B$223,0))),'Tabla Impacto'!$F$223&amp;"Por favor no seleccionar los criterios de impacto(Afectación Económica o presupuestal y Pérdida Reputacional)",M235)</f>
        <v xml:space="preserve">     El riesgo afecta la imagen de la entidad con algunos usuarios de relevancia frente al logro de los objetivos</v>
      </c>
      <c r="O235" s="430" t="str">
        <f ca="1">IF(OR(N235='Tabla Impacto'!$C$11,N235='Tabla Impacto'!$D$11),"Leve",IF(OR(N235='Tabla Impacto'!$C$12,N235='Tabla Impacto'!$D$12),"Menor",IF(OR(N235='Tabla Impacto'!$C$13,N235='Tabla Impacto'!$D$13),"Moderado",IF(OR(N235='Tabla Impacto'!$C$14,N235='Tabla Impacto'!$D$14),"Mayor",IF(OR(N235='Tabla Impacto'!$C$15,N235='Tabla Impacto'!$D$15),"Catastrófico","")))))</f>
        <v>Moderado</v>
      </c>
      <c r="P235" s="431">
        <f ca="1">IF(O235="","",IF(O235="Leve",0.2,IF(O235="Menor",0.4,IF(O235="Moderado",0.6,IF(O235="Mayor",0.8,IF(O235="Catastrófico",1,))))))</f>
        <v>0.6</v>
      </c>
      <c r="Q235" s="433" t="str">
        <f ca="1">IF(OR(AND(K235="Muy Baja",O235="Leve"),AND(K235="Muy Baja",O235="Menor"),AND(K235="Baja",O235="Leve")),"Bajo",IF(OR(AND(K235="Muy baja",O235="Moderado"),AND(K235="Baja",O235="Menor"),AND(K235="Baja",O235="Moderado"),AND(K235="Media",O235="Leve"),AND(K235="Media",O235="Menor"),AND(K235="Media",O235="Moderado"),AND(K235="Alta",O235="Leve"),AND(K235="Alta",O235="Menor")),"Moderado",IF(OR(AND(K235="Muy Baja",O235="Mayor"),AND(K235="Baja",O235="Mayor"),AND(K235="Media",O235="Mayor"),AND(K235="Alta",O235="Moderado"),AND(K235="Alta",O235="Mayor"),AND(K235="Muy Alta",O235="Leve"),AND(K235="Muy Alta",O235="Menor"),AND(K235="Muy Alta",O235="Moderado"),AND(K235="Muy Alta",O235="Mayor")),"Alto",IF(OR(AND(K235="Muy Baja",O235="Catastrófico"),AND(K235="Baja",O235="Catastrófico"),AND(K235="Media",O235="Catastrófico"),AND(K235="Alta",O235="Catastrófico"),AND(K235="Muy Alta",O235="Catastrófico")),"Extremo",""))))</f>
        <v>Alto</v>
      </c>
      <c r="R235" s="261">
        <v>1</v>
      </c>
      <c r="S235" s="334" t="s">
        <v>981</v>
      </c>
      <c r="T235" s="272" t="s">
        <v>293</v>
      </c>
      <c r="U235" s="262" t="str">
        <f>IF(OR(V235="Preventivo",V235="Detectivo"),"Probabilidad",IF(V235="Correctivo","Impacto",""))</f>
        <v>Probabilidad</v>
      </c>
      <c r="V235" s="263" t="s">
        <v>13</v>
      </c>
      <c r="W235" s="263" t="s">
        <v>8</v>
      </c>
      <c r="X235" s="264" t="str">
        <f>IF(AND(V235="Preventivo",W235="Automático"),"50%",IF(AND(V235="Preventivo",W235="Manual"),"40%",IF(AND(V235="Detectivo",W235="Automático"),"40%",IF(AND(V235="Detectivo",W235="Manual"),"30%",IF(AND(V235="Correctivo",W235="Automático"),"35%",IF(AND(V235="Correctivo",W235="Manual"),"25%",""))))))</f>
        <v>40%</v>
      </c>
      <c r="Y235" s="263" t="s">
        <v>18</v>
      </c>
      <c r="Z235" s="263" t="s">
        <v>21</v>
      </c>
      <c r="AA235" s="263" t="s">
        <v>103</v>
      </c>
      <c r="AB235" s="265">
        <f t="shared" ref="AB235" si="452">IFERROR(IF(U235="Probabilidad",(L235-(+L235*X235)),IF(U235="Impacto",L235,"")),"")</f>
        <v>0.48</v>
      </c>
      <c r="AC235" s="266" t="str">
        <f>IFERROR(IF(AB235="","",IF(AB235&lt;=0.2,"Muy Baja",IF(AB235&lt;=0.4,"Baja",IF(AB235&lt;=0.6,"Media",IF(AB235&lt;=0.8,"Alta","Muy Alta"))))),"")</f>
        <v>Media</v>
      </c>
      <c r="AD235" s="264">
        <f>+AB235</f>
        <v>0.48</v>
      </c>
      <c r="AE235" s="266" t="str">
        <f ca="1">IFERROR(IF(AF235="","",IF(AF235&lt;=0.2,"Leve",IF(AF235&lt;=0.4,"Menor",IF(AF235&lt;=0.6,"Moderado",IF(AF235&lt;=0.8,"Mayor","Catastrófico"))))),"")</f>
        <v>Moderado</v>
      </c>
      <c r="AF235" s="264">
        <f ca="1">IFERROR(IF(U235="Impacto",(P235-(+P235*X235)),IF(U235="Probabilidad",P235,"")),"")</f>
        <v>0.6</v>
      </c>
      <c r="AG235" s="267" t="str">
        <f ca="1">IFERROR(IF(OR(AND(AC235="Muy Baja",AE235="Leve"),AND(AC235="Muy Baja",AE235="Menor"),AND(AC235="Baja",AE235="Leve")),"Bajo",IF(OR(AND(AC235="Muy baja",AE235="Moderado"),AND(AC235="Baja",AE235="Menor"),AND(AC235="Baja",AE235="Moderado"),AND(AC235="Media",AE235="Leve"),AND(AC235="Media",AE235="Menor"),AND(AC235="Media",AE235="Moderado"),AND(AC235="Alta",AE235="Leve"),AND(AC235="Alta",AE235="Menor")),"Moderado",IF(OR(AND(AC235="Muy Baja",AE235="Mayor"),AND(AC235="Baja",AE235="Mayor"),AND(AC235="Media",AE235="Mayor"),AND(AC235="Alta",AE235="Moderado"),AND(AC235="Alta",AE235="Mayor"),AND(AC235="Muy Alta",AE235="Leve"),AND(AC235="Muy Alta",AE235="Menor"),AND(AC235="Muy Alta",AE235="Moderado"),AND(AC235="Muy Alta",AE235="Mayor")),"Alto",IF(OR(AND(AC235="Muy Baja",AE235="Catastrófico"),AND(AC235="Baja",AE235="Catastrófico"),AND(AC235="Media",AE235="Catastrófico"),AND(AC235="Alta",AE235="Catastrófico"),AND(AC235="Muy Alta",AE235="Catastrófico")),"Extremo","")))),"")</f>
        <v>Moderado</v>
      </c>
      <c r="AH235" s="263" t="s">
        <v>26</v>
      </c>
      <c r="AI235" s="273">
        <v>4</v>
      </c>
      <c r="AJ235" s="273">
        <v>1</v>
      </c>
      <c r="AK235" s="273">
        <v>1</v>
      </c>
      <c r="AL235" s="273">
        <v>1</v>
      </c>
      <c r="AM235" s="273">
        <v>1</v>
      </c>
      <c r="AN235" s="268"/>
      <c r="AO235" s="268"/>
      <c r="AP235" s="258"/>
      <c r="AQ235" s="269"/>
      <c r="AR235" s="270"/>
      <c r="AS235" s="323"/>
      <c r="AT235" s="323"/>
      <c r="AU235" s="323"/>
      <c r="AV235" s="323"/>
      <c r="AW235" s="323"/>
      <c r="AX235" s="323"/>
      <c r="AY235" s="323"/>
      <c r="AZ235" s="323"/>
      <c r="BA235" s="323"/>
      <c r="BB235" s="323"/>
      <c r="BC235" s="323"/>
      <c r="BD235" s="323"/>
      <c r="BE235" s="323"/>
      <c r="BF235" s="323"/>
      <c r="BG235" s="323"/>
      <c r="BH235" s="323"/>
      <c r="BI235" s="323"/>
      <c r="BJ235" s="323"/>
      <c r="BK235" s="323"/>
      <c r="BL235" s="323"/>
      <c r="BM235" s="323"/>
      <c r="BN235" s="323"/>
      <c r="BO235" s="323"/>
      <c r="BP235" s="323"/>
      <c r="BQ235" s="323"/>
      <c r="BR235" s="323"/>
      <c r="BS235" s="323"/>
      <c r="BT235" s="323"/>
      <c r="BU235" s="323"/>
      <c r="BV235" s="323"/>
      <c r="BW235" s="323"/>
      <c r="BX235" s="323"/>
      <c r="BY235" s="323"/>
    </row>
    <row r="236" spans="1:77" s="113" customFormat="1" ht="27.75" hidden="1" customHeight="1" x14ac:dyDescent="0.2">
      <c r="A236" s="437"/>
      <c r="B236" s="438"/>
      <c r="C236" s="434"/>
      <c r="D236" s="434"/>
      <c r="E236" s="434"/>
      <c r="F236" s="435"/>
      <c r="G236" s="436"/>
      <c r="H236" s="435"/>
      <c r="I236" s="435"/>
      <c r="J236" s="439"/>
      <c r="K236" s="430"/>
      <c r="L236" s="431"/>
      <c r="M236" s="432"/>
      <c r="N236" s="310">
        <f ca="1">IF(NOT(ISERROR(MATCH(M236,_xlfn.ANCHORARRAY(G43),0))),L45&amp;"Por favor no seleccionar los criterios de impacto",M236)</f>
        <v>0</v>
      </c>
      <c r="O236" s="430"/>
      <c r="P236" s="431"/>
      <c r="Q236" s="433"/>
      <c r="R236" s="316">
        <v>2</v>
      </c>
      <c r="S236" s="330"/>
      <c r="T236" s="312"/>
      <c r="U236" s="302" t="str">
        <f>IF(OR(V236="Preventivo",V236="Detectivo"),"Probabilidad",IF(V236="Correctivo","Impacto",""))</f>
        <v/>
      </c>
      <c r="V236" s="237"/>
      <c r="W236" s="237"/>
      <c r="X236" s="209" t="str">
        <f>IF(AND(V236="Preventivo",W236="Automático"),"50%",IF(AND(V236="Preventivo",W236="Manual"),"40%",IF(AND(V236="Detectivo",W236="Automático"),"40%",IF(AND(V236="Detectivo",W236="Manual"),"30%",IF(AND(V236="Correctivo",W236="Automático"),"35%",IF(AND(V236="Correctivo",W236="Manual"),"25%",""))))))</f>
        <v/>
      </c>
      <c r="Y236" s="237"/>
      <c r="Z236" s="237"/>
      <c r="AA236" s="237"/>
      <c r="AB236" s="210" t="str">
        <f t="shared" ref="AB236" si="453">IFERROR(IF(AND(U235="Probabilidad",U236="Probabilidad"),(AD235-(+AD235*X236)),IF(U236="Probabilidad",(L235-(+L235*X236)),IF(U236="Impacto",AD235,""))),"")</f>
        <v/>
      </c>
      <c r="AC236" s="211" t="str">
        <f t="shared" ref="AC236:AC240" si="454">IFERROR(IF(AB236="","",IF(AB236&lt;=0.2,"Muy Baja",IF(AB236&lt;=0.4,"Baja",IF(AB236&lt;=0.6,"Media",IF(AB236&lt;=0.8,"Alta","Muy Alta"))))),"")</f>
        <v/>
      </c>
      <c r="AD236" s="209" t="str">
        <f>+AB236</f>
        <v/>
      </c>
      <c r="AE236" s="211" t="str">
        <f t="shared" ref="AE236:AE240" si="455">IFERROR(IF(AF236="","",IF(AF236&lt;=0.2,"Leve",IF(AF236&lt;=0.4,"Menor",IF(AF236&lt;=0.6,"Moderado",IF(AF236&lt;=0.8,"Mayor","Catastrófico"))))),"")</f>
        <v/>
      </c>
      <c r="AF236" s="209" t="str">
        <f>IFERROR(IF(AND(U235="Impacto",U236="Impacto"),(AF235-(+AF235*X236)),IF(U236="Impacto",($P$37-(+$P$37*X236)),IF(U236="Probabilidad",AF235,""))),"")</f>
        <v/>
      </c>
      <c r="AG236" s="212" t="str">
        <f t="shared" ref="AG236:AG237" si="456">IFERROR(IF(OR(AND(AC236="Muy Baja",AE236="Leve"),AND(AC236="Muy Baja",AE236="Menor"),AND(AC236="Baja",AE236="Leve")),"Bajo",IF(OR(AND(AC236="Muy baja",AE236="Moderado"),AND(AC236="Baja",AE236="Menor"),AND(AC236="Baja",AE236="Moderado"),AND(AC236="Media",AE236="Leve"),AND(AC236="Media",AE236="Menor"),AND(AC236="Media",AE236="Moderado"),AND(AC236="Alta",AE236="Leve"),AND(AC236="Alta",AE236="Menor")),"Moderado",IF(OR(AND(AC236="Muy Baja",AE236="Mayor"),AND(AC236="Baja",AE236="Mayor"),AND(AC236="Media",AE236="Mayor"),AND(AC236="Alta",AE236="Moderado"),AND(AC236="Alta",AE236="Mayor"),AND(AC236="Muy Alta",AE236="Leve"),AND(AC236="Muy Alta",AE236="Menor"),AND(AC236="Muy Alta",AE236="Moderado"),AND(AC236="Muy Alta",AE236="Mayor")),"Alto",IF(OR(AND(AC236="Muy Baja",AE236="Catastrófico"),AND(AC236="Baja",AE236="Catastrófico"),AND(AC236="Media",AE236="Catastrófico"),AND(AC236="Alta",AE236="Catastrófico"),AND(AC236="Muy Alta",AE236="Catastrófico")),"Extremo","")))),"")</f>
        <v/>
      </c>
      <c r="AH236" s="237"/>
      <c r="AI236" s="318"/>
      <c r="AJ236" s="318"/>
      <c r="AK236" s="318"/>
      <c r="AL236" s="318"/>
      <c r="AM236" s="318"/>
      <c r="AN236" s="311"/>
      <c r="AO236" s="311"/>
      <c r="AP236" s="259"/>
      <c r="AQ236" s="220"/>
      <c r="AR236" s="311"/>
      <c r="AS236" s="323"/>
      <c r="AT236" s="323"/>
      <c r="AU236" s="323"/>
      <c r="AV236" s="323"/>
      <c r="AW236" s="323"/>
      <c r="AX236" s="323"/>
      <c r="AY236" s="323"/>
      <c r="AZ236" s="323"/>
      <c r="BA236" s="323"/>
      <c r="BB236" s="323"/>
      <c r="BC236" s="323"/>
      <c r="BD236" s="323"/>
      <c r="BE236" s="323"/>
      <c r="BF236" s="323"/>
      <c r="BG236" s="323"/>
      <c r="BH236" s="323"/>
      <c r="BI236" s="323"/>
      <c r="BJ236" s="323"/>
      <c r="BK236" s="323"/>
      <c r="BL236" s="323"/>
      <c r="BM236" s="323"/>
      <c r="BN236" s="323"/>
      <c r="BO236" s="323"/>
      <c r="BP236" s="323"/>
      <c r="BQ236" s="323"/>
      <c r="BR236" s="323"/>
      <c r="BS236" s="323"/>
      <c r="BT236" s="323"/>
      <c r="BU236" s="323"/>
      <c r="BV236" s="323"/>
      <c r="BW236" s="323"/>
      <c r="BX236" s="323"/>
      <c r="BY236" s="323"/>
    </row>
    <row r="237" spans="1:77" s="113" customFormat="1" ht="27.75" hidden="1" customHeight="1" x14ac:dyDescent="0.2">
      <c r="A237" s="437"/>
      <c r="B237" s="438"/>
      <c r="C237" s="434"/>
      <c r="D237" s="434"/>
      <c r="E237" s="434"/>
      <c r="F237" s="435"/>
      <c r="G237" s="436"/>
      <c r="H237" s="435"/>
      <c r="I237" s="435"/>
      <c r="J237" s="439"/>
      <c r="K237" s="430"/>
      <c r="L237" s="431"/>
      <c r="M237" s="432"/>
      <c r="N237" s="310">
        <f ca="1">IF(NOT(ISERROR(MATCH(M237,_xlfn.ANCHORARRAY(G44),0))),L46&amp;"Por favor no seleccionar los criterios de impacto",M237)</f>
        <v>0</v>
      </c>
      <c r="O237" s="430"/>
      <c r="P237" s="431"/>
      <c r="Q237" s="433"/>
      <c r="R237" s="316">
        <v>3</v>
      </c>
      <c r="S237" s="330"/>
      <c r="T237" s="312"/>
      <c r="U237" s="302" t="str">
        <f>IF(OR(V237="Preventivo",V237="Detectivo"),"Probabilidad",IF(V237="Correctivo","Impacto",""))</f>
        <v/>
      </c>
      <c r="V237" s="237"/>
      <c r="W237" s="237"/>
      <c r="X237" s="209" t="str">
        <f>IF(AND(V237="Preventivo",W237="Automático"),"50%",IF(AND(V237="Preventivo",W237="Manual"),"40%",IF(AND(V237="Detectivo",W237="Automático"),"40%",IF(AND(V237="Detectivo",W237="Manual"),"30%",IF(AND(V237="Correctivo",W237="Automático"),"35%",IF(AND(V237="Correctivo",W237="Manual"),"25%",""))))))</f>
        <v/>
      </c>
      <c r="Y237" s="237"/>
      <c r="Z237" s="237"/>
      <c r="AA237" s="237"/>
      <c r="AB237" s="210" t="str">
        <f t="shared" ref="AB237:AB240" si="457">IFERROR(IF(AND(U236="Probabilidad",U237="Probabilidad"),(AD236-(+AD236*X237)),IF(AND(U236="Impacto",U237="Probabilidad"),(AD235-(+AD235*X237)),IF(U237="Impacto",AD236,""))),"")</f>
        <v/>
      </c>
      <c r="AC237" s="211" t="str">
        <f t="shared" si="454"/>
        <v/>
      </c>
      <c r="AD237" s="209" t="str">
        <f t="shared" ref="AD237:AD240" si="458">+AB237</f>
        <v/>
      </c>
      <c r="AE237" s="211" t="str">
        <f t="shared" si="455"/>
        <v/>
      </c>
      <c r="AF237" s="209" t="str">
        <f>IFERROR(IF(AND(U236="Impacto",U237="Impacto"),(AF236-(+AF236*X237)),IF(U237="Impacto",($P$31-(+$P$31*X237)),IF(U237="Probabilidad",AF236,""))),"")</f>
        <v/>
      </c>
      <c r="AG237" s="212" t="str">
        <f t="shared" si="456"/>
        <v/>
      </c>
      <c r="AH237" s="237"/>
      <c r="AI237" s="318"/>
      <c r="AJ237" s="318"/>
      <c r="AK237" s="318"/>
      <c r="AL237" s="318"/>
      <c r="AM237" s="318"/>
      <c r="AN237" s="311"/>
      <c r="AO237" s="311"/>
      <c r="AP237" s="259"/>
      <c r="AQ237" s="220"/>
      <c r="AR237" s="311"/>
      <c r="AS237" s="323"/>
      <c r="AT237" s="323"/>
      <c r="AU237" s="323"/>
      <c r="AV237" s="323"/>
      <c r="AW237" s="323"/>
      <c r="AX237" s="323"/>
      <c r="AY237" s="323"/>
      <c r="AZ237" s="323"/>
      <c r="BA237" s="323"/>
      <c r="BB237" s="323"/>
      <c r="BC237" s="323"/>
      <c r="BD237" s="323"/>
      <c r="BE237" s="323"/>
      <c r="BF237" s="323"/>
      <c r="BG237" s="323"/>
      <c r="BH237" s="323"/>
      <c r="BI237" s="323"/>
      <c r="BJ237" s="323"/>
      <c r="BK237" s="323"/>
      <c r="BL237" s="323"/>
      <c r="BM237" s="323"/>
      <c r="BN237" s="323"/>
      <c r="BO237" s="323"/>
      <c r="BP237" s="323"/>
      <c r="BQ237" s="323"/>
      <c r="BR237" s="323"/>
      <c r="BS237" s="323"/>
      <c r="BT237" s="323"/>
      <c r="BU237" s="323"/>
      <c r="BV237" s="323"/>
      <c r="BW237" s="323"/>
      <c r="BX237" s="323"/>
      <c r="BY237" s="323"/>
    </row>
    <row r="238" spans="1:77" s="113" customFormat="1" ht="27.75" hidden="1" customHeight="1" x14ac:dyDescent="0.2">
      <c r="A238" s="437"/>
      <c r="B238" s="438"/>
      <c r="C238" s="434"/>
      <c r="D238" s="434"/>
      <c r="E238" s="434"/>
      <c r="F238" s="435"/>
      <c r="G238" s="436"/>
      <c r="H238" s="435"/>
      <c r="I238" s="435"/>
      <c r="J238" s="439"/>
      <c r="K238" s="430"/>
      <c r="L238" s="431"/>
      <c r="M238" s="432"/>
      <c r="N238" s="310">
        <f ca="1">IF(NOT(ISERROR(MATCH(M238,_xlfn.ANCHORARRAY(G45),0))),L47&amp;"Por favor no seleccionar los criterios de impacto",M238)</f>
        <v>0</v>
      </c>
      <c r="O238" s="430"/>
      <c r="P238" s="431"/>
      <c r="Q238" s="433"/>
      <c r="R238" s="316">
        <v>4</v>
      </c>
      <c r="S238" s="330"/>
      <c r="T238" s="312"/>
      <c r="U238" s="208" t="str">
        <f t="shared" ref="U238:U240" si="459">IF(OR(V238="Preventivo",V238="Detectivo"),"Probabilidad",IF(V238="Correctivo","Impacto",""))</f>
        <v/>
      </c>
      <c r="V238" s="237"/>
      <c r="W238" s="237"/>
      <c r="X238" s="209" t="str">
        <f t="shared" ref="X238:X240" si="460">IF(AND(V238="Preventivo",W238="Automático"),"50%",IF(AND(V238="Preventivo",W238="Manual"),"40%",IF(AND(V238="Detectivo",W238="Automático"),"40%",IF(AND(V238="Detectivo",W238="Manual"),"30%",IF(AND(V238="Correctivo",W238="Automático"),"35%",IF(AND(V238="Correctivo",W238="Manual"),"25%",""))))))</f>
        <v/>
      </c>
      <c r="Y238" s="237"/>
      <c r="Z238" s="237"/>
      <c r="AA238" s="237"/>
      <c r="AB238" s="210" t="str">
        <f t="shared" si="457"/>
        <v/>
      </c>
      <c r="AC238" s="211" t="str">
        <f t="shared" si="454"/>
        <v/>
      </c>
      <c r="AD238" s="209" t="str">
        <f t="shared" si="458"/>
        <v/>
      </c>
      <c r="AE238" s="211" t="str">
        <f t="shared" si="455"/>
        <v/>
      </c>
      <c r="AF238" s="209" t="str">
        <f t="shared" ref="AF238:AF239" si="461">IFERROR(IF(AND(U237="Impacto",U238="Impacto"),(AF237-(+AF237*X238)),IF(U238="Impacto",($P$31-(+$P$31*X238)),IF(U238="Probabilidad",AF237,""))),"")</f>
        <v/>
      </c>
      <c r="AG238" s="212" t="str">
        <f>IFERROR(IF(OR(AND(AC238="Muy Baja",AE238="Leve"),AND(AC238="Muy Baja",AE238="Menor"),AND(AC238="Baja",AE238="Leve")),"Bajo",IF(OR(AND(AC238="Muy baja",AE238="Moderado"),AND(AC238="Baja",AE238="Menor"),AND(AC238="Baja",AE238="Moderado"),AND(AC238="Media",AE238="Leve"),AND(AC238="Media",AE238="Menor"),AND(AC238="Media",AE238="Moderado"),AND(AC238="Alta",AE238="Leve"),AND(AC238="Alta",AE238="Menor")),"Moderado",IF(OR(AND(AC238="Muy Baja",AE238="Mayor"),AND(AC238="Baja",AE238="Mayor"),AND(AC238="Media",AE238="Mayor"),AND(AC238="Alta",AE238="Moderado"),AND(AC238="Alta",AE238="Mayor"),AND(AC238="Muy Alta",AE238="Leve"),AND(AC238="Muy Alta",AE238="Menor"),AND(AC238="Muy Alta",AE238="Moderado"),AND(AC238="Muy Alta",AE238="Mayor")),"Alto",IF(OR(AND(AC238="Muy Baja",AE238="Catastrófico"),AND(AC238="Baja",AE238="Catastrófico"),AND(AC238="Media",AE238="Catastrófico"),AND(AC238="Alta",AE238="Catastrófico"),AND(AC238="Muy Alta",AE238="Catastrófico")),"Extremo","")))),"")</f>
        <v/>
      </c>
      <c r="AH238" s="237"/>
      <c r="AI238" s="318"/>
      <c r="AJ238" s="318"/>
      <c r="AK238" s="318"/>
      <c r="AL238" s="318"/>
      <c r="AM238" s="318"/>
      <c r="AN238" s="213"/>
      <c r="AO238" s="213"/>
      <c r="AP238" s="316"/>
      <c r="AQ238" s="220"/>
      <c r="AR238" s="213"/>
      <c r="AS238" s="323"/>
      <c r="AT238" s="323"/>
      <c r="AU238" s="323"/>
      <c r="AV238" s="323"/>
      <c r="AW238" s="323"/>
      <c r="AX238" s="323"/>
      <c r="AY238" s="323"/>
      <c r="AZ238" s="323"/>
      <c r="BA238" s="323"/>
      <c r="BB238" s="323"/>
      <c r="BC238" s="323"/>
      <c r="BD238" s="323"/>
      <c r="BE238" s="323"/>
      <c r="BF238" s="323"/>
      <c r="BG238" s="323"/>
      <c r="BH238" s="323"/>
      <c r="BI238" s="323"/>
      <c r="BJ238" s="323"/>
      <c r="BK238" s="323"/>
      <c r="BL238" s="323"/>
      <c r="BM238" s="323"/>
      <c r="BN238" s="323"/>
      <c r="BO238" s="323"/>
      <c r="BP238" s="323"/>
      <c r="BQ238" s="323"/>
      <c r="BR238" s="323"/>
      <c r="BS238" s="323"/>
      <c r="BT238" s="323"/>
      <c r="BU238" s="323"/>
      <c r="BV238" s="323"/>
      <c r="BW238" s="323"/>
      <c r="BX238" s="323"/>
      <c r="BY238" s="323"/>
    </row>
    <row r="239" spans="1:77" s="113" customFormat="1" ht="27.75" hidden="1" customHeight="1" x14ac:dyDescent="0.2">
      <c r="A239" s="437"/>
      <c r="B239" s="438"/>
      <c r="C239" s="434"/>
      <c r="D239" s="434"/>
      <c r="E239" s="434"/>
      <c r="F239" s="435"/>
      <c r="G239" s="436"/>
      <c r="H239" s="435"/>
      <c r="I239" s="435"/>
      <c r="J239" s="439"/>
      <c r="K239" s="430"/>
      <c r="L239" s="431"/>
      <c r="M239" s="432"/>
      <c r="N239" s="310">
        <f ca="1">IF(NOT(ISERROR(MATCH(M239,_xlfn.ANCHORARRAY(G46),0))),L48&amp;"Por favor no seleccionar los criterios de impacto",M239)</f>
        <v>0</v>
      </c>
      <c r="O239" s="430"/>
      <c r="P239" s="431"/>
      <c r="Q239" s="433"/>
      <c r="R239" s="316">
        <v>5</v>
      </c>
      <c r="S239" s="330"/>
      <c r="T239" s="312"/>
      <c r="U239" s="208" t="str">
        <f t="shared" si="459"/>
        <v/>
      </c>
      <c r="V239" s="237"/>
      <c r="W239" s="237"/>
      <c r="X239" s="209" t="str">
        <f t="shared" si="460"/>
        <v/>
      </c>
      <c r="Y239" s="237"/>
      <c r="Z239" s="237"/>
      <c r="AA239" s="237"/>
      <c r="AB239" s="210" t="str">
        <f t="shared" si="457"/>
        <v/>
      </c>
      <c r="AC239" s="211" t="str">
        <f t="shared" si="454"/>
        <v/>
      </c>
      <c r="AD239" s="209" t="str">
        <f t="shared" si="458"/>
        <v/>
      </c>
      <c r="AE239" s="211" t="str">
        <f t="shared" si="455"/>
        <v/>
      </c>
      <c r="AF239" s="209" t="str">
        <f t="shared" si="461"/>
        <v/>
      </c>
      <c r="AG239" s="212" t="str">
        <f t="shared" ref="AG239:AG240" si="462">IFERROR(IF(OR(AND(AC239="Muy Baja",AE239="Leve"),AND(AC239="Muy Baja",AE239="Menor"),AND(AC239="Baja",AE239="Leve")),"Bajo",IF(OR(AND(AC239="Muy baja",AE239="Moderado"),AND(AC239="Baja",AE239="Menor"),AND(AC239="Baja",AE239="Moderado"),AND(AC239="Media",AE239="Leve"),AND(AC239="Media",AE239="Menor"),AND(AC239="Media",AE239="Moderado"),AND(AC239="Alta",AE239="Leve"),AND(AC239="Alta",AE239="Menor")),"Moderado",IF(OR(AND(AC239="Muy Baja",AE239="Mayor"),AND(AC239="Baja",AE239="Mayor"),AND(AC239="Media",AE239="Mayor"),AND(AC239="Alta",AE239="Moderado"),AND(AC239="Alta",AE239="Mayor"),AND(AC239="Muy Alta",AE239="Leve"),AND(AC239="Muy Alta",AE239="Menor"),AND(AC239="Muy Alta",AE239="Moderado"),AND(AC239="Muy Alta",AE239="Mayor")),"Alto",IF(OR(AND(AC239="Muy Baja",AE239="Catastrófico"),AND(AC239="Baja",AE239="Catastrófico"),AND(AC239="Media",AE239="Catastrófico"),AND(AC239="Alta",AE239="Catastrófico"),AND(AC239="Muy Alta",AE239="Catastrófico")),"Extremo","")))),"")</f>
        <v/>
      </c>
      <c r="AH239" s="237"/>
      <c r="AI239" s="318"/>
      <c r="AJ239" s="318"/>
      <c r="AK239" s="318"/>
      <c r="AL239" s="318"/>
      <c r="AM239" s="318"/>
      <c r="AN239" s="312"/>
      <c r="AO239" s="312"/>
      <c r="AP239" s="309"/>
      <c r="AQ239" s="216"/>
      <c r="AR239" s="216"/>
      <c r="AS239" s="323"/>
      <c r="AT239" s="323"/>
      <c r="AU239" s="323"/>
      <c r="AV239" s="323"/>
      <c r="AW239" s="323"/>
      <c r="AX239" s="323"/>
      <c r="AY239" s="323"/>
      <c r="AZ239" s="323"/>
      <c r="BA239" s="323"/>
      <c r="BB239" s="323"/>
      <c r="BC239" s="323"/>
      <c r="BD239" s="323"/>
      <c r="BE239" s="323"/>
      <c r="BF239" s="323"/>
      <c r="BG239" s="323"/>
      <c r="BH239" s="323"/>
      <c r="BI239" s="323"/>
      <c r="BJ239" s="323"/>
      <c r="BK239" s="323"/>
      <c r="BL239" s="323"/>
      <c r="BM239" s="323"/>
      <c r="BN239" s="323"/>
      <c r="BO239" s="323"/>
      <c r="BP239" s="323"/>
      <c r="BQ239" s="323"/>
      <c r="BR239" s="323"/>
      <c r="BS239" s="323"/>
      <c r="BT239" s="323"/>
      <c r="BU239" s="323"/>
      <c r="BV239" s="323"/>
      <c r="BW239" s="323"/>
      <c r="BX239" s="323"/>
      <c r="BY239" s="323"/>
    </row>
    <row r="240" spans="1:77" s="113" customFormat="1" ht="27.75" hidden="1" customHeight="1" x14ac:dyDescent="0.2">
      <c r="A240" s="437"/>
      <c r="B240" s="438"/>
      <c r="C240" s="434"/>
      <c r="D240" s="434"/>
      <c r="E240" s="434"/>
      <c r="F240" s="435"/>
      <c r="G240" s="436"/>
      <c r="H240" s="435"/>
      <c r="I240" s="435"/>
      <c r="J240" s="439"/>
      <c r="K240" s="430"/>
      <c r="L240" s="431"/>
      <c r="M240" s="432"/>
      <c r="N240" s="310">
        <f ca="1">IF(NOT(ISERROR(MATCH(M240,_xlfn.ANCHORARRAY(G47),0))),L49&amp;"Por favor no seleccionar los criterios de impacto",M240)</f>
        <v>0</v>
      </c>
      <c r="O240" s="430"/>
      <c r="P240" s="431"/>
      <c r="Q240" s="433"/>
      <c r="R240" s="316">
        <v>6</v>
      </c>
      <c r="S240" s="330"/>
      <c r="T240" s="312"/>
      <c r="U240" s="208" t="str">
        <f t="shared" si="459"/>
        <v/>
      </c>
      <c r="V240" s="237"/>
      <c r="W240" s="237"/>
      <c r="X240" s="209" t="str">
        <f t="shared" si="460"/>
        <v/>
      </c>
      <c r="Y240" s="237"/>
      <c r="Z240" s="237"/>
      <c r="AA240" s="237"/>
      <c r="AB240" s="210" t="str">
        <f t="shared" si="457"/>
        <v/>
      </c>
      <c r="AC240" s="211" t="str">
        <f t="shared" si="454"/>
        <v/>
      </c>
      <c r="AD240" s="209" t="str">
        <f t="shared" si="458"/>
        <v/>
      </c>
      <c r="AE240" s="211" t="str">
        <f t="shared" si="455"/>
        <v/>
      </c>
      <c r="AF240" s="209" t="str">
        <f>IFERROR(IF(AND(U239="Impacto",U240="Impacto"),(AF239-(+AF239*X240)),IF(U240="Impacto",($P$31-(+$P$31*X240)),IF(U240="Probabilidad",AF239,""))),"")</f>
        <v/>
      </c>
      <c r="AG240" s="212" t="str">
        <f t="shared" si="462"/>
        <v/>
      </c>
      <c r="AH240" s="237"/>
      <c r="AI240" s="318"/>
      <c r="AJ240" s="318"/>
      <c r="AK240" s="318"/>
      <c r="AL240" s="318"/>
      <c r="AM240" s="318"/>
      <c r="AN240" s="312"/>
      <c r="AO240" s="312"/>
      <c r="AP240" s="309"/>
      <c r="AQ240" s="216"/>
      <c r="AR240" s="216"/>
      <c r="AS240" s="323"/>
      <c r="AT240" s="323"/>
      <c r="AU240" s="323"/>
      <c r="AV240" s="323"/>
      <c r="AW240" s="323"/>
      <c r="AX240" s="323"/>
      <c r="AY240" s="323"/>
      <c r="AZ240" s="323"/>
      <c r="BA240" s="323"/>
      <c r="BB240" s="323"/>
      <c r="BC240" s="323"/>
      <c r="BD240" s="323"/>
      <c r="BE240" s="323"/>
      <c r="BF240" s="323"/>
      <c r="BG240" s="323"/>
      <c r="BH240" s="323"/>
      <c r="BI240" s="323"/>
      <c r="BJ240" s="323"/>
      <c r="BK240" s="323"/>
      <c r="BL240" s="323"/>
      <c r="BM240" s="323"/>
      <c r="BN240" s="323"/>
      <c r="BO240" s="323"/>
      <c r="BP240" s="323"/>
      <c r="BQ240" s="323"/>
      <c r="BR240" s="323"/>
      <c r="BS240" s="323"/>
      <c r="BT240" s="323"/>
      <c r="BU240" s="323"/>
      <c r="BV240" s="323"/>
      <c r="BW240" s="323"/>
      <c r="BX240" s="323"/>
      <c r="BY240" s="323"/>
    </row>
    <row r="241" spans="1:77" s="271" customFormat="1" ht="111" customHeight="1" x14ac:dyDescent="0.2">
      <c r="A241" s="437" t="s">
        <v>688</v>
      </c>
      <c r="B241" s="490" t="s">
        <v>611</v>
      </c>
      <c r="C241" s="491" t="s">
        <v>625</v>
      </c>
      <c r="D241" s="493" t="s">
        <v>108</v>
      </c>
      <c r="E241" s="491" t="s">
        <v>1059</v>
      </c>
      <c r="F241" s="493" t="s">
        <v>685</v>
      </c>
      <c r="G241" s="436" t="s">
        <v>1058</v>
      </c>
      <c r="H241" s="435" t="s">
        <v>661</v>
      </c>
      <c r="I241" s="435" t="s">
        <v>1060</v>
      </c>
      <c r="J241" s="439">
        <v>50</v>
      </c>
      <c r="K241" s="430" t="str">
        <f t="shared" ref="K241" si="463">IF(J241&lt;=0,"",IF(J241&lt;=2,"Muy Baja",IF(J241&lt;=24,"Baja",IF(J241&lt;=500,"Media",IF(J241&lt;=5000,"Alta","Muy Alta")))))</f>
        <v>Media</v>
      </c>
      <c r="L241" s="431">
        <f>IF(K241="","",IF(K241="Muy Baja",0.2,IF(K241="Baja",0.4,IF(K241="Media",0.6,IF(K241="Alta",0.8,IF(K241="Muy Alta",1,))))))</f>
        <v>0.6</v>
      </c>
      <c r="M241" s="432" t="s">
        <v>115</v>
      </c>
      <c r="N241" s="431" t="str">
        <f ca="1">IF(NOT(ISERROR(MATCH(M241,'Tabla Impacto'!$B$221:$B$223,0))),'Tabla Impacto'!$F$223&amp;"Por favor no seleccionar los criterios de impacto(Afectación Económica o presupuestal y Pérdida Reputacional)",M241)</f>
        <v xml:space="preserve">     Entre 50 y 100 SMLMV </v>
      </c>
      <c r="O241" s="430" t="str">
        <f ca="1">IF(OR(N241='Tabla Impacto'!$C$11,N241='Tabla Impacto'!$D$11),"Leve",IF(OR(N241='Tabla Impacto'!$C$12,N241='Tabla Impacto'!$D$12),"Menor",IF(OR(N241='Tabla Impacto'!$C$13,N241='Tabla Impacto'!$D$13),"Moderado",IF(OR(N241='Tabla Impacto'!$C$14,N241='Tabla Impacto'!$D$14),"Mayor",IF(OR(N241='Tabla Impacto'!$C$15,N241='Tabla Impacto'!$D$15),"Catastrófico","")))))</f>
        <v>Moderado</v>
      </c>
      <c r="P241" s="431">
        <f ca="1">IF(O241="","",IF(O241="Leve",0.2,IF(O241="Menor",0.4,IF(O241="Moderado",0.6,IF(O241="Mayor",0.8,IF(O241="Catastrófico",1,))))))</f>
        <v>0.6</v>
      </c>
      <c r="Q241" s="433" t="str">
        <f ca="1">IF(OR(AND(K241="Muy Baja",O241="Leve"),AND(K241="Muy Baja",O241="Menor"),AND(K241="Baja",O241="Leve")),"Bajo",IF(OR(AND(K241="Muy baja",O241="Moderado"),AND(K241="Baja",O241="Menor"),AND(K241="Baja",O241="Moderado"),AND(K241="Media",O241="Leve"),AND(K241="Media",O241="Menor"),AND(K241="Media",O241="Moderado"),AND(K241="Alta",O241="Leve"),AND(K241="Alta",O241="Menor")),"Moderado",IF(OR(AND(K241="Muy Baja",O241="Mayor"),AND(K241="Baja",O241="Mayor"),AND(K241="Media",O241="Mayor"),AND(K241="Alta",O241="Moderado"),AND(K241="Alta",O241="Mayor"),AND(K241="Muy Alta",O241="Leve"),AND(K241="Muy Alta",O241="Menor"),AND(K241="Muy Alta",O241="Moderado"),AND(K241="Muy Alta",O241="Mayor")),"Alto",IF(OR(AND(K241="Muy Baja",O241="Catastrófico"),AND(K241="Baja",O241="Catastrófico"),AND(K241="Media",O241="Catastrófico"),AND(K241="Alta",O241="Catastrófico"),AND(K241="Muy Alta",O241="Catastrófico")),"Extremo",""))))</f>
        <v>Moderado</v>
      </c>
      <c r="R241" s="261">
        <v>1</v>
      </c>
      <c r="S241" s="334" t="s">
        <v>1061</v>
      </c>
      <c r="T241" s="272" t="s">
        <v>292</v>
      </c>
      <c r="U241" s="262" t="str">
        <f>IF(OR(V259="Preventivo",V259="Detectivo"),"Probabilidad",IF(V259="Correctivo","Impacto",""))</f>
        <v>Probabilidad</v>
      </c>
      <c r="V241" s="263" t="s">
        <v>13</v>
      </c>
      <c r="W241" s="263" t="s">
        <v>8</v>
      </c>
      <c r="X241" s="264" t="str">
        <f t="shared" ref="X241:X246" si="464">IF(AND(V241="Preventivo",W241="Automático"),"50%",IF(AND(V241="Preventivo",W241="Manual"),"40%",IF(AND(V241="Detectivo",W241="Automático"),"40%",IF(AND(V241="Detectivo",W241="Manual"),"30%",IF(AND(V241="Correctivo",W241="Automático"),"35%",IF(AND(V241="Correctivo",W241="Manual"),"25%",""))))))</f>
        <v>40%</v>
      </c>
      <c r="Y241" s="263" t="s">
        <v>18</v>
      </c>
      <c r="Z241" s="263" t="s">
        <v>21</v>
      </c>
      <c r="AA241" s="263" t="s">
        <v>103</v>
      </c>
      <c r="AB241" s="265">
        <f t="shared" ref="AB241" si="465">IFERROR(IF(U241="Probabilidad",(L241-(+L241*X241)),IF(U241="Impacto",L241,"")),"")</f>
        <v>0.36</v>
      </c>
      <c r="AC241" s="266" t="str">
        <f t="shared" ref="AC241:AC246" si="466">IFERROR(IF(AB241="","",IF(AB241&lt;=0.2,"Muy Baja",IF(AB241&lt;=0.4,"Baja",IF(AB241&lt;=0.6,"Media",IF(AB241&lt;=0.8,"Alta","Muy Alta"))))),"")</f>
        <v>Baja</v>
      </c>
      <c r="AD241" s="264">
        <f t="shared" ref="AD241:AD246" si="467">+AB241</f>
        <v>0.36</v>
      </c>
      <c r="AE241" s="266" t="str">
        <f ca="1">IFERROR(IF(AF241="","",IF(AF241&lt;=0.2,"Leve",IF(AF241&lt;=0.4,"Menor",IF(AF241&lt;=0.6,"Moderado",IF(AF241&lt;=0.8,"Mayor","Catastrófico"))))),"")</f>
        <v>Moderado</v>
      </c>
      <c r="AF241" s="264">
        <f ca="1">IFERROR(IF(U241="Impacto",(P241-(+P241*X241)),IF(U241="Probabilidad",P241,"")),"")</f>
        <v>0.6</v>
      </c>
      <c r="AG241" s="267" t="str">
        <f ca="1">IFERROR(IF(OR(AND(AC241="Muy Baja",AE241="Leve"),AND(AC241="Muy Baja",AE241="Menor"),AND(AC241="Baja",AE241="Leve")),"Bajo",IF(OR(AND(AC241="Muy baja",AE241="Moderado"),AND(AC241="Baja",AE241="Menor"),AND(AC241="Baja",AE241="Moderado"),AND(AC241="Media",AE241="Leve"),AND(AC241="Media",AE241="Menor"),AND(AC241="Media",AE241="Moderado"),AND(AC241="Alta",AE241="Leve"),AND(AC241="Alta",AE241="Menor")),"Moderado",IF(OR(AND(AC241="Muy Baja",AE241="Mayor"),AND(AC241="Baja",AE241="Mayor"),AND(AC241="Media",AE241="Mayor"),AND(AC241="Alta",AE241="Moderado"),AND(AC241="Alta",AE241="Mayor"),AND(AC241="Muy Alta",AE241="Leve"),AND(AC241="Muy Alta",AE241="Menor"),AND(AC241="Muy Alta",AE241="Moderado"),AND(AC241="Muy Alta",AE241="Mayor")),"Alto",IF(OR(AND(AC241="Muy Baja",AE241="Catastrófico"),AND(AC241="Baja",AE241="Catastrófico"),AND(AC241="Media",AE241="Catastrófico"),AND(AC241="Alta",AE241="Catastrófico"),AND(AC241="Muy Alta",AE241="Catastrófico")),"Extremo","")))),"")</f>
        <v>Moderado</v>
      </c>
      <c r="AH241" s="263" t="s">
        <v>26</v>
      </c>
      <c r="AI241" s="273">
        <v>1</v>
      </c>
      <c r="AJ241" s="273">
        <v>0</v>
      </c>
      <c r="AK241" s="273">
        <v>1</v>
      </c>
      <c r="AL241" s="273">
        <v>0</v>
      </c>
      <c r="AM241" s="273">
        <v>0</v>
      </c>
      <c r="AN241" s="272"/>
      <c r="AO241" s="272"/>
      <c r="AP241" s="273"/>
      <c r="AQ241" s="274"/>
      <c r="AR241" s="274"/>
      <c r="AS241" s="323"/>
      <c r="AT241" s="323"/>
      <c r="AU241" s="323"/>
      <c r="AV241" s="323"/>
      <c r="AW241" s="323"/>
      <c r="AX241" s="323"/>
      <c r="AY241" s="323"/>
      <c r="AZ241" s="323"/>
      <c r="BA241" s="323"/>
      <c r="BB241" s="323"/>
      <c r="BC241" s="323"/>
      <c r="BD241" s="323"/>
      <c r="BE241" s="323"/>
      <c r="BF241" s="323"/>
      <c r="BG241" s="323"/>
      <c r="BH241" s="323"/>
      <c r="BI241" s="323"/>
      <c r="BJ241" s="323"/>
      <c r="BK241" s="323"/>
      <c r="BL241" s="323"/>
      <c r="BM241" s="323"/>
      <c r="BN241" s="323"/>
      <c r="BO241" s="323"/>
      <c r="BP241" s="323"/>
      <c r="BQ241" s="323"/>
      <c r="BR241" s="323"/>
      <c r="BS241" s="323"/>
      <c r="BT241" s="323"/>
      <c r="BU241" s="323"/>
      <c r="BV241" s="323"/>
      <c r="BW241" s="323"/>
      <c r="BX241" s="323"/>
      <c r="BY241" s="323"/>
    </row>
    <row r="242" spans="1:77" s="113" customFormat="1" ht="12" hidden="1" customHeight="1" x14ac:dyDescent="0.2">
      <c r="A242" s="437"/>
      <c r="B242" s="490"/>
      <c r="C242" s="491"/>
      <c r="D242" s="493"/>
      <c r="E242" s="491"/>
      <c r="F242" s="493"/>
      <c r="G242" s="436"/>
      <c r="H242" s="435"/>
      <c r="I242" s="435"/>
      <c r="J242" s="439"/>
      <c r="K242" s="430"/>
      <c r="L242" s="431"/>
      <c r="M242" s="432"/>
      <c r="N242" s="431">
        <f ca="1">IF(NOT(ISERROR(MATCH(M242,_xlfn.ANCHORARRAY(#REF!),0))),#REF!&amp;"Por favor no seleccionar los criterios de impacto",M242)</f>
        <v>0</v>
      </c>
      <c r="O242" s="430"/>
      <c r="P242" s="431"/>
      <c r="Q242" s="433"/>
      <c r="R242" s="316">
        <v>2</v>
      </c>
      <c r="S242" s="330"/>
      <c r="T242" s="312"/>
      <c r="U242" s="208" t="str">
        <f t="shared" ref="U242:U246" si="468">IF(OR(V242="Preventivo",V242="Detectivo"),"Probabilidad",IF(V242="Correctivo","Impacto",""))</f>
        <v/>
      </c>
      <c r="V242" s="237"/>
      <c r="W242" s="237"/>
      <c r="X242" s="209" t="str">
        <f t="shared" si="464"/>
        <v/>
      </c>
      <c r="Y242" s="237"/>
      <c r="Z242" s="237"/>
      <c r="AA242" s="237"/>
      <c r="AB242" s="210" t="str">
        <f t="shared" ref="AB242" si="469">IFERROR(IF(AND(U241="Probabilidad",U242="Probabilidad"),(AD241-(+AD241*X242)),IF(U242="Probabilidad",(L241-(+L241*X242)),IF(U242="Impacto",AD241,""))),"")</f>
        <v/>
      </c>
      <c r="AC242" s="211" t="str">
        <f t="shared" si="466"/>
        <v/>
      </c>
      <c r="AD242" s="209" t="str">
        <f t="shared" si="467"/>
        <v/>
      </c>
      <c r="AE242" s="211"/>
      <c r="AF242" s="209" t="str">
        <f t="shared" ref="AF242:AF246" si="470">IFERROR(IF(AND(U241="Impacto",U242="Impacto"),(AF241-(+AF241*X242)),IF(U242="Impacto",($P$31-(+$P$31*X242)),IF(U242="Probabilidad",AF241,""))),"")</f>
        <v/>
      </c>
      <c r="AG242" s="212" t="str">
        <f t="shared" ref="AG242:AG246" si="471">IFERROR(IF(OR(AND(AC242="Muy Baja",AE242="Leve"),AND(AC242="Muy Baja",AE242="Menor"),AND(AC242="Baja",AE242="Leve")),"Bajo",IF(OR(AND(AC242="Muy baja",AE242="Moderado"),AND(AC242="Baja",AE242="Menor"),AND(AC242="Baja",AE242="Moderado"),AND(AC242="Media",AE242="Leve"),AND(AC242="Media",AE242="Menor"),AND(AC242="Media",AE242="Moderado"),AND(AC242="Alta",AE242="Leve"),AND(AC242="Alta",AE242="Menor")),"Moderado",IF(OR(AND(AC242="Muy Baja",AE242="Mayor"),AND(AC242="Baja",AE242="Mayor"),AND(AC242="Media",AE242="Mayor"),AND(AC242="Alta",AE242="Moderado"),AND(AC242="Alta",AE242="Mayor"),AND(AC242="Muy Alta",AE242="Leve"),AND(AC242="Muy Alta",AE242="Menor"),AND(AC242="Muy Alta",AE242="Moderado"),AND(AC242="Muy Alta",AE242="Mayor")),"Alto",IF(OR(AND(AC242="Muy Baja",AE242="Catastrófico"),AND(AC242="Baja",AE242="Catastrófico"),AND(AC242="Media",AE242="Catastrófico"),AND(AC242="Alta",AE242="Catastrófico"),AND(AC242="Muy Alta",AE242="Catastrófico")),"Extremo","")))),"")</f>
        <v/>
      </c>
      <c r="AH242" s="237"/>
      <c r="AI242" s="318"/>
      <c r="AJ242" s="318"/>
      <c r="AK242" s="318"/>
      <c r="AL242" s="318"/>
      <c r="AM242" s="318"/>
      <c r="AN242" s="312"/>
      <c r="AO242" s="312"/>
      <c r="AP242" s="309"/>
      <c r="AQ242" s="216"/>
      <c r="AR242" s="216"/>
      <c r="AS242" s="323"/>
      <c r="AT242" s="323"/>
      <c r="AU242" s="323"/>
      <c r="AV242" s="323"/>
      <c r="AW242" s="323"/>
      <c r="AX242" s="323"/>
      <c r="AY242" s="323"/>
      <c r="AZ242" s="323"/>
      <c r="BA242" s="323"/>
      <c r="BB242" s="323"/>
      <c r="BC242" s="323"/>
      <c r="BD242" s="323"/>
      <c r="BE242" s="323"/>
      <c r="BF242" s="323"/>
      <c r="BG242" s="323"/>
      <c r="BH242" s="323"/>
      <c r="BI242" s="323"/>
      <c r="BJ242" s="323"/>
      <c r="BK242" s="323"/>
      <c r="BL242" s="323"/>
      <c r="BM242" s="323"/>
      <c r="BN242" s="323"/>
      <c r="BO242" s="323"/>
      <c r="BP242" s="323"/>
      <c r="BQ242" s="323"/>
      <c r="BR242" s="323"/>
      <c r="BS242" s="323"/>
      <c r="BT242" s="323"/>
      <c r="BU242" s="323"/>
      <c r="BV242" s="323"/>
      <c r="BW242" s="323"/>
      <c r="BX242" s="323"/>
      <c r="BY242" s="323"/>
    </row>
    <row r="243" spans="1:77" s="113" customFormat="1" ht="12" hidden="1" customHeight="1" x14ac:dyDescent="0.2">
      <c r="A243" s="437"/>
      <c r="B243" s="490"/>
      <c r="C243" s="491"/>
      <c r="D243" s="493"/>
      <c r="E243" s="491"/>
      <c r="F243" s="493"/>
      <c r="G243" s="436"/>
      <c r="H243" s="435"/>
      <c r="I243" s="435"/>
      <c r="J243" s="439"/>
      <c r="K243" s="430"/>
      <c r="L243" s="431"/>
      <c r="M243" s="432"/>
      <c r="N243" s="431">
        <f ca="1">IF(NOT(ISERROR(MATCH(M243,_xlfn.ANCHORARRAY(#REF!),0))),#REF!&amp;"Por favor no seleccionar los criterios de impacto",M243)</f>
        <v>0</v>
      </c>
      <c r="O243" s="430"/>
      <c r="P243" s="431"/>
      <c r="Q243" s="433"/>
      <c r="R243" s="316">
        <v>3</v>
      </c>
      <c r="S243" s="330"/>
      <c r="T243" s="312"/>
      <c r="U243" s="208" t="str">
        <f t="shared" si="468"/>
        <v/>
      </c>
      <c r="V243" s="237"/>
      <c r="W243" s="237"/>
      <c r="X243" s="209" t="str">
        <f t="shared" si="464"/>
        <v/>
      </c>
      <c r="Y243" s="237"/>
      <c r="Z243" s="237"/>
      <c r="AA243" s="237"/>
      <c r="AB243" s="210" t="str">
        <f t="shared" ref="AB243:AB246" si="472">IFERROR(IF(AND(U242="Probabilidad",U243="Probabilidad"),(AD242-(+AD242*X243)),IF(AND(U242="Impacto",U243="Probabilidad"),(AD241-(+AD241*X243)),IF(U243="Impacto",AD242,""))),"")</f>
        <v/>
      </c>
      <c r="AC243" s="211" t="str">
        <f t="shared" si="466"/>
        <v/>
      </c>
      <c r="AD243" s="209" t="str">
        <f t="shared" si="467"/>
        <v/>
      </c>
      <c r="AE243" s="211" t="str">
        <f t="shared" ref="AE243:AE246" si="473">IFERROR(IF(AF243="","",IF(AF243&lt;=0.2,"Leve",IF(AF243&lt;=0.4,"Menor",IF(AF243&lt;=0.6,"Moderado",IF(AF243&lt;=0.8,"Mayor","Catastrófico"))))),"")</f>
        <v/>
      </c>
      <c r="AF243" s="209" t="str">
        <f t="shared" si="470"/>
        <v/>
      </c>
      <c r="AG243" s="212" t="str">
        <f t="shared" si="471"/>
        <v/>
      </c>
      <c r="AH243" s="237"/>
      <c r="AI243" s="318"/>
      <c r="AJ243" s="318"/>
      <c r="AK243" s="318"/>
      <c r="AL243" s="318"/>
      <c r="AM243" s="318"/>
      <c r="AN243" s="312"/>
      <c r="AO243" s="312"/>
      <c r="AP243" s="309"/>
      <c r="AQ243" s="216"/>
      <c r="AR243" s="216"/>
      <c r="AS243" s="323"/>
      <c r="AT243" s="323"/>
      <c r="AU243" s="323"/>
      <c r="AV243" s="323"/>
      <c r="AW243" s="323"/>
      <c r="AX243" s="323"/>
      <c r="AY243" s="323"/>
      <c r="AZ243" s="323"/>
      <c r="BA243" s="323"/>
      <c r="BB243" s="323"/>
      <c r="BC243" s="323"/>
      <c r="BD243" s="323"/>
      <c r="BE243" s="323"/>
      <c r="BF243" s="323"/>
      <c r="BG243" s="323"/>
      <c r="BH243" s="323"/>
      <c r="BI243" s="323"/>
      <c r="BJ243" s="323"/>
      <c r="BK243" s="323"/>
      <c r="BL243" s="323"/>
      <c r="BM243" s="323"/>
      <c r="BN243" s="323"/>
      <c r="BO243" s="323"/>
      <c r="BP243" s="323"/>
      <c r="BQ243" s="323"/>
      <c r="BR243" s="323"/>
      <c r="BS243" s="323"/>
      <c r="BT243" s="323"/>
      <c r="BU243" s="323"/>
      <c r="BV243" s="323"/>
      <c r="BW243" s="323"/>
      <c r="BX243" s="323"/>
      <c r="BY243" s="323"/>
    </row>
    <row r="244" spans="1:77" s="113" customFormat="1" ht="12" hidden="1" customHeight="1" x14ac:dyDescent="0.2">
      <c r="A244" s="437"/>
      <c r="B244" s="490"/>
      <c r="C244" s="491"/>
      <c r="D244" s="493"/>
      <c r="E244" s="491"/>
      <c r="F244" s="493"/>
      <c r="G244" s="436"/>
      <c r="H244" s="435"/>
      <c r="I244" s="435"/>
      <c r="J244" s="439"/>
      <c r="K244" s="430"/>
      <c r="L244" s="431"/>
      <c r="M244" s="432"/>
      <c r="N244" s="431">
        <f ca="1">IF(NOT(ISERROR(MATCH(M244,_xlfn.ANCHORARRAY(#REF!),0))),#REF!&amp;"Por favor no seleccionar los criterios de impacto",M244)</f>
        <v>0</v>
      </c>
      <c r="O244" s="430"/>
      <c r="P244" s="431"/>
      <c r="Q244" s="433"/>
      <c r="R244" s="316">
        <v>4</v>
      </c>
      <c r="S244" s="330"/>
      <c r="T244" s="312"/>
      <c r="U244" s="208" t="str">
        <f t="shared" si="468"/>
        <v/>
      </c>
      <c r="V244" s="237"/>
      <c r="W244" s="237"/>
      <c r="X244" s="209" t="str">
        <f t="shared" si="464"/>
        <v/>
      </c>
      <c r="Y244" s="237"/>
      <c r="Z244" s="237"/>
      <c r="AA244" s="237"/>
      <c r="AB244" s="210" t="str">
        <f t="shared" si="472"/>
        <v/>
      </c>
      <c r="AC244" s="211" t="str">
        <f t="shared" si="466"/>
        <v/>
      </c>
      <c r="AD244" s="209" t="str">
        <f t="shared" si="467"/>
        <v/>
      </c>
      <c r="AE244" s="211" t="str">
        <f t="shared" si="473"/>
        <v/>
      </c>
      <c r="AF244" s="209" t="str">
        <f t="shared" si="470"/>
        <v/>
      </c>
      <c r="AG244" s="212" t="str">
        <f t="shared" si="471"/>
        <v/>
      </c>
      <c r="AH244" s="237"/>
      <c r="AI244" s="318"/>
      <c r="AJ244" s="318"/>
      <c r="AK244" s="318"/>
      <c r="AL244" s="318"/>
      <c r="AM244" s="318"/>
      <c r="AN244" s="312"/>
      <c r="AO244" s="312"/>
      <c r="AP244" s="309"/>
      <c r="AQ244" s="216"/>
      <c r="AR244" s="216"/>
      <c r="AS244" s="323"/>
      <c r="AT244" s="323"/>
      <c r="AU244" s="323"/>
      <c r="AV244" s="323"/>
      <c r="AW244" s="323"/>
      <c r="AX244" s="323"/>
      <c r="AY244" s="323"/>
      <c r="AZ244" s="323"/>
      <c r="BA244" s="323"/>
      <c r="BB244" s="323"/>
      <c r="BC244" s="323"/>
      <c r="BD244" s="323"/>
      <c r="BE244" s="323"/>
      <c r="BF244" s="323"/>
      <c r="BG244" s="323"/>
      <c r="BH244" s="323"/>
      <c r="BI244" s="323"/>
      <c r="BJ244" s="323"/>
      <c r="BK244" s="323"/>
      <c r="BL244" s="323"/>
      <c r="BM244" s="323"/>
      <c r="BN244" s="323"/>
      <c r="BO244" s="323"/>
      <c r="BP244" s="323"/>
      <c r="BQ244" s="323"/>
      <c r="BR244" s="323"/>
      <c r="BS244" s="323"/>
      <c r="BT244" s="323"/>
      <c r="BU244" s="323"/>
      <c r="BV244" s="323"/>
      <c r="BW244" s="323"/>
      <c r="BX244" s="323"/>
      <c r="BY244" s="323"/>
    </row>
    <row r="245" spans="1:77" s="113" customFormat="1" ht="12" hidden="1" customHeight="1" x14ac:dyDescent="0.2">
      <c r="A245" s="437"/>
      <c r="B245" s="490"/>
      <c r="C245" s="491"/>
      <c r="D245" s="493"/>
      <c r="E245" s="491"/>
      <c r="F245" s="493"/>
      <c r="G245" s="436"/>
      <c r="H245" s="435"/>
      <c r="I245" s="435"/>
      <c r="J245" s="439"/>
      <c r="K245" s="430"/>
      <c r="L245" s="431"/>
      <c r="M245" s="432"/>
      <c r="N245" s="431">
        <f ca="1">IF(NOT(ISERROR(MATCH(M245,_xlfn.ANCHORARRAY(#REF!),0))),#REF!&amp;"Por favor no seleccionar los criterios de impacto",M245)</f>
        <v>0</v>
      </c>
      <c r="O245" s="430"/>
      <c r="P245" s="431"/>
      <c r="Q245" s="433"/>
      <c r="R245" s="316">
        <v>5</v>
      </c>
      <c r="S245" s="330"/>
      <c r="T245" s="312"/>
      <c r="U245" s="208" t="str">
        <f t="shared" si="468"/>
        <v/>
      </c>
      <c r="V245" s="237"/>
      <c r="W245" s="237"/>
      <c r="X245" s="209" t="str">
        <f t="shared" si="464"/>
        <v/>
      </c>
      <c r="Y245" s="237"/>
      <c r="Z245" s="237"/>
      <c r="AA245" s="237"/>
      <c r="AB245" s="210" t="str">
        <f t="shared" si="472"/>
        <v/>
      </c>
      <c r="AC245" s="211" t="str">
        <f t="shared" si="466"/>
        <v/>
      </c>
      <c r="AD245" s="209" t="str">
        <f t="shared" si="467"/>
        <v/>
      </c>
      <c r="AE245" s="211" t="str">
        <f t="shared" si="473"/>
        <v/>
      </c>
      <c r="AF245" s="209" t="str">
        <f t="shared" si="470"/>
        <v/>
      </c>
      <c r="AG245" s="212" t="str">
        <f t="shared" si="471"/>
        <v/>
      </c>
      <c r="AH245" s="237"/>
      <c r="AI245" s="318"/>
      <c r="AJ245" s="318"/>
      <c r="AK245" s="318"/>
      <c r="AL245" s="318"/>
      <c r="AM245" s="318"/>
      <c r="AN245" s="312"/>
      <c r="AO245" s="312"/>
      <c r="AP245" s="309"/>
      <c r="AQ245" s="216"/>
      <c r="AR245" s="216"/>
      <c r="AS245" s="323"/>
      <c r="AT245" s="323"/>
      <c r="AU245" s="323"/>
      <c r="AV245" s="323"/>
      <c r="AW245" s="323"/>
      <c r="AX245" s="323"/>
      <c r="AY245" s="323"/>
      <c r="AZ245" s="323"/>
      <c r="BA245" s="323"/>
      <c r="BB245" s="323"/>
      <c r="BC245" s="323"/>
      <c r="BD245" s="323"/>
      <c r="BE245" s="323"/>
      <c r="BF245" s="323"/>
      <c r="BG245" s="323"/>
      <c r="BH245" s="323"/>
      <c r="BI245" s="323"/>
      <c r="BJ245" s="323"/>
      <c r="BK245" s="323"/>
      <c r="BL245" s="323"/>
      <c r="BM245" s="323"/>
      <c r="BN245" s="323"/>
      <c r="BO245" s="323"/>
      <c r="BP245" s="323"/>
      <c r="BQ245" s="323"/>
      <c r="BR245" s="323"/>
      <c r="BS245" s="323"/>
      <c r="BT245" s="323"/>
      <c r="BU245" s="323"/>
      <c r="BV245" s="323"/>
      <c r="BW245" s="323"/>
      <c r="BX245" s="323"/>
      <c r="BY245" s="323"/>
    </row>
    <row r="246" spans="1:77" s="113" customFormat="1" ht="12" hidden="1" customHeight="1" x14ac:dyDescent="0.2">
      <c r="A246" s="437"/>
      <c r="B246" s="490"/>
      <c r="C246" s="491"/>
      <c r="D246" s="493"/>
      <c r="E246" s="491"/>
      <c r="F246" s="493"/>
      <c r="G246" s="436"/>
      <c r="H246" s="435"/>
      <c r="I246" s="435"/>
      <c r="J246" s="439"/>
      <c r="K246" s="430"/>
      <c r="L246" s="431"/>
      <c r="M246" s="432"/>
      <c r="N246" s="431">
        <f ca="1">IF(NOT(ISERROR(MATCH(M246,_xlfn.ANCHORARRAY(H344),0))),L346&amp;"Por favor no seleccionar los criterios de impacto",M246)</f>
        <v>0</v>
      </c>
      <c r="O246" s="430"/>
      <c r="P246" s="431"/>
      <c r="Q246" s="433"/>
      <c r="R246" s="316">
        <v>6</v>
      </c>
      <c r="S246" s="330"/>
      <c r="T246" s="312"/>
      <c r="U246" s="208" t="str">
        <f t="shared" si="468"/>
        <v/>
      </c>
      <c r="V246" s="237"/>
      <c r="W246" s="237"/>
      <c r="X246" s="209" t="str">
        <f t="shared" si="464"/>
        <v/>
      </c>
      <c r="Y246" s="237"/>
      <c r="Z246" s="237"/>
      <c r="AA246" s="237"/>
      <c r="AB246" s="210" t="str">
        <f t="shared" si="472"/>
        <v/>
      </c>
      <c r="AC246" s="211" t="str">
        <f t="shared" si="466"/>
        <v/>
      </c>
      <c r="AD246" s="209" t="str">
        <f t="shared" si="467"/>
        <v/>
      </c>
      <c r="AE246" s="211" t="str">
        <f t="shared" si="473"/>
        <v/>
      </c>
      <c r="AF246" s="209" t="str">
        <f t="shared" si="470"/>
        <v/>
      </c>
      <c r="AG246" s="212" t="str">
        <f t="shared" si="471"/>
        <v/>
      </c>
      <c r="AH246" s="237"/>
      <c r="AI246" s="318"/>
      <c r="AJ246" s="318"/>
      <c r="AK246" s="318"/>
      <c r="AL246" s="318"/>
      <c r="AM246" s="318"/>
      <c r="AN246" s="312"/>
      <c r="AO246" s="312"/>
      <c r="AP246" s="309"/>
      <c r="AQ246" s="216"/>
      <c r="AR246" s="216"/>
      <c r="AS246" s="323"/>
      <c r="AT246" s="323"/>
      <c r="AU246" s="323"/>
      <c r="AV246" s="323"/>
      <c r="AW246" s="323"/>
      <c r="AX246" s="323"/>
      <c r="AY246" s="323"/>
      <c r="AZ246" s="323"/>
      <c r="BA246" s="323"/>
      <c r="BB246" s="323"/>
      <c r="BC246" s="323"/>
      <c r="BD246" s="323"/>
      <c r="BE246" s="323"/>
      <c r="BF246" s="323"/>
      <c r="BG246" s="323"/>
      <c r="BH246" s="323"/>
      <c r="BI246" s="323"/>
      <c r="BJ246" s="323"/>
      <c r="BK246" s="323"/>
      <c r="BL246" s="323"/>
      <c r="BM246" s="323"/>
      <c r="BN246" s="323"/>
      <c r="BO246" s="323"/>
      <c r="BP246" s="323"/>
      <c r="BQ246" s="323"/>
      <c r="BR246" s="323"/>
      <c r="BS246" s="323"/>
      <c r="BT246" s="323"/>
      <c r="BU246" s="323"/>
      <c r="BV246" s="323"/>
      <c r="BW246" s="323"/>
      <c r="BX246" s="323"/>
      <c r="BY246" s="323"/>
    </row>
    <row r="247" spans="1:77" s="271" customFormat="1" ht="99.75" customHeight="1" x14ac:dyDescent="0.2">
      <c r="A247" s="437" t="s">
        <v>721</v>
      </c>
      <c r="B247" s="438" t="s">
        <v>288</v>
      </c>
      <c r="C247" s="434" t="s">
        <v>620</v>
      </c>
      <c r="D247" s="434" t="s">
        <v>108</v>
      </c>
      <c r="E247" s="434" t="s">
        <v>723</v>
      </c>
      <c r="F247" s="435" t="s">
        <v>685</v>
      </c>
      <c r="G247" s="436" t="s">
        <v>722</v>
      </c>
      <c r="H247" s="435" t="s">
        <v>655</v>
      </c>
      <c r="I247" s="435" t="s">
        <v>724</v>
      </c>
      <c r="J247" s="439">
        <v>1000</v>
      </c>
      <c r="K247" s="430" t="str">
        <f t="shared" ref="K247" si="474">IF(J247&lt;=0,"",IF(J247&lt;=2,"Muy Baja",IF(J247&lt;=24,"Baja",IF(J247&lt;=500,"Media",IF(J247&lt;=5000,"Alta","Muy Alta")))))</f>
        <v>Alta</v>
      </c>
      <c r="L247" s="431">
        <f>IF(K247="","",IF(K247="Muy Baja",0.2,IF(K247="Baja",0.4,IF(K247="Media",0.6,IF(K247="Alta",0.8,IF(K247="Muy Alta",1,))))))</f>
        <v>0.8</v>
      </c>
      <c r="M247" s="432" t="s">
        <v>115</v>
      </c>
      <c r="N247" s="310" t="str">
        <f ca="1">IF(NOT(ISERROR(MATCH(M247,'Tabla Impacto'!$B$221:$B$223,0))),'Tabla Impacto'!$F$223&amp;"Por favor no seleccionar los criterios de impacto(Afectación Económica o presupuestal y Pérdida Reputacional)",M247)</f>
        <v xml:space="preserve">     Entre 50 y 100 SMLMV </v>
      </c>
      <c r="O247" s="430" t="str">
        <f ca="1">IF(OR(N247='Tabla Impacto'!$C$11,N247='Tabla Impacto'!$D$11),"Leve",IF(OR(N247='Tabla Impacto'!$C$12,N247='Tabla Impacto'!$D$12),"Menor",IF(OR(N247='Tabla Impacto'!$C$13,N247='Tabla Impacto'!$D$13),"Moderado",IF(OR(N247='Tabla Impacto'!$C$14,N247='Tabla Impacto'!$D$14),"Mayor",IF(OR(N247='Tabla Impacto'!$C$15,N247='Tabla Impacto'!$D$15),"Catastrófico","")))))</f>
        <v>Moderado</v>
      </c>
      <c r="P247" s="431">
        <f ca="1">IF(O247="","",IF(O247="Leve",0.2,IF(O247="Menor",0.4,IF(O247="Moderado",0.6,IF(O247="Mayor",0.8,IF(O247="Catastrófico",1,))))))</f>
        <v>0.6</v>
      </c>
      <c r="Q247" s="433" t="str">
        <f ca="1">IF(OR(AND(K247="Muy Baja",O247="Leve"),AND(K247="Muy Baja",O247="Menor"),AND(K247="Baja",O247="Leve")),"Bajo",IF(OR(AND(K247="Muy baja",O247="Moderado"),AND(K247="Baja",O247="Menor"),AND(K247="Baja",O247="Moderado"),AND(K247="Media",O247="Leve"),AND(K247="Media",O247="Menor"),AND(K247="Media",O247="Moderado"),AND(K247="Alta",O247="Leve"),AND(K247="Alta",O247="Menor")),"Moderado",IF(OR(AND(K247="Muy Baja",O247="Mayor"),AND(K247="Baja",O247="Mayor"),AND(K247="Media",O247="Mayor"),AND(K247="Alta",O247="Moderado"),AND(K247="Alta",O247="Mayor"),AND(K247="Muy Alta",O247="Leve"),AND(K247="Muy Alta",O247="Menor"),AND(K247="Muy Alta",O247="Moderado"),AND(K247="Muy Alta",O247="Mayor")),"Alto",IF(OR(AND(K247="Muy Baja",O247="Catastrófico"),AND(K247="Baja",O247="Catastrófico"),AND(K247="Media",O247="Catastrófico"),AND(K247="Alta",O247="Catastrófico"),AND(K247="Muy Alta",O247="Catastrófico")),"Extremo",""))))</f>
        <v>Alto</v>
      </c>
      <c r="R247" s="261">
        <v>1</v>
      </c>
      <c r="S247" s="334" t="s">
        <v>725</v>
      </c>
      <c r="T247" s="272" t="s">
        <v>293</v>
      </c>
      <c r="U247" s="262" t="str">
        <f>IF(OR(V247="Preventivo",V247="Detectivo"),"Probabilidad",IF(V247="Correctivo","Impacto",""))</f>
        <v>Probabilidad</v>
      </c>
      <c r="V247" s="263" t="s">
        <v>13</v>
      </c>
      <c r="W247" s="263" t="s">
        <v>8</v>
      </c>
      <c r="X247" s="264" t="str">
        <f t="shared" ref="X247:X248" si="475">IF(AND(V247="Preventivo",W247="Automático"),"50%",IF(AND(V247="Preventivo",W247="Manual"),"40%",IF(AND(V247="Detectivo",W247="Automático"),"40%",IF(AND(V247="Detectivo",W247="Manual"),"30%",IF(AND(V247="Correctivo",W247="Automático"),"35%",IF(AND(V247="Correctivo",W247="Manual"),"25%",""))))))</f>
        <v>40%</v>
      </c>
      <c r="Y247" s="263" t="s">
        <v>18</v>
      </c>
      <c r="Z247" s="263" t="s">
        <v>21</v>
      </c>
      <c r="AA247" s="263" t="s">
        <v>103</v>
      </c>
      <c r="AB247" s="265">
        <f t="shared" ref="AB247" si="476">IFERROR(IF(U247="Probabilidad",(L247-(+L247*X247)),IF(U247="Impacto",L247,"")),"")</f>
        <v>0.48</v>
      </c>
      <c r="AC247" s="266" t="str">
        <f>IFERROR(IF(AB247="","",IF(AB247&lt;=0.2,"Muy Baja",IF(AB247&lt;=0.4,"Baja",IF(AB247&lt;=0.6,"Media",IF(AB247&lt;=0.8,"Alta","Muy Alta"))))),"")</f>
        <v>Media</v>
      </c>
      <c r="AD247" s="264">
        <f>+AB247</f>
        <v>0.48</v>
      </c>
      <c r="AE247" s="266" t="str">
        <f ca="1">IFERROR(IF(AF247="","",IF(AF247&lt;=0.2,"Leve",IF(AF247&lt;=0.4,"Menor",IF(AF247&lt;=0.6,"Moderado",IF(AF247&lt;=0.8,"Mayor","Catastrófico"))))),"")</f>
        <v>Moderado</v>
      </c>
      <c r="AF247" s="264">
        <f ca="1">IFERROR(IF(U247="Impacto",(P247-(+P247*X247)),IF(U247="Probabilidad",P247,"")),"")</f>
        <v>0.6</v>
      </c>
      <c r="AG247" s="267" t="str">
        <f ca="1">IFERROR(IF(OR(AND(AC247="Muy Baja",AE247="Leve"),AND(AC247="Muy Baja",AE247="Menor"),AND(AC247="Baja",AE247="Leve")),"Bajo",IF(OR(AND(AC247="Muy baja",AE247="Moderado"),AND(AC247="Baja",AE247="Menor"),AND(AC247="Baja",AE247="Moderado"),AND(AC247="Media",AE247="Leve"),AND(AC247="Media",AE247="Menor"),AND(AC247="Media",AE247="Moderado"),AND(AC247="Alta",AE247="Leve"),AND(AC247="Alta",AE247="Menor")),"Moderado",IF(OR(AND(AC247="Muy Baja",AE247="Mayor"),AND(AC247="Baja",AE247="Mayor"),AND(AC247="Media",AE247="Mayor"),AND(AC247="Alta",AE247="Moderado"),AND(AC247="Alta",AE247="Mayor"),AND(AC247="Muy Alta",AE247="Leve"),AND(AC247="Muy Alta",AE247="Menor"),AND(AC247="Muy Alta",AE247="Moderado"),AND(AC247="Muy Alta",AE247="Mayor")),"Alto",IF(OR(AND(AC247="Muy Baja",AE247="Catastrófico"),AND(AC247="Baja",AE247="Catastrófico"),AND(AC247="Media",AE247="Catastrófico"),AND(AC247="Alta",AE247="Catastrófico"),AND(AC247="Muy Alta",AE247="Catastrófico")),"Extremo","")))),"")</f>
        <v>Moderado</v>
      </c>
      <c r="AH247" s="263" t="s">
        <v>26</v>
      </c>
      <c r="AI247" s="326">
        <v>4</v>
      </c>
      <c r="AJ247" s="326">
        <v>1</v>
      </c>
      <c r="AK247" s="326">
        <v>1</v>
      </c>
      <c r="AL247" s="326">
        <v>1</v>
      </c>
      <c r="AM247" s="326">
        <v>1</v>
      </c>
      <c r="AN247" s="268"/>
      <c r="AO247" s="268"/>
      <c r="AP247" s="258"/>
      <c r="AQ247" s="269"/>
      <c r="AR247" s="270"/>
      <c r="AS247" s="323"/>
      <c r="AT247" s="323"/>
      <c r="AU247" s="323"/>
      <c r="AV247" s="323"/>
      <c r="AW247" s="323"/>
      <c r="AX247" s="323"/>
      <c r="AY247" s="323"/>
      <c r="AZ247" s="323"/>
      <c r="BA247" s="323"/>
      <c r="BB247" s="323"/>
      <c r="BC247" s="323"/>
      <c r="BD247" s="323"/>
      <c r="BE247" s="323"/>
      <c r="BF247" s="323"/>
      <c r="BG247" s="323"/>
      <c r="BH247" s="323"/>
      <c r="BI247" s="323"/>
      <c r="BJ247" s="323"/>
      <c r="BK247" s="323"/>
      <c r="BL247" s="323"/>
      <c r="BM247" s="323"/>
      <c r="BN247" s="323"/>
      <c r="BO247" s="323"/>
      <c r="BP247" s="323"/>
      <c r="BQ247" s="323"/>
      <c r="BR247" s="323"/>
      <c r="BS247" s="323"/>
      <c r="BT247" s="323"/>
      <c r="BU247" s="323"/>
      <c r="BV247" s="323"/>
      <c r="BW247" s="323"/>
      <c r="BX247" s="323"/>
      <c r="BY247" s="323"/>
    </row>
    <row r="248" spans="1:77" s="113" customFormat="1" ht="228" x14ac:dyDescent="0.2">
      <c r="A248" s="437"/>
      <c r="B248" s="438"/>
      <c r="C248" s="434"/>
      <c r="D248" s="434"/>
      <c r="E248" s="434"/>
      <c r="F248" s="435"/>
      <c r="G248" s="436"/>
      <c r="H248" s="435"/>
      <c r="I248" s="435"/>
      <c r="J248" s="439"/>
      <c r="K248" s="430"/>
      <c r="L248" s="431"/>
      <c r="M248" s="432"/>
      <c r="N248" s="310">
        <f ca="1">IF(NOT(ISERROR(MATCH(M248,_xlfn.ANCHORARRAY(G265),0))),L267&amp;"Por favor no seleccionar los criterios de impacto",M248)</f>
        <v>0</v>
      </c>
      <c r="O248" s="430"/>
      <c r="P248" s="431"/>
      <c r="Q248" s="433"/>
      <c r="R248" s="316">
        <v>2</v>
      </c>
      <c r="S248" s="330" t="s">
        <v>726</v>
      </c>
      <c r="T248" s="312" t="s">
        <v>292</v>
      </c>
      <c r="U248" s="208" t="str">
        <f>IF(OR(V248="Preventivo",V248="Detectivo"),"Probabilidad",IF(V248="Correctivo","Impacto",""))</f>
        <v>Probabilidad</v>
      </c>
      <c r="V248" s="237" t="s">
        <v>13</v>
      </c>
      <c r="W248" s="237" t="s">
        <v>8</v>
      </c>
      <c r="X248" s="209" t="str">
        <f t="shared" si="475"/>
        <v>40%</v>
      </c>
      <c r="Y248" s="237" t="s">
        <v>18</v>
      </c>
      <c r="Z248" s="237" t="s">
        <v>21</v>
      </c>
      <c r="AA248" s="237" t="s">
        <v>103</v>
      </c>
      <c r="AB248" s="210">
        <f t="shared" ref="AB248" si="477">IFERROR(IF(AND(U247="Probabilidad",U248="Probabilidad"),(AD247-(+AD247*X248)),IF(U248="Probabilidad",(L247-(+L247*X248)),IF(U248="Impacto",AD247,""))),"")</f>
        <v>0.28799999999999998</v>
      </c>
      <c r="AC248" s="211" t="str">
        <f t="shared" ref="AC248:AC252" si="478">IFERROR(IF(AB248="","",IF(AB248&lt;=0.2,"Muy Baja",IF(AB248&lt;=0.4,"Baja",IF(AB248&lt;=0.6,"Media",IF(AB248&lt;=0.8,"Alta","Muy Alta"))))),"")</f>
        <v>Baja</v>
      </c>
      <c r="AD248" s="209">
        <f t="shared" ref="AD248:AD252" si="479">+AB248</f>
        <v>0.28799999999999998</v>
      </c>
      <c r="AE248" s="211" t="str">
        <f t="shared" ref="AE248:AE252" ca="1" si="480">IFERROR(IF(AF248="","",IF(AF248&lt;=0.2,"Leve",IF(AF248&lt;=0.4,"Menor",IF(AF248&lt;=0.6,"Moderado",IF(AF248&lt;=0.8,"Mayor","Catastrófico"))))),"")</f>
        <v>Moderado</v>
      </c>
      <c r="AF248" s="209">
        <f ca="1">IFERROR(IF(AND(U247="Impacto",U248="Impacto"),(AF247-(+AF247*X248)),IF(U248="Impacto",($P$31-(+$P$31*X248)),IF(U248="Probabilidad",AF247,""))),"")</f>
        <v>0.6</v>
      </c>
      <c r="AG248" s="212" t="str">
        <f t="shared" ref="AG248:AG249" ca="1" si="481">IFERROR(IF(OR(AND(AC248="Muy Baja",AE248="Leve"),AND(AC248="Muy Baja",AE248="Menor"),AND(AC248="Baja",AE248="Leve")),"Bajo",IF(OR(AND(AC248="Muy baja",AE248="Moderado"),AND(AC248="Baja",AE248="Menor"),AND(AC248="Baja",AE248="Moderado"),AND(AC248="Media",AE248="Leve"),AND(AC248="Media",AE248="Menor"),AND(AC248="Media",AE248="Moderado"),AND(AC248="Alta",AE248="Leve"),AND(AC248="Alta",AE248="Menor")),"Moderado",IF(OR(AND(AC248="Muy Baja",AE248="Mayor"),AND(AC248="Baja",AE248="Mayor"),AND(AC248="Media",AE248="Mayor"),AND(AC248="Alta",AE248="Moderado"),AND(AC248="Alta",AE248="Mayor"),AND(AC248="Muy Alta",AE248="Leve"),AND(AC248="Muy Alta",AE248="Menor"),AND(AC248="Muy Alta",AE248="Moderado"),AND(AC248="Muy Alta",AE248="Mayor")),"Alto",IF(OR(AND(AC248="Muy Baja",AE248="Catastrófico"),AND(AC248="Baja",AE248="Catastrófico"),AND(AC248="Media",AE248="Catastrófico"),AND(AC248="Alta",AE248="Catastrófico"),AND(AC248="Muy Alta",AE248="Catastrófico")),"Extremo","")))),"")</f>
        <v>Moderado</v>
      </c>
      <c r="AH248" s="237" t="s">
        <v>26</v>
      </c>
      <c r="AI248" s="326">
        <v>4</v>
      </c>
      <c r="AJ248" s="326">
        <v>1</v>
      </c>
      <c r="AK248" s="326">
        <v>1</v>
      </c>
      <c r="AL248" s="326">
        <v>1</v>
      </c>
      <c r="AM248" s="326">
        <v>1</v>
      </c>
      <c r="AN248" s="299"/>
      <c r="AO248" s="299"/>
      <c r="AP248" s="259"/>
      <c r="AQ248" s="220"/>
      <c r="AR248" s="299"/>
      <c r="AS248" s="323"/>
      <c r="AT248" s="323"/>
      <c r="AU248" s="323"/>
      <c r="AV248" s="323"/>
      <c r="AW248" s="323"/>
      <c r="AX248" s="323"/>
      <c r="AY248" s="323"/>
      <c r="AZ248" s="323"/>
      <c r="BA248" s="323"/>
      <c r="BB248" s="323"/>
      <c r="BC248" s="323"/>
      <c r="BD248" s="323"/>
      <c r="BE248" s="323"/>
      <c r="BF248" s="323"/>
      <c r="BG248" s="323"/>
      <c r="BH248" s="323"/>
      <c r="BI248" s="323"/>
      <c r="BJ248" s="323"/>
      <c r="BK248" s="323"/>
      <c r="BL248" s="323"/>
      <c r="BM248" s="323"/>
      <c r="BN248" s="323"/>
      <c r="BO248" s="323"/>
      <c r="BP248" s="323"/>
      <c r="BQ248" s="323"/>
      <c r="BR248" s="323"/>
      <c r="BS248" s="323"/>
      <c r="BT248" s="323"/>
      <c r="BU248" s="323"/>
      <c r="BV248" s="323"/>
      <c r="BW248" s="323"/>
      <c r="BX248" s="323"/>
      <c r="BY248" s="323"/>
    </row>
    <row r="249" spans="1:77" s="113" customFormat="1" ht="128.25" x14ac:dyDescent="0.2">
      <c r="A249" s="437"/>
      <c r="B249" s="438"/>
      <c r="C249" s="434"/>
      <c r="D249" s="434"/>
      <c r="E249" s="434"/>
      <c r="F249" s="435"/>
      <c r="G249" s="436"/>
      <c r="H249" s="435"/>
      <c r="I249" s="435"/>
      <c r="J249" s="439"/>
      <c r="K249" s="430"/>
      <c r="L249" s="431"/>
      <c r="M249" s="432"/>
      <c r="N249" s="310">
        <f ca="1">IF(NOT(ISERROR(MATCH(M249,_xlfn.ANCHORARRAY(G266),0))),L268&amp;"Por favor no seleccionar los criterios de impacto",M249)</f>
        <v>0</v>
      </c>
      <c r="O249" s="430"/>
      <c r="P249" s="431"/>
      <c r="Q249" s="433"/>
      <c r="R249" s="316">
        <v>3</v>
      </c>
      <c r="S249" s="330" t="s">
        <v>727</v>
      </c>
      <c r="T249" s="312" t="s">
        <v>293</v>
      </c>
      <c r="U249" s="208" t="str">
        <f>IF(OR(V249="Preventivo",V249="Detectivo"),"Probabilidad",IF(V249="Correctivo","Impacto",""))</f>
        <v>Probabilidad</v>
      </c>
      <c r="V249" s="237" t="s">
        <v>13</v>
      </c>
      <c r="W249" s="237" t="s">
        <v>8</v>
      </c>
      <c r="X249" s="209" t="str">
        <f>IF(AND(V249="Preventivo",W249="Automático"),"50%",IF(AND(V249="Preventivo",W249="Manual"),"40%",IF(AND(V249="Detectivo",W249="Automático"),"40%",IF(AND(V249="Detectivo",W249="Manual"),"30%",IF(AND(V249="Correctivo",W249="Automático"),"35%",IF(AND(V249="Correctivo",W249="Manual"),"25%",""))))))</f>
        <v>40%</v>
      </c>
      <c r="Y249" s="237" t="s">
        <v>18</v>
      </c>
      <c r="Z249" s="237" t="s">
        <v>21</v>
      </c>
      <c r="AA249" s="237" t="s">
        <v>103</v>
      </c>
      <c r="AB249" s="210">
        <f t="shared" ref="AB249:AB252" si="482">IFERROR(IF(AND(U248="Probabilidad",U249="Probabilidad"),(AD248-(+AD248*X249)),IF(AND(U248="Impacto",U249="Probabilidad"),(AD247-(+AD247*X249)),IF(U249="Impacto",AD248,""))),"")</f>
        <v>0.17279999999999998</v>
      </c>
      <c r="AC249" s="211" t="str">
        <f t="shared" si="478"/>
        <v>Muy Baja</v>
      </c>
      <c r="AD249" s="209">
        <f t="shared" si="479"/>
        <v>0.17279999999999998</v>
      </c>
      <c r="AE249" s="211" t="str">
        <f t="shared" ca="1" si="480"/>
        <v>Moderado</v>
      </c>
      <c r="AF249" s="209">
        <f ca="1">IFERROR(IF(AND(U248="Impacto",U249="Impacto"),(AF248-(+AF248*X249)),IF(U249="Impacto",($P$31-(+$P$31*X249)),IF(U249="Probabilidad",AF248,""))),"")</f>
        <v>0.6</v>
      </c>
      <c r="AG249" s="212" t="str">
        <f t="shared" ca="1" si="481"/>
        <v>Moderado</v>
      </c>
      <c r="AH249" s="237" t="s">
        <v>26</v>
      </c>
      <c r="AI249" s="326">
        <v>4</v>
      </c>
      <c r="AJ249" s="326">
        <v>1</v>
      </c>
      <c r="AK249" s="326">
        <v>1</v>
      </c>
      <c r="AL249" s="326">
        <v>1</v>
      </c>
      <c r="AM249" s="326">
        <v>1</v>
      </c>
      <c r="AN249" s="299"/>
      <c r="AO249" s="299"/>
      <c r="AP249" s="259"/>
      <c r="AQ249" s="220"/>
      <c r="AR249" s="299"/>
      <c r="AS249" s="323"/>
      <c r="AT249" s="323"/>
      <c r="AU249" s="323"/>
      <c r="AV249" s="323"/>
      <c r="AW249" s="323"/>
      <c r="AX249" s="323"/>
      <c r="AY249" s="323"/>
      <c r="AZ249" s="323"/>
      <c r="BA249" s="323"/>
      <c r="BB249" s="323"/>
      <c r="BC249" s="323"/>
      <c r="BD249" s="323"/>
      <c r="BE249" s="323"/>
      <c r="BF249" s="323"/>
      <c r="BG249" s="323"/>
      <c r="BH249" s="323"/>
      <c r="BI249" s="323"/>
      <c r="BJ249" s="323"/>
      <c r="BK249" s="323"/>
      <c r="BL249" s="323"/>
      <c r="BM249" s="323"/>
      <c r="BN249" s="323"/>
      <c r="BO249" s="323"/>
      <c r="BP249" s="323"/>
      <c r="BQ249" s="323"/>
      <c r="BR249" s="323"/>
      <c r="BS249" s="323"/>
      <c r="BT249" s="323"/>
      <c r="BU249" s="323"/>
      <c r="BV249" s="323"/>
      <c r="BW249" s="323"/>
      <c r="BX249" s="323"/>
      <c r="BY249" s="323"/>
    </row>
    <row r="250" spans="1:77" s="113" customFormat="1" ht="35.25" hidden="1" customHeight="1" x14ac:dyDescent="0.2">
      <c r="A250" s="437"/>
      <c r="B250" s="438"/>
      <c r="C250" s="434"/>
      <c r="D250" s="434"/>
      <c r="E250" s="434"/>
      <c r="F250" s="435"/>
      <c r="G250" s="436"/>
      <c r="H250" s="435"/>
      <c r="I250" s="435"/>
      <c r="J250" s="439"/>
      <c r="K250" s="430"/>
      <c r="L250" s="431"/>
      <c r="M250" s="432"/>
      <c r="N250" s="310">
        <f ca="1">IF(NOT(ISERROR(MATCH(M250,_xlfn.ANCHORARRAY(G267),0))),L269&amp;"Por favor no seleccionar los criterios de impacto",M250)</f>
        <v>0</v>
      </c>
      <c r="O250" s="430"/>
      <c r="P250" s="431"/>
      <c r="Q250" s="433"/>
      <c r="R250" s="316">
        <v>4</v>
      </c>
      <c r="S250" s="330"/>
      <c r="T250" s="312"/>
      <c r="U250" s="208" t="str">
        <f t="shared" ref="U250:U252" si="483">IF(OR(V250="Preventivo",V250="Detectivo"),"Probabilidad",IF(V250="Correctivo","Impacto",""))</f>
        <v/>
      </c>
      <c r="V250" s="237"/>
      <c r="W250" s="237"/>
      <c r="X250" s="209" t="str">
        <f t="shared" ref="X250:X252" si="484">IF(AND(V250="Preventivo",W250="Automático"),"50%",IF(AND(V250="Preventivo",W250="Manual"),"40%",IF(AND(V250="Detectivo",W250="Automático"),"40%",IF(AND(V250="Detectivo",W250="Manual"),"30%",IF(AND(V250="Correctivo",W250="Automático"),"35%",IF(AND(V250="Correctivo",W250="Manual"),"25%",""))))))</f>
        <v/>
      </c>
      <c r="Y250" s="237"/>
      <c r="Z250" s="237"/>
      <c r="AA250" s="237"/>
      <c r="AB250" s="210" t="str">
        <f t="shared" si="482"/>
        <v/>
      </c>
      <c r="AC250" s="211" t="str">
        <f t="shared" si="478"/>
        <v/>
      </c>
      <c r="AD250" s="209" t="str">
        <f t="shared" si="479"/>
        <v/>
      </c>
      <c r="AE250" s="211" t="str">
        <f t="shared" si="480"/>
        <v/>
      </c>
      <c r="AF250" s="209" t="str">
        <f t="shared" ref="AF250:AF251" si="485">IFERROR(IF(AND(U249="Impacto",U250="Impacto"),(AF249-(+AF249*X250)),IF(U250="Impacto",($P$31-(+$P$31*X250)),IF(U250="Probabilidad",AF249,""))),"")</f>
        <v/>
      </c>
      <c r="AG250" s="212" t="str">
        <f>IFERROR(IF(OR(AND(AC250="Muy Baja",AE250="Leve"),AND(AC250="Muy Baja",AE250="Menor"),AND(AC250="Baja",AE250="Leve")),"Bajo",IF(OR(AND(AC250="Muy baja",AE250="Moderado"),AND(AC250="Baja",AE250="Menor"),AND(AC250="Baja",AE250="Moderado"),AND(AC250="Media",AE250="Leve"),AND(AC250="Media",AE250="Menor"),AND(AC250="Media",AE250="Moderado"),AND(AC250="Alta",AE250="Leve"),AND(AC250="Alta",AE250="Menor")),"Moderado",IF(OR(AND(AC250="Muy Baja",AE250="Mayor"),AND(AC250="Baja",AE250="Mayor"),AND(AC250="Media",AE250="Mayor"),AND(AC250="Alta",AE250="Moderado"),AND(AC250="Alta",AE250="Mayor"),AND(AC250="Muy Alta",AE250="Leve"),AND(AC250="Muy Alta",AE250="Menor"),AND(AC250="Muy Alta",AE250="Moderado"),AND(AC250="Muy Alta",AE250="Mayor")),"Alto",IF(OR(AND(AC250="Muy Baja",AE250="Catastrófico"),AND(AC250="Baja",AE250="Catastrófico"),AND(AC250="Media",AE250="Catastrófico"),AND(AC250="Alta",AE250="Catastrófico"),AND(AC250="Muy Alta",AE250="Catastrófico")),"Extremo","")))),"")</f>
        <v/>
      </c>
      <c r="AH250" s="237"/>
      <c r="AI250" s="318"/>
      <c r="AJ250" s="318"/>
      <c r="AK250" s="318"/>
      <c r="AL250" s="318"/>
      <c r="AM250" s="318"/>
      <c r="AN250" s="213"/>
      <c r="AO250" s="213"/>
      <c r="AP250" s="301"/>
      <c r="AQ250" s="220"/>
      <c r="AR250" s="213"/>
      <c r="AS250" s="323"/>
      <c r="AT250" s="323"/>
      <c r="AU250" s="323"/>
      <c r="AV250" s="323"/>
      <c r="AW250" s="323"/>
      <c r="AX250" s="323"/>
      <c r="AY250" s="323"/>
      <c r="AZ250" s="323"/>
      <c r="BA250" s="323"/>
      <c r="BB250" s="323"/>
      <c r="BC250" s="323"/>
      <c r="BD250" s="323"/>
      <c r="BE250" s="323"/>
      <c r="BF250" s="323"/>
      <c r="BG250" s="323"/>
      <c r="BH250" s="323"/>
      <c r="BI250" s="323"/>
      <c r="BJ250" s="323"/>
      <c r="BK250" s="323"/>
      <c r="BL250" s="323"/>
      <c r="BM250" s="323"/>
      <c r="BN250" s="323"/>
      <c r="BO250" s="323"/>
      <c r="BP250" s="323"/>
      <c r="BQ250" s="323"/>
      <c r="BR250" s="323"/>
      <c r="BS250" s="323"/>
      <c r="BT250" s="323"/>
      <c r="BU250" s="323"/>
      <c r="BV250" s="323"/>
      <c r="BW250" s="323"/>
      <c r="BX250" s="323"/>
      <c r="BY250" s="323"/>
    </row>
    <row r="251" spans="1:77" s="113" customFormat="1" ht="35.25" hidden="1" customHeight="1" x14ac:dyDescent="0.2">
      <c r="A251" s="437"/>
      <c r="B251" s="438"/>
      <c r="C251" s="434"/>
      <c r="D251" s="434"/>
      <c r="E251" s="434"/>
      <c r="F251" s="435"/>
      <c r="G251" s="436"/>
      <c r="H251" s="435"/>
      <c r="I251" s="435"/>
      <c r="J251" s="439"/>
      <c r="K251" s="430"/>
      <c r="L251" s="431"/>
      <c r="M251" s="432"/>
      <c r="N251" s="310">
        <f ca="1">IF(NOT(ISERROR(MATCH(M251,_xlfn.ANCHORARRAY(G268),0))),L270&amp;"Por favor no seleccionar los criterios de impacto",M251)</f>
        <v>0</v>
      </c>
      <c r="O251" s="430"/>
      <c r="P251" s="431"/>
      <c r="Q251" s="433"/>
      <c r="R251" s="316">
        <v>5</v>
      </c>
      <c r="S251" s="330"/>
      <c r="T251" s="312"/>
      <c r="U251" s="208" t="str">
        <f t="shared" si="483"/>
        <v/>
      </c>
      <c r="V251" s="237"/>
      <c r="W251" s="237"/>
      <c r="X251" s="209" t="str">
        <f t="shared" si="484"/>
        <v/>
      </c>
      <c r="Y251" s="237"/>
      <c r="Z251" s="237"/>
      <c r="AA251" s="237"/>
      <c r="AB251" s="210" t="str">
        <f t="shared" si="482"/>
        <v/>
      </c>
      <c r="AC251" s="211" t="str">
        <f t="shared" si="478"/>
        <v/>
      </c>
      <c r="AD251" s="209" t="str">
        <f t="shared" si="479"/>
        <v/>
      </c>
      <c r="AE251" s="211" t="str">
        <f t="shared" si="480"/>
        <v/>
      </c>
      <c r="AF251" s="209" t="str">
        <f t="shared" si="485"/>
        <v/>
      </c>
      <c r="AG251" s="212" t="str">
        <f t="shared" ref="AG251:AG252" si="486">IFERROR(IF(OR(AND(AC251="Muy Baja",AE251="Leve"),AND(AC251="Muy Baja",AE251="Menor"),AND(AC251="Baja",AE251="Leve")),"Bajo",IF(OR(AND(AC251="Muy baja",AE251="Moderado"),AND(AC251="Baja",AE251="Menor"),AND(AC251="Baja",AE251="Moderado"),AND(AC251="Media",AE251="Leve"),AND(AC251="Media",AE251="Menor"),AND(AC251="Media",AE251="Moderado"),AND(AC251="Alta",AE251="Leve"),AND(AC251="Alta",AE251="Menor")),"Moderado",IF(OR(AND(AC251="Muy Baja",AE251="Mayor"),AND(AC251="Baja",AE251="Mayor"),AND(AC251="Media",AE251="Mayor"),AND(AC251="Alta",AE251="Moderado"),AND(AC251="Alta",AE251="Mayor"),AND(AC251="Muy Alta",AE251="Leve"),AND(AC251="Muy Alta",AE251="Menor"),AND(AC251="Muy Alta",AE251="Moderado"),AND(AC251="Muy Alta",AE251="Mayor")),"Alto",IF(OR(AND(AC251="Muy Baja",AE251="Catastrófico"),AND(AC251="Baja",AE251="Catastrófico"),AND(AC251="Media",AE251="Catastrófico"),AND(AC251="Alta",AE251="Catastrófico"),AND(AC251="Muy Alta",AE251="Catastrófico")),"Extremo","")))),"")</f>
        <v/>
      </c>
      <c r="AH251" s="237"/>
      <c r="AI251" s="318"/>
      <c r="AJ251" s="318"/>
      <c r="AK251" s="318"/>
      <c r="AL251" s="318"/>
      <c r="AM251" s="318"/>
      <c r="AN251" s="300"/>
      <c r="AO251" s="300"/>
      <c r="AP251" s="298"/>
      <c r="AQ251" s="216"/>
      <c r="AR251" s="216"/>
      <c r="AS251" s="323"/>
      <c r="AT251" s="323"/>
      <c r="AU251" s="323"/>
      <c r="AV251" s="323"/>
      <c r="AW251" s="323"/>
      <c r="AX251" s="323"/>
      <c r="AY251" s="323"/>
      <c r="AZ251" s="323"/>
      <c r="BA251" s="323"/>
      <c r="BB251" s="323"/>
      <c r="BC251" s="323"/>
      <c r="BD251" s="323"/>
      <c r="BE251" s="323"/>
      <c r="BF251" s="323"/>
      <c r="BG251" s="323"/>
      <c r="BH251" s="323"/>
      <c r="BI251" s="323"/>
      <c r="BJ251" s="323"/>
      <c r="BK251" s="323"/>
      <c r="BL251" s="323"/>
      <c r="BM251" s="323"/>
      <c r="BN251" s="323"/>
      <c r="BO251" s="323"/>
      <c r="BP251" s="323"/>
      <c r="BQ251" s="323"/>
      <c r="BR251" s="323"/>
      <c r="BS251" s="323"/>
      <c r="BT251" s="323"/>
      <c r="BU251" s="323"/>
      <c r="BV251" s="323"/>
      <c r="BW251" s="323"/>
      <c r="BX251" s="323"/>
      <c r="BY251" s="323"/>
    </row>
    <row r="252" spans="1:77" s="113" customFormat="1" ht="35.25" hidden="1" customHeight="1" x14ac:dyDescent="0.2">
      <c r="A252" s="437"/>
      <c r="B252" s="438"/>
      <c r="C252" s="434"/>
      <c r="D252" s="434"/>
      <c r="E252" s="434"/>
      <c r="F252" s="435"/>
      <c r="G252" s="436"/>
      <c r="H252" s="435"/>
      <c r="I252" s="435"/>
      <c r="J252" s="439"/>
      <c r="K252" s="430"/>
      <c r="L252" s="431"/>
      <c r="M252" s="432"/>
      <c r="N252" s="310">
        <f ca="1">IF(NOT(ISERROR(MATCH(M252,_xlfn.ANCHORARRAY(G269),0))),L271&amp;"Por favor no seleccionar los criterios de impacto",M252)</f>
        <v>0</v>
      </c>
      <c r="O252" s="430"/>
      <c r="P252" s="431"/>
      <c r="Q252" s="433"/>
      <c r="R252" s="316">
        <v>6</v>
      </c>
      <c r="S252" s="330"/>
      <c r="T252" s="312"/>
      <c r="U252" s="208" t="str">
        <f t="shared" si="483"/>
        <v/>
      </c>
      <c r="V252" s="237"/>
      <c r="W252" s="237"/>
      <c r="X252" s="209" t="str">
        <f t="shared" si="484"/>
        <v/>
      </c>
      <c r="Y252" s="237"/>
      <c r="Z252" s="237"/>
      <c r="AA252" s="237"/>
      <c r="AB252" s="210" t="str">
        <f t="shared" si="482"/>
        <v/>
      </c>
      <c r="AC252" s="211" t="str">
        <f t="shared" si="478"/>
        <v/>
      </c>
      <c r="AD252" s="209" t="str">
        <f t="shared" si="479"/>
        <v/>
      </c>
      <c r="AE252" s="211" t="str">
        <f t="shared" si="480"/>
        <v/>
      </c>
      <c r="AF252" s="209" t="str">
        <f>IFERROR(IF(AND(U251="Impacto",U252="Impacto"),(AF251-(+AF251*X252)),IF(U252="Impacto",($P$31-(+$P$31*X252)),IF(U252="Probabilidad",AF251,""))),"")</f>
        <v/>
      </c>
      <c r="AG252" s="212" t="str">
        <f t="shared" si="486"/>
        <v/>
      </c>
      <c r="AH252" s="237"/>
      <c r="AI252" s="318"/>
      <c r="AJ252" s="318"/>
      <c r="AK252" s="318"/>
      <c r="AL252" s="318"/>
      <c r="AM252" s="318"/>
      <c r="AN252" s="300"/>
      <c r="AO252" s="300"/>
      <c r="AP252" s="298"/>
      <c r="AQ252" s="216"/>
      <c r="AR252" s="216"/>
      <c r="AS252" s="323"/>
      <c r="AT252" s="323"/>
      <c r="AU252" s="323"/>
      <c r="AV252" s="323"/>
      <c r="AW252" s="323"/>
      <c r="AX252" s="323"/>
      <c r="AY252" s="323"/>
      <c r="AZ252" s="323"/>
      <c r="BA252" s="323"/>
      <c r="BB252" s="323"/>
      <c r="BC252" s="323"/>
      <c r="BD252" s="323"/>
      <c r="BE252" s="323"/>
      <c r="BF252" s="323"/>
      <c r="BG252" s="323"/>
      <c r="BH252" s="323"/>
      <c r="BI252" s="323"/>
      <c r="BJ252" s="323"/>
      <c r="BK252" s="323"/>
      <c r="BL252" s="323"/>
      <c r="BM252" s="323"/>
      <c r="BN252" s="323"/>
      <c r="BO252" s="323"/>
      <c r="BP252" s="323"/>
      <c r="BQ252" s="323"/>
      <c r="BR252" s="323"/>
      <c r="BS252" s="323"/>
      <c r="BT252" s="323"/>
      <c r="BU252" s="323"/>
      <c r="BV252" s="323"/>
      <c r="BW252" s="323"/>
      <c r="BX252" s="323"/>
      <c r="BY252" s="323"/>
    </row>
    <row r="253" spans="1:77" s="271" customFormat="1" ht="185.25" x14ac:dyDescent="0.2">
      <c r="A253" s="437" t="s">
        <v>719</v>
      </c>
      <c r="B253" s="438" t="s">
        <v>288</v>
      </c>
      <c r="C253" s="434" t="s">
        <v>619</v>
      </c>
      <c r="D253" s="434" t="s">
        <v>109</v>
      </c>
      <c r="E253" s="434" t="s">
        <v>735</v>
      </c>
      <c r="F253" s="435" t="s">
        <v>685</v>
      </c>
      <c r="G253" s="436" t="s">
        <v>734</v>
      </c>
      <c r="H253" s="435" t="s">
        <v>655</v>
      </c>
      <c r="I253" s="435" t="s">
        <v>736</v>
      </c>
      <c r="J253" s="439">
        <v>1000</v>
      </c>
      <c r="K253" s="430" t="str">
        <f t="shared" ref="K253" si="487">IF(J253&lt;=0,"",IF(J253&lt;=2,"Muy Baja",IF(J253&lt;=24,"Baja",IF(J253&lt;=500,"Media",IF(J253&lt;=5000,"Alta","Muy Alta")))))</f>
        <v>Alta</v>
      </c>
      <c r="L253" s="431">
        <f>IF(K253="","",IF(K253="Muy Baja",0.2,IF(K253="Baja",0.4,IF(K253="Media",0.6,IF(K253="Alta",0.8,IF(K253="Muy Alta",1,))))))</f>
        <v>0.8</v>
      </c>
      <c r="M253" s="432" t="s">
        <v>115</v>
      </c>
      <c r="N253" s="310" t="str">
        <f ca="1">IF(NOT(ISERROR(MATCH(M253,'Tabla Impacto'!$B$221:$B$223,0))),'Tabla Impacto'!$F$223&amp;"Por favor no seleccionar los criterios de impacto(Afectación Económica o presupuestal y Pérdida Reputacional)",M253)</f>
        <v xml:space="preserve">     Entre 50 y 100 SMLMV </v>
      </c>
      <c r="O253" s="430" t="str">
        <f ca="1">IF(OR(N253='Tabla Impacto'!$C$11,N253='Tabla Impacto'!$D$11),"Leve",IF(OR(N253='Tabla Impacto'!$C$12,N253='Tabla Impacto'!$D$12),"Menor",IF(OR(N253='Tabla Impacto'!$C$13,N253='Tabla Impacto'!$D$13),"Moderado",IF(OR(N253='Tabla Impacto'!$C$14,N253='Tabla Impacto'!$D$14),"Mayor",IF(OR(N253='Tabla Impacto'!$C$15,N253='Tabla Impacto'!$D$15),"Catastrófico","")))))</f>
        <v>Moderado</v>
      </c>
      <c r="P253" s="431">
        <f ca="1">IF(O253="","",IF(O253="Leve",0.2,IF(O253="Menor",0.4,IF(O253="Moderado",0.6,IF(O253="Mayor",0.8,IF(O253="Catastrófico",1,))))))</f>
        <v>0.6</v>
      </c>
      <c r="Q253" s="433" t="str">
        <f ca="1">IF(OR(AND(K253="Muy Baja",O253="Leve"),AND(K253="Muy Baja",O253="Menor"),AND(K253="Baja",O253="Leve")),"Bajo",IF(OR(AND(K253="Muy baja",O253="Moderado"),AND(K253="Baja",O253="Menor"),AND(K253="Baja",O253="Moderado"),AND(K253="Media",O253="Leve"),AND(K253="Media",O253="Menor"),AND(K253="Media",O253="Moderado"),AND(K253="Alta",O253="Leve"),AND(K253="Alta",O253="Menor")),"Moderado",IF(OR(AND(K253="Muy Baja",O253="Mayor"),AND(K253="Baja",O253="Mayor"),AND(K253="Media",O253="Mayor"),AND(K253="Alta",O253="Moderado"),AND(K253="Alta",O253="Mayor"),AND(K253="Muy Alta",O253="Leve"),AND(K253="Muy Alta",O253="Menor"),AND(K253="Muy Alta",O253="Moderado"),AND(K253="Muy Alta",O253="Mayor")),"Alto",IF(OR(AND(K253="Muy Baja",O253="Catastrófico"),AND(K253="Baja",O253="Catastrófico"),AND(K253="Media",O253="Catastrófico"),AND(K253="Alta",O253="Catastrófico"),AND(K253="Muy Alta",O253="Catastrófico")),"Extremo",""))))</f>
        <v>Alto</v>
      </c>
      <c r="R253" s="261">
        <v>1</v>
      </c>
      <c r="S253" s="334" t="s">
        <v>737</v>
      </c>
      <c r="T253" s="272" t="s">
        <v>292</v>
      </c>
      <c r="U253" s="262" t="str">
        <f>IF(OR(V253="Preventivo",V253="Detectivo"),"Probabilidad",IF(V253="Correctivo","Impacto",""))</f>
        <v>Probabilidad</v>
      </c>
      <c r="V253" s="263" t="s">
        <v>13</v>
      </c>
      <c r="W253" s="263" t="s">
        <v>8</v>
      </c>
      <c r="X253" s="264" t="str">
        <f t="shared" ref="X253:X254" si="488">IF(AND(V253="Preventivo",W253="Automático"),"50%",IF(AND(V253="Preventivo",W253="Manual"),"40%",IF(AND(V253="Detectivo",W253="Automático"),"40%",IF(AND(V253="Detectivo",W253="Manual"),"30%",IF(AND(V253="Correctivo",W253="Automático"),"35%",IF(AND(V253="Correctivo",W253="Manual"),"25%",""))))))</f>
        <v>40%</v>
      </c>
      <c r="Y253" s="263" t="s">
        <v>19</v>
      </c>
      <c r="Z253" s="263" t="s">
        <v>21</v>
      </c>
      <c r="AA253" s="263" t="s">
        <v>103</v>
      </c>
      <c r="AB253" s="265">
        <f t="shared" ref="AB253" si="489">IFERROR(IF(U253="Probabilidad",(L253-(+L253*X253)),IF(U253="Impacto",L253,"")),"")</f>
        <v>0.48</v>
      </c>
      <c r="AC253" s="266" t="str">
        <f>IFERROR(IF(AB253="","",IF(AB253&lt;=0.2,"Muy Baja",IF(AB253&lt;=0.4,"Baja",IF(AB253&lt;=0.6,"Media",IF(AB253&lt;=0.8,"Alta","Muy Alta"))))),"")</f>
        <v>Media</v>
      </c>
      <c r="AD253" s="264">
        <f>+AB253</f>
        <v>0.48</v>
      </c>
      <c r="AE253" s="266" t="str">
        <f ca="1">IFERROR(IF(AF253="","",IF(AF253&lt;=0.2,"Leve",IF(AF253&lt;=0.4,"Menor",IF(AF253&lt;=0.6,"Moderado",IF(AF253&lt;=0.8,"Mayor","Catastrófico"))))),"")</f>
        <v>Moderado</v>
      </c>
      <c r="AF253" s="264">
        <f ca="1">IFERROR(IF(U253="Impacto",(P253-(+P253*X253)),IF(U253="Probabilidad",P253,"")),"")</f>
        <v>0.6</v>
      </c>
      <c r="AG253" s="267" t="str">
        <f ca="1">IFERROR(IF(OR(AND(AC253="Muy Baja",AE253="Leve"),AND(AC253="Muy Baja",AE253="Menor"),AND(AC253="Baja",AE253="Leve")),"Bajo",IF(OR(AND(AC253="Muy baja",AE253="Moderado"),AND(AC253="Baja",AE253="Menor"),AND(AC253="Baja",AE253="Moderado"),AND(AC253="Media",AE253="Leve"),AND(AC253="Media",AE253="Menor"),AND(AC253="Media",AE253="Moderado"),AND(AC253="Alta",AE253="Leve"),AND(AC253="Alta",AE253="Menor")),"Moderado",IF(OR(AND(AC253="Muy Baja",AE253="Mayor"),AND(AC253="Baja",AE253="Mayor"),AND(AC253="Media",AE253="Mayor"),AND(AC253="Alta",AE253="Moderado"),AND(AC253="Alta",AE253="Mayor"),AND(AC253="Muy Alta",AE253="Leve"),AND(AC253="Muy Alta",AE253="Menor"),AND(AC253="Muy Alta",AE253="Moderado"),AND(AC253="Muy Alta",AE253="Mayor")),"Alto",IF(OR(AND(AC253="Muy Baja",AE253="Catastrófico"),AND(AC253="Baja",AE253="Catastrófico"),AND(AC253="Media",AE253="Catastrófico"),AND(AC253="Alta",AE253="Catastrófico"),AND(AC253="Muy Alta",AE253="Catastrófico")),"Extremo","")))),"")</f>
        <v>Moderado</v>
      </c>
      <c r="AH253" s="263" t="s">
        <v>26</v>
      </c>
      <c r="AI253" s="326">
        <v>4</v>
      </c>
      <c r="AJ253" s="326">
        <v>1</v>
      </c>
      <c r="AK253" s="326">
        <v>1</v>
      </c>
      <c r="AL253" s="326">
        <v>1</v>
      </c>
      <c r="AM253" s="326">
        <v>1</v>
      </c>
      <c r="AN253" s="268"/>
      <c r="AO253" s="268"/>
      <c r="AP253" s="258"/>
      <c r="AQ253" s="269"/>
      <c r="AR253" s="270"/>
      <c r="AS253" s="323"/>
      <c r="AT253" s="323"/>
      <c r="AU253" s="323"/>
      <c r="AV253" s="323"/>
      <c r="AW253" s="323"/>
      <c r="AX253" s="323"/>
      <c r="AY253" s="323"/>
      <c r="AZ253" s="323"/>
      <c r="BA253" s="323"/>
      <c r="BB253" s="323"/>
      <c r="BC253" s="323"/>
      <c r="BD253" s="323"/>
      <c r="BE253" s="323"/>
      <c r="BF253" s="323"/>
      <c r="BG253" s="323"/>
      <c r="BH253" s="323"/>
      <c r="BI253" s="323"/>
      <c r="BJ253" s="323"/>
      <c r="BK253" s="323"/>
      <c r="BL253" s="323"/>
      <c r="BM253" s="323"/>
      <c r="BN253" s="323"/>
      <c r="BO253" s="323"/>
      <c r="BP253" s="323"/>
      <c r="BQ253" s="323"/>
      <c r="BR253" s="323"/>
      <c r="BS253" s="323"/>
      <c r="BT253" s="323"/>
      <c r="BU253" s="323"/>
      <c r="BV253" s="323"/>
      <c r="BW253" s="323"/>
      <c r="BX253" s="323"/>
      <c r="BY253" s="323"/>
    </row>
    <row r="254" spans="1:77" s="113" customFormat="1" ht="15" hidden="1" customHeight="1" x14ac:dyDescent="0.2">
      <c r="A254" s="437"/>
      <c r="B254" s="438"/>
      <c r="C254" s="434"/>
      <c r="D254" s="434"/>
      <c r="E254" s="434"/>
      <c r="F254" s="435"/>
      <c r="G254" s="436"/>
      <c r="H254" s="435"/>
      <c r="I254" s="435"/>
      <c r="J254" s="439"/>
      <c r="K254" s="430"/>
      <c r="L254" s="431"/>
      <c r="M254" s="432"/>
      <c r="N254" s="310">
        <f ca="1">IF(NOT(ISERROR(MATCH(M254,_xlfn.ANCHORARRAY(G271),0))),L273&amp;"Por favor no seleccionar los criterios de impacto",M254)</f>
        <v>0</v>
      </c>
      <c r="O254" s="430"/>
      <c r="P254" s="431"/>
      <c r="Q254" s="433"/>
      <c r="R254" s="316">
        <v>2</v>
      </c>
      <c r="S254" s="330"/>
      <c r="T254" s="312"/>
      <c r="U254" s="208" t="str">
        <f>IF(OR(V254="Preventivo",V254="Detectivo"),"Probabilidad",IF(V254="Correctivo","Impacto",""))</f>
        <v/>
      </c>
      <c r="V254" s="237"/>
      <c r="W254" s="237"/>
      <c r="X254" s="209" t="str">
        <f t="shared" si="488"/>
        <v/>
      </c>
      <c r="Y254" s="237"/>
      <c r="Z254" s="237"/>
      <c r="AA254" s="237"/>
      <c r="AB254" s="210" t="str">
        <f t="shared" ref="AB254" si="490">IFERROR(IF(AND(U253="Probabilidad",U254="Probabilidad"),(AD253-(+AD253*X254)),IF(U254="Probabilidad",(L253-(+L253*X254)),IF(U254="Impacto",AD253,""))),"")</f>
        <v/>
      </c>
      <c r="AC254" s="211" t="str">
        <f t="shared" ref="AC254:AC258" si="491">IFERROR(IF(AB254="","",IF(AB254&lt;=0.2,"Muy Baja",IF(AB254&lt;=0.4,"Baja",IF(AB254&lt;=0.6,"Media",IF(AB254&lt;=0.8,"Alta","Muy Alta"))))),"")</f>
        <v/>
      </c>
      <c r="AD254" s="209" t="str">
        <f t="shared" ref="AD254:AD258" si="492">+AB254</f>
        <v/>
      </c>
      <c r="AE254" s="211" t="str">
        <f t="shared" ref="AE254:AE258" si="493">IFERROR(IF(AF254="","",IF(AF254&lt;=0.2,"Leve",IF(AF254&lt;=0.4,"Menor",IF(AF254&lt;=0.6,"Moderado",IF(AF254&lt;=0.8,"Mayor","Catastrófico"))))),"")</f>
        <v/>
      </c>
      <c r="AF254" s="209" t="str">
        <f>IFERROR(IF(AND(U253="Impacto",U254="Impacto"),(AF253-(+AF253*X254)),IF(U254="Impacto",($P$31-(+$P$31*X254)),IF(U254="Probabilidad",AF253,""))),"")</f>
        <v/>
      </c>
      <c r="AG254" s="212" t="str">
        <f t="shared" ref="AG254:AG255" si="494">IFERROR(IF(OR(AND(AC254="Muy Baja",AE254="Leve"),AND(AC254="Muy Baja",AE254="Menor"),AND(AC254="Baja",AE254="Leve")),"Bajo",IF(OR(AND(AC254="Muy baja",AE254="Moderado"),AND(AC254="Baja",AE254="Menor"),AND(AC254="Baja",AE254="Moderado"),AND(AC254="Media",AE254="Leve"),AND(AC254="Media",AE254="Menor"),AND(AC254="Media",AE254="Moderado"),AND(AC254="Alta",AE254="Leve"),AND(AC254="Alta",AE254="Menor")),"Moderado",IF(OR(AND(AC254="Muy Baja",AE254="Mayor"),AND(AC254="Baja",AE254="Mayor"),AND(AC254="Media",AE254="Mayor"),AND(AC254="Alta",AE254="Moderado"),AND(AC254="Alta",AE254="Mayor"),AND(AC254="Muy Alta",AE254="Leve"),AND(AC254="Muy Alta",AE254="Menor"),AND(AC254="Muy Alta",AE254="Moderado"),AND(AC254="Muy Alta",AE254="Mayor")),"Alto",IF(OR(AND(AC254="Muy Baja",AE254="Catastrófico"),AND(AC254="Baja",AE254="Catastrófico"),AND(AC254="Media",AE254="Catastrófico"),AND(AC254="Alta",AE254="Catastrófico"),AND(AC254="Muy Alta",AE254="Catastrófico")),"Extremo","")))),"")</f>
        <v/>
      </c>
      <c r="AH254" s="237"/>
      <c r="AI254" s="318"/>
      <c r="AJ254" s="318"/>
      <c r="AK254" s="318"/>
      <c r="AL254" s="318"/>
      <c r="AM254" s="318"/>
      <c r="AN254" s="294"/>
      <c r="AO254" s="294"/>
      <c r="AP254" s="259"/>
      <c r="AQ254" s="220"/>
      <c r="AR254" s="294"/>
      <c r="AS254" s="323"/>
      <c r="AT254" s="323"/>
      <c r="AU254" s="323"/>
      <c r="AV254" s="323"/>
      <c r="AW254" s="323"/>
      <c r="AX254" s="323"/>
      <c r="AY254" s="323"/>
      <c r="AZ254" s="323"/>
      <c r="BA254" s="323"/>
      <c r="BB254" s="323"/>
      <c r="BC254" s="323"/>
      <c r="BD254" s="323"/>
      <c r="BE254" s="323"/>
      <c r="BF254" s="323"/>
      <c r="BG254" s="323"/>
      <c r="BH254" s="323"/>
      <c r="BI254" s="323"/>
      <c r="BJ254" s="323"/>
      <c r="BK254" s="323"/>
      <c r="BL254" s="323"/>
      <c r="BM254" s="323"/>
      <c r="BN254" s="323"/>
      <c r="BO254" s="323"/>
      <c r="BP254" s="323"/>
      <c r="BQ254" s="323"/>
      <c r="BR254" s="323"/>
      <c r="BS254" s="323"/>
      <c r="BT254" s="323"/>
      <c r="BU254" s="323"/>
      <c r="BV254" s="323"/>
      <c r="BW254" s="323"/>
      <c r="BX254" s="323"/>
      <c r="BY254" s="323"/>
    </row>
    <row r="255" spans="1:77" s="113" customFormat="1" ht="15" hidden="1" customHeight="1" x14ac:dyDescent="0.2">
      <c r="A255" s="437"/>
      <c r="B255" s="438"/>
      <c r="C255" s="434"/>
      <c r="D255" s="434"/>
      <c r="E255" s="434"/>
      <c r="F255" s="435"/>
      <c r="G255" s="436"/>
      <c r="H255" s="435"/>
      <c r="I255" s="435"/>
      <c r="J255" s="439"/>
      <c r="K255" s="430"/>
      <c r="L255" s="431"/>
      <c r="M255" s="432"/>
      <c r="N255" s="310">
        <f ca="1">IF(NOT(ISERROR(MATCH(M255,_xlfn.ANCHORARRAY(G272),0))),L274&amp;"Por favor no seleccionar los criterios de impacto",M255)</f>
        <v>0</v>
      </c>
      <c r="O255" s="430"/>
      <c r="P255" s="431"/>
      <c r="Q255" s="433"/>
      <c r="R255" s="316">
        <v>3</v>
      </c>
      <c r="S255" s="330"/>
      <c r="T255" s="312"/>
      <c r="U255" s="208" t="str">
        <f>IF(OR(V255="Preventivo",V255="Detectivo"),"Probabilidad",IF(V255="Correctivo","Impacto",""))</f>
        <v/>
      </c>
      <c r="V255" s="237"/>
      <c r="W255" s="237"/>
      <c r="X255" s="209" t="str">
        <f>IF(AND(V255="Preventivo",W255="Automático"),"50%",IF(AND(V255="Preventivo",W255="Manual"),"40%",IF(AND(V255="Detectivo",W255="Automático"),"40%",IF(AND(V255="Detectivo",W255="Manual"),"30%",IF(AND(V255="Correctivo",W255="Automático"),"35%",IF(AND(V255="Correctivo",W255="Manual"),"25%",""))))))</f>
        <v/>
      </c>
      <c r="Y255" s="237"/>
      <c r="Z255" s="237"/>
      <c r="AA255" s="237"/>
      <c r="AB255" s="210" t="str">
        <f t="shared" ref="AB255:AB258" si="495">IFERROR(IF(AND(U254="Probabilidad",U255="Probabilidad"),(AD254-(+AD254*X255)),IF(AND(U254="Impacto",U255="Probabilidad"),(AD253-(+AD253*X255)),IF(U255="Impacto",AD254,""))),"")</f>
        <v/>
      </c>
      <c r="AC255" s="211" t="str">
        <f t="shared" si="491"/>
        <v/>
      </c>
      <c r="AD255" s="209" t="str">
        <f t="shared" si="492"/>
        <v/>
      </c>
      <c r="AE255" s="211" t="str">
        <f t="shared" si="493"/>
        <v/>
      </c>
      <c r="AF255" s="209" t="str">
        <f>IFERROR(IF(AND(U254="Impacto",U255="Impacto"),(AF254-(+AF254*X255)),IF(U255="Impacto",($P$31-(+$P$31*X255)),IF(U255="Probabilidad",AF254,""))),"")</f>
        <v/>
      </c>
      <c r="AG255" s="212" t="str">
        <f t="shared" si="494"/>
        <v/>
      </c>
      <c r="AH255" s="237"/>
      <c r="AI255" s="318"/>
      <c r="AJ255" s="318"/>
      <c r="AK255" s="318"/>
      <c r="AL255" s="318"/>
      <c r="AM255" s="318"/>
      <c r="AN255" s="294"/>
      <c r="AO255" s="294"/>
      <c r="AP255" s="259"/>
      <c r="AQ255" s="220"/>
      <c r="AR255" s="294"/>
      <c r="AS255" s="323"/>
      <c r="AT255" s="323"/>
      <c r="AU255" s="323"/>
      <c r="AV255" s="323"/>
      <c r="AW255" s="323"/>
      <c r="AX255" s="323"/>
      <c r="AY255" s="323"/>
      <c r="AZ255" s="323"/>
      <c r="BA255" s="323"/>
      <c r="BB255" s="323"/>
      <c r="BC255" s="323"/>
      <c r="BD255" s="323"/>
      <c r="BE255" s="323"/>
      <c r="BF255" s="323"/>
      <c r="BG255" s="323"/>
      <c r="BH255" s="323"/>
      <c r="BI255" s="323"/>
      <c r="BJ255" s="323"/>
      <c r="BK255" s="323"/>
      <c r="BL255" s="323"/>
      <c r="BM255" s="323"/>
      <c r="BN255" s="323"/>
      <c r="BO255" s="323"/>
      <c r="BP255" s="323"/>
      <c r="BQ255" s="323"/>
      <c r="BR255" s="323"/>
      <c r="BS255" s="323"/>
      <c r="BT255" s="323"/>
      <c r="BU255" s="323"/>
      <c r="BV255" s="323"/>
      <c r="BW255" s="323"/>
      <c r="BX255" s="323"/>
      <c r="BY255" s="323"/>
    </row>
    <row r="256" spans="1:77" s="113" customFormat="1" ht="15" hidden="1" customHeight="1" x14ac:dyDescent="0.2">
      <c r="A256" s="437"/>
      <c r="B256" s="438"/>
      <c r="C256" s="434"/>
      <c r="D256" s="434"/>
      <c r="E256" s="434"/>
      <c r="F256" s="435"/>
      <c r="G256" s="436"/>
      <c r="H256" s="435"/>
      <c r="I256" s="435"/>
      <c r="J256" s="439"/>
      <c r="K256" s="430"/>
      <c r="L256" s="431"/>
      <c r="M256" s="432"/>
      <c r="N256" s="310">
        <f ca="1">IF(NOT(ISERROR(MATCH(M256,_xlfn.ANCHORARRAY(G273),0))),L275&amp;"Por favor no seleccionar los criterios de impacto",M256)</f>
        <v>0</v>
      </c>
      <c r="O256" s="430"/>
      <c r="P256" s="431"/>
      <c r="Q256" s="433"/>
      <c r="R256" s="316">
        <v>4</v>
      </c>
      <c r="S256" s="330"/>
      <c r="T256" s="312"/>
      <c r="U256" s="208" t="str">
        <f t="shared" ref="U256:U258" si="496">IF(OR(V256="Preventivo",V256="Detectivo"),"Probabilidad",IF(V256="Correctivo","Impacto",""))</f>
        <v/>
      </c>
      <c r="V256" s="237"/>
      <c r="W256" s="237"/>
      <c r="X256" s="209" t="str">
        <f t="shared" ref="X256:X258" si="497">IF(AND(V256="Preventivo",W256="Automático"),"50%",IF(AND(V256="Preventivo",W256="Manual"),"40%",IF(AND(V256="Detectivo",W256="Automático"),"40%",IF(AND(V256="Detectivo",W256="Manual"),"30%",IF(AND(V256="Correctivo",W256="Automático"),"35%",IF(AND(V256="Correctivo",W256="Manual"),"25%",""))))))</f>
        <v/>
      </c>
      <c r="Y256" s="237"/>
      <c r="Z256" s="237"/>
      <c r="AA256" s="237"/>
      <c r="AB256" s="210" t="str">
        <f t="shared" si="495"/>
        <v/>
      </c>
      <c r="AC256" s="211" t="str">
        <f t="shared" si="491"/>
        <v/>
      </c>
      <c r="AD256" s="209" t="str">
        <f t="shared" si="492"/>
        <v/>
      </c>
      <c r="AE256" s="211" t="str">
        <f t="shared" si="493"/>
        <v/>
      </c>
      <c r="AF256" s="209" t="str">
        <f t="shared" ref="AF256:AF257" si="498">IFERROR(IF(AND(U255="Impacto",U256="Impacto"),(AF255-(+AF255*X256)),IF(U256="Impacto",($P$31-(+$P$31*X256)),IF(U256="Probabilidad",AF255,""))),"")</f>
        <v/>
      </c>
      <c r="AG256" s="212" t="str">
        <f>IFERROR(IF(OR(AND(AC256="Muy Baja",AE256="Leve"),AND(AC256="Muy Baja",AE256="Menor"),AND(AC256="Baja",AE256="Leve")),"Bajo",IF(OR(AND(AC256="Muy baja",AE256="Moderado"),AND(AC256="Baja",AE256="Menor"),AND(AC256="Baja",AE256="Moderado"),AND(AC256="Media",AE256="Leve"),AND(AC256="Media",AE256="Menor"),AND(AC256="Media",AE256="Moderado"),AND(AC256="Alta",AE256="Leve"),AND(AC256="Alta",AE256="Menor")),"Moderado",IF(OR(AND(AC256="Muy Baja",AE256="Mayor"),AND(AC256="Baja",AE256="Mayor"),AND(AC256="Media",AE256="Mayor"),AND(AC256="Alta",AE256="Moderado"),AND(AC256="Alta",AE256="Mayor"),AND(AC256="Muy Alta",AE256="Leve"),AND(AC256="Muy Alta",AE256="Menor"),AND(AC256="Muy Alta",AE256="Moderado"),AND(AC256="Muy Alta",AE256="Mayor")),"Alto",IF(OR(AND(AC256="Muy Baja",AE256="Catastrófico"),AND(AC256="Baja",AE256="Catastrófico"),AND(AC256="Media",AE256="Catastrófico"),AND(AC256="Alta",AE256="Catastrófico"),AND(AC256="Muy Alta",AE256="Catastrófico")),"Extremo","")))),"")</f>
        <v/>
      </c>
      <c r="AH256" s="237"/>
      <c r="AI256" s="318"/>
      <c r="AJ256" s="318"/>
      <c r="AK256" s="318"/>
      <c r="AL256" s="318"/>
      <c r="AM256" s="318"/>
      <c r="AN256" s="213"/>
      <c r="AO256" s="213"/>
      <c r="AP256" s="296"/>
      <c r="AQ256" s="220"/>
      <c r="AR256" s="213"/>
      <c r="AS256" s="323"/>
      <c r="AT256" s="323"/>
      <c r="AU256" s="323"/>
      <c r="AV256" s="323"/>
      <c r="AW256" s="323"/>
      <c r="AX256" s="323"/>
      <c r="AY256" s="323"/>
      <c r="AZ256" s="323"/>
      <c r="BA256" s="323"/>
      <c r="BB256" s="323"/>
      <c r="BC256" s="323"/>
      <c r="BD256" s="323"/>
      <c r="BE256" s="323"/>
      <c r="BF256" s="323"/>
      <c r="BG256" s="323"/>
      <c r="BH256" s="323"/>
      <c r="BI256" s="323"/>
      <c r="BJ256" s="323"/>
      <c r="BK256" s="323"/>
      <c r="BL256" s="323"/>
      <c r="BM256" s="323"/>
      <c r="BN256" s="323"/>
      <c r="BO256" s="323"/>
      <c r="BP256" s="323"/>
      <c r="BQ256" s="323"/>
      <c r="BR256" s="323"/>
      <c r="BS256" s="323"/>
      <c r="BT256" s="323"/>
      <c r="BU256" s="323"/>
      <c r="BV256" s="323"/>
      <c r="BW256" s="323"/>
      <c r="BX256" s="323"/>
      <c r="BY256" s="323"/>
    </row>
    <row r="257" spans="1:77" s="113" customFormat="1" ht="15" hidden="1" customHeight="1" x14ac:dyDescent="0.2">
      <c r="A257" s="437"/>
      <c r="B257" s="438"/>
      <c r="C257" s="434"/>
      <c r="D257" s="434"/>
      <c r="E257" s="434"/>
      <c r="F257" s="435"/>
      <c r="G257" s="436"/>
      <c r="H257" s="435"/>
      <c r="I257" s="435"/>
      <c r="J257" s="439"/>
      <c r="K257" s="430"/>
      <c r="L257" s="431"/>
      <c r="M257" s="432"/>
      <c r="N257" s="310">
        <f ca="1">IF(NOT(ISERROR(MATCH(M257,_xlfn.ANCHORARRAY(G274),0))),L276&amp;"Por favor no seleccionar los criterios de impacto",M257)</f>
        <v>0</v>
      </c>
      <c r="O257" s="430"/>
      <c r="P257" s="431"/>
      <c r="Q257" s="433"/>
      <c r="R257" s="316">
        <v>5</v>
      </c>
      <c r="S257" s="330"/>
      <c r="T257" s="312"/>
      <c r="U257" s="208" t="str">
        <f t="shared" si="496"/>
        <v/>
      </c>
      <c r="V257" s="237"/>
      <c r="W257" s="237"/>
      <c r="X257" s="209" t="str">
        <f t="shared" si="497"/>
        <v/>
      </c>
      <c r="Y257" s="237"/>
      <c r="Z257" s="237"/>
      <c r="AA257" s="237"/>
      <c r="AB257" s="210" t="str">
        <f t="shared" si="495"/>
        <v/>
      </c>
      <c r="AC257" s="211" t="str">
        <f t="shared" si="491"/>
        <v/>
      </c>
      <c r="AD257" s="209" t="str">
        <f t="shared" si="492"/>
        <v/>
      </c>
      <c r="AE257" s="211" t="str">
        <f t="shared" si="493"/>
        <v/>
      </c>
      <c r="AF257" s="209" t="str">
        <f t="shared" si="498"/>
        <v/>
      </c>
      <c r="AG257" s="212" t="str">
        <f t="shared" ref="AG257:AG258" si="499">IFERROR(IF(OR(AND(AC257="Muy Baja",AE257="Leve"),AND(AC257="Muy Baja",AE257="Menor"),AND(AC257="Baja",AE257="Leve")),"Bajo",IF(OR(AND(AC257="Muy baja",AE257="Moderado"),AND(AC257="Baja",AE257="Menor"),AND(AC257="Baja",AE257="Moderado"),AND(AC257="Media",AE257="Leve"),AND(AC257="Media",AE257="Menor"),AND(AC257="Media",AE257="Moderado"),AND(AC257="Alta",AE257="Leve"),AND(AC257="Alta",AE257="Menor")),"Moderado",IF(OR(AND(AC257="Muy Baja",AE257="Mayor"),AND(AC257="Baja",AE257="Mayor"),AND(AC257="Media",AE257="Mayor"),AND(AC257="Alta",AE257="Moderado"),AND(AC257="Alta",AE257="Mayor"),AND(AC257="Muy Alta",AE257="Leve"),AND(AC257="Muy Alta",AE257="Menor"),AND(AC257="Muy Alta",AE257="Moderado"),AND(AC257="Muy Alta",AE257="Mayor")),"Alto",IF(OR(AND(AC257="Muy Baja",AE257="Catastrófico"),AND(AC257="Baja",AE257="Catastrófico"),AND(AC257="Media",AE257="Catastrófico"),AND(AC257="Alta",AE257="Catastrófico"),AND(AC257="Muy Alta",AE257="Catastrófico")),"Extremo","")))),"")</f>
        <v/>
      </c>
      <c r="AH257" s="237"/>
      <c r="AI257" s="318"/>
      <c r="AJ257" s="318"/>
      <c r="AK257" s="318"/>
      <c r="AL257" s="318"/>
      <c r="AM257" s="318"/>
      <c r="AN257" s="295"/>
      <c r="AO257" s="295"/>
      <c r="AP257" s="293"/>
      <c r="AQ257" s="216"/>
      <c r="AR257" s="216"/>
      <c r="AS257" s="323"/>
      <c r="AT257" s="323"/>
      <c r="AU257" s="323"/>
      <c r="AV257" s="323"/>
      <c r="AW257" s="323"/>
      <c r="AX257" s="323"/>
      <c r="AY257" s="323"/>
      <c r="AZ257" s="323"/>
      <c r="BA257" s="323"/>
      <c r="BB257" s="323"/>
      <c r="BC257" s="323"/>
      <c r="BD257" s="323"/>
      <c r="BE257" s="323"/>
      <c r="BF257" s="323"/>
      <c r="BG257" s="323"/>
      <c r="BH257" s="323"/>
      <c r="BI257" s="323"/>
      <c r="BJ257" s="323"/>
      <c r="BK257" s="323"/>
      <c r="BL257" s="323"/>
      <c r="BM257" s="323"/>
      <c r="BN257" s="323"/>
      <c r="BO257" s="323"/>
      <c r="BP257" s="323"/>
      <c r="BQ257" s="323"/>
      <c r="BR257" s="323"/>
      <c r="BS257" s="323"/>
      <c r="BT257" s="323"/>
      <c r="BU257" s="323"/>
      <c r="BV257" s="323"/>
      <c r="BW257" s="323"/>
      <c r="BX257" s="323"/>
      <c r="BY257" s="323"/>
    </row>
    <row r="258" spans="1:77" s="113" customFormat="1" ht="15" hidden="1" customHeight="1" x14ac:dyDescent="0.2">
      <c r="A258" s="437"/>
      <c r="B258" s="438"/>
      <c r="C258" s="434"/>
      <c r="D258" s="434"/>
      <c r="E258" s="434"/>
      <c r="F258" s="435"/>
      <c r="G258" s="436"/>
      <c r="H258" s="435"/>
      <c r="I258" s="435"/>
      <c r="J258" s="439"/>
      <c r="K258" s="430"/>
      <c r="L258" s="431"/>
      <c r="M258" s="432"/>
      <c r="N258" s="310">
        <f ca="1">IF(NOT(ISERROR(MATCH(M258,_xlfn.ANCHORARRAY(G275),0))),L289&amp;"Por favor no seleccionar los criterios de impacto",M258)</f>
        <v>0</v>
      </c>
      <c r="O258" s="430"/>
      <c r="P258" s="431"/>
      <c r="Q258" s="433"/>
      <c r="R258" s="316">
        <v>6</v>
      </c>
      <c r="S258" s="330"/>
      <c r="T258" s="312"/>
      <c r="U258" s="208" t="str">
        <f t="shared" si="496"/>
        <v/>
      </c>
      <c r="V258" s="237"/>
      <c r="W258" s="237"/>
      <c r="X258" s="209" t="str">
        <f t="shared" si="497"/>
        <v/>
      </c>
      <c r="Y258" s="237"/>
      <c r="Z258" s="237"/>
      <c r="AA258" s="237"/>
      <c r="AB258" s="210" t="str">
        <f t="shared" si="495"/>
        <v/>
      </c>
      <c r="AC258" s="211" t="str">
        <f t="shared" si="491"/>
        <v/>
      </c>
      <c r="AD258" s="209" t="str">
        <f t="shared" si="492"/>
        <v/>
      </c>
      <c r="AE258" s="211" t="str">
        <f t="shared" si="493"/>
        <v/>
      </c>
      <c r="AF258" s="209" t="str">
        <f>IFERROR(IF(AND(U257="Impacto",U258="Impacto"),(AF257-(+AF257*X258)),IF(U258="Impacto",($P$31-(+$P$31*X258)),IF(U258="Probabilidad",AF257,""))),"")</f>
        <v/>
      </c>
      <c r="AG258" s="212" t="str">
        <f t="shared" si="499"/>
        <v/>
      </c>
      <c r="AH258" s="237"/>
      <c r="AI258" s="318"/>
      <c r="AJ258" s="318"/>
      <c r="AK258" s="318"/>
      <c r="AL258" s="318"/>
      <c r="AM258" s="318"/>
      <c r="AN258" s="295"/>
      <c r="AO258" s="295"/>
      <c r="AP258" s="293"/>
      <c r="AQ258" s="216"/>
      <c r="AR258" s="216"/>
      <c r="AS258" s="323"/>
      <c r="AT258" s="323"/>
      <c r="AU258" s="323"/>
      <c r="AV258" s="323"/>
      <c r="AW258" s="323"/>
      <c r="AX258" s="323"/>
      <c r="AY258" s="323"/>
      <c r="AZ258" s="323"/>
      <c r="BA258" s="323"/>
      <c r="BB258" s="323"/>
      <c r="BC258" s="323"/>
      <c r="BD258" s="323"/>
      <c r="BE258" s="323"/>
      <c r="BF258" s="323"/>
      <c r="BG258" s="323"/>
      <c r="BH258" s="323"/>
      <c r="BI258" s="323"/>
      <c r="BJ258" s="323"/>
      <c r="BK258" s="323"/>
      <c r="BL258" s="323"/>
      <c r="BM258" s="323"/>
      <c r="BN258" s="323"/>
      <c r="BO258" s="323"/>
      <c r="BP258" s="323"/>
      <c r="BQ258" s="323"/>
      <c r="BR258" s="323"/>
      <c r="BS258" s="323"/>
      <c r="BT258" s="323"/>
      <c r="BU258" s="323"/>
      <c r="BV258" s="323"/>
      <c r="BW258" s="323"/>
      <c r="BX258" s="323"/>
      <c r="BY258" s="323"/>
    </row>
    <row r="259" spans="1:77" s="271" customFormat="1" ht="130.5" x14ac:dyDescent="0.2">
      <c r="A259" s="437" t="s">
        <v>1051</v>
      </c>
      <c r="B259" s="490" t="s">
        <v>288</v>
      </c>
      <c r="C259" s="491" t="s">
        <v>621</v>
      </c>
      <c r="D259" s="493" t="s">
        <v>108</v>
      </c>
      <c r="E259" s="491" t="s">
        <v>745</v>
      </c>
      <c r="F259" s="493" t="s">
        <v>685</v>
      </c>
      <c r="G259" s="436" t="s">
        <v>744</v>
      </c>
      <c r="H259" s="435" t="s">
        <v>661</v>
      </c>
      <c r="I259" s="435" t="s">
        <v>746</v>
      </c>
      <c r="J259" s="439">
        <v>10</v>
      </c>
      <c r="K259" s="430" t="str">
        <f>IF(J259&lt;=0,"",IF(J259&lt;=2,"Muy Baja",IF(J259&lt;=24,"Baja",IF(J259&lt;=500,"Media",IF(J259&lt;=5000,"Alta","Muy Alta")))))</f>
        <v>Baja</v>
      </c>
      <c r="L259" s="431">
        <f>IF(K259="","",IF(K259="Muy Baja",0.2,IF(K259="Baja",0.4,IF(K259="Media",0.6,IF(K259="Alta",0.8,IF(K259="Muy Alta",1,))))))</f>
        <v>0.4</v>
      </c>
      <c r="M259" s="432" t="s">
        <v>116</v>
      </c>
      <c r="N259" s="431" t="str">
        <f ca="1">IF(NOT(ISERROR(MATCH(M259,'Tabla Impacto'!$B$221:$B$223,0))),'Tabla Impacto'!$F$223&amp;"Por favor no seleccionar los criterios de impacto(Afectación Económica o presupuestal y Pérdida Reputacional)",M259)</f>
        <v xml:space="preserve">     Entre 10 y 50 SMLMV </v>
      </c>
      <c r="O259" s="430" t="str">
        <f ca="1">IF(OR(N259='Tabla Impacto'!$C$11,N259='Tabla Impacto'!$D$11),"Leve",IF(OR(N259='Tabla Impacto'!$C$12,N259='Tabla Impacto'!$D$12),"Menor",IF(OR(N259='Tabla Impacto'!$C$13,N259='Tabla Impacto'!$D$13),"Moderado",IF(OR(N259='Tabla Impacto'!$C$14,N259='Tabla Impacto'!$D$14),"Mayor",IF(OR(N259='Tabla Impacto'!$C$15,N259='Tabla Impacto'!$D$15),"Catastrófico","")))))</f>
        <v>Menor</v>
      </c>
      <c r="P259" s="431">
        <f ca="1">IF(O259="","",IF(O259="Leve",0.2,IF(O259="Menor",0.4,IF(O259="Moderado",0.6,IF(O259="Mayor",0.8,IF(O259="Catastrófico",1,))))))</f>
        <v>0.4</v>
      </c>
      <c r="Q259" s="433" t="str">
        <f ca="1">IF(OR(AND(K259="Muy Baja",O259="Leve"),AND(K259="Muy Baja",O259="Menor"),AND(K259="Baja",O259="Leve")),"Bajo",IF(OR(AND(K259="Muy baja",O259="Moderado"),AND(K259="Baja",O259="Menor"),AND(K259="Baja",O259="Moderado"),AND(K259="Media",O259="Leve"),AND(K259="Media",O259="Menor"),AND(K259="Media",O259="Moderado"),AND(K259="Alta",O259="Leve"),AND(K259="Alta",O259="Menor")),"Moderado",IF(OR(AND(K259="Muy Baja",O259="Mayor"),AND(K259="Baja",O259="Mayor"),AND(K259="Media",O259="Mayor"),AND(K259="Alta",O259="Moderado"),AND(K259="Alta",O259="Mayor"),AND(K259="Muy Alta",O259="Leve"),AND(K259="Muy Alta",O259="Menor"),AND(K259="Muy Alta",O259="Moderado"),AND(K259="Muy Alta",O259="Mayor")),"Alto",IF(OR(AND(K259="Muy Baja",O259="Catastrófico"),AND(K259="Baja",O259="Catastrófico"),AND(K259="Media",O259="Catastrófico"),AND(K259="Alta",O259="Catastrófico"),AND(K259="Muy Alta",O259="Catastrófico")),"Extremo",""))))</f>
        <v>Moderado</v>
      </c>
      <c r="R259" s="261">
        <v>1</v>
      </c>
      <c r="S259" s="334" t="s">
        <v>1052</v>
      </c>
      <c r="T259" s="272" t="s">
        <v>292</v>
      </c>
      <c r="U259" s="262" t="str">
        <f t="shared" ref="U259:U267" si="500">IF(OR(V259="Preventivo",V259="Detectivo"),"Probabilidad",IF(V259="Correctivo","Impacto",""))</f>
        <v>Probabilidad</v>
      </c>
      <c r="V259" s="263" t="s">
        <v>13</v>
      </c>
      <c r="W259" s="263" t="s">
        <v>8</v>
      </c>
      <c r="X259" s="264" t="str">
        <f t="shared" ref="X259:X265" si="501">IF(AND(V259="Preventivo",W259="Automático"),"50%",IF(AND(V259="Preventivo",W259="Manual"),"40%",IF(AND(V259="Detectivo",W259="Automático"),"40%",IF(AND(V259="Detectivo",W259="Manual"),"30%",IF(AND(V259="Correctivo",W259="Automático"),"35%",IF(AND(V259="Correctivo",W259="Manual"),"25%",""))))))</f>
        <v>40%</v>
      </c>
      <c r="Y259" s="263" t="s">
        <v>18</v>
      </c>
      <c r="Z259" s="263" t="s">
        <v>21</v>
      </c>
      <c r="AA259" s="263" t="s">
        <v>103</v>
      </c>
      <c r="AB259" s="265">
        <f t="shared" ref="AB259" si="502">IFERROR(IF(U259="Probabilidad",(L259-(+L259*X259)),IF(U259="Impacto",L259,"")),"")</f>
        <v>0.24</v>
      </c>
      <c r="AC259" s="266" t="str">
        <f t="shared" ref="AC259:AC265" si="503">IFERROR(IF(AB259="","",IF(AB259&lt;=0.2,"Muy Baja",IF(AB259&lt;=0.4,"Baja",IF(AB259&lt;=0.6,"Media",IF(AB259&lt;=0.8,"Alta","Muy Alta"))))),"")</f>
        <v>Baja</v>
      </c>
      <c r="AD259" s="264">
        <f t="shared" ref="AD259:AD264" si="504">+AB259</f>
        <v>0.24</v>
      </c>
      <c r="AE259" s="266" t="str">
        <f ca="1">IFERROR(IF(AF259="","",IF(AF259&lt;=0.2,"Leve",IF(AF259&lt;=0.4,"Menor",IF(AF259&lt;=0.6,"Moderado",IF(AF259&lt;=0.8,"Mayor","Catastrófico"))))),"")</f>
        <v>Menor</v>
      </c>
      <c r="AF259" s="264">
        <f ca="1">IFERROR(IF(U259="Impacto",(P259-(+P259*X259)),IF(U259="Probabilidad",P259,"")),"")</f>
        <v>0.4</v>
      </c>
      <c r="AG259" s="267" t="str">
        <f ca="1">IFERROR(IF(OR(AND(AC259="Muy Baja",AE259="Leve"),AND(AC259="Muy Baja",AE259="Menor"),AND(AC259="Baja",AE259="Leve")),"Bajo",IF(OR(AND(AC259="Muy baja",AE259="Moderado"),AND(AC259="Baja",AE259="Menor"),AND(AC259="Baja",AE259="Moderado"),AND(AC259="Media",AE259="Leve"),AND(AC259="Media",AE259="Menor"),AND(AC259="Media",AE259="Moderado"),AND(AC259="Alta",AE259="Leve"),AND(AC259="Alta",AE259="Menor")),"Moderado",IF(OR(AND(AC259="Muy Baja",AE259="Mayor"),AND(AC259="Baja",AE259="Mayor"),AND(AC259="Media",AE259="Mayor"),AND(AC259="Alta",AE259="Moderado"),AND(AC259="Alta",AE259="Mayor"),AND(AC259="Muy Alta",AE259="Leve"),AND(AC259="Muy Alta",AE259="Menor"),AND(AC259="Muy Alta",AE259="Moderado"),AND(AC259="Muy Alta",AE259="Mayor")),"Alto",IF(OR(AND(AC259="Muy Baja",AE259="Catastrófico"),AND(AC259="Baja",AE259="Catastrófico"),AND(AC259="Media",AE259="Catastrófico"),AND(AC259="Alta",AE259="Catastrófico"),AND(AC259="Muy Alta",AE259="Catastrófico")),"Extremo","")))),"")</f>
        <v>Moderado</v>
      </c>
      <c r="AH259" s="263" t="s">
        <v>26</v>
      </c>
      <c r="AI259" s="273">
        <v>4</v>
      </c>
      <c r="AJ259" s="273">
        <v>1</v>
      </c>
      <c r="AK259" s="273">
        <v>1</v>
      </c>
      <c r="AL259" s="273">
        <v>1</v>
      </c>
      <c r="AM259" s="273">
        <v>1</v>
      </c>
      <c r="AN259" s="272"/>
      <c r="AO259" s="272"/>
      <c r="AP259" s="273"/>
      <c r="AQ259" s="274"/>
      <c r="AR259" s="274"/>
      <c r="AS259" s="323"/>
      <c r="AT259" s="323"/>
      <c r="AU259" s="323"/>
      <c r="AV259" s="323"/>
      <c r="AW259" s="323"/>
      <c r="AX259" s="323"/>
      <c r="AY259" s="323"/>
      <c r="AZ259" s="323"/>
      <c r="BA259" s="323"/>
      <c r="BB259" s="323"/>
      <c r="BC259" s="323"/>
      <c r="BD259" s="323"/>
      <c r="BE259" s="323"/>
      <c r="BF259" s="323"/>
      <c r="BG259" s="323"/>
      <c r="BH259" s="323"/>
      <c r="BI259" s="323"/>
      <c r="BJ259" s="323"/>
      <c r="BK259" s="323"/>
      <c r="BL259" s="323"/>
      <c r="BM259" s="323"/>
      <c r="BN259" s="323"/>
      <c r="BO259" s="323"/>
      <c r="BP259" s="323"/>
      <c r="BQ259" s="323"/>
      <c r="BR259" s="323"/>
      <c r="BS259" s="323"/>
      <c r="BT259" s="323"/>
      <c r="BU259" s="323"/>
      <c r="BV259" s="323"/>
      <c r="BW259" s="323"/>
      <c r="BX259" s="323"/>
      <c r="BY259" s="323"/>
    </row>
    <row r="260" spans="1:77" s="113" customFormat="1" ht="14.25" hidden="1" customHeight="1" x14ac:dyDescent="0.2">
      <c r="A260" s="437"/>
      <c r="B260" s="490"/>
      <c r="C260" s="491"/>
      <c r="D260" s="493"/>
      <c r="E260" s="491"/>
      <c r="F260" s="493"/>
      <c r="G260" s="436"/>
      <c r="H260" s="435"/>
      <c r="I260" s="435"/>
      <c r="J260" s="439"/>
      <c r="K260" s="430"/>
      <c r="L260" s="431"/>
      <c r="M260" s="432"/>
      <c r="N260" s="431">
        <f ca="1">IF(NOT(ISERROR(MATCH(M260,_xlfn.ANCHORARRAY(#REF!),0))),#REF!&amp;"Por favor no seleccionar los criterios de impacto",M260)</f>
        <v>0</v>
      </c>
      <c r="O260" s="430"/>
      <c r="P260" s="431"/>
      <c r="Q260" s="433"/>
      <c r="R260" s="316">
        <v>2</v>
      </c>
      <c r="S260" s="330"/>
      <c r="T260" s="312"/>
      <c r="U260" s="208" t="str">
        <f t="shared" si="500"/>
        <v/>
      </c>
      <c r="V260" s="237"/>
      <c r="W260" s="237"/>
      <c r="X260" s="209" t="str">
        <f t="shared" si="501"/>
        <v/>
      </c>
      <c r="Y260" s="237"/>
      <c r="Z260" s="237"/>
      <c r="AA260" s="237"/>
      <c r="AB260" s="210" t="str">
        <f t="shared" ref="AB260" si="505">IFERROR(IF(AND(U259="Probabilidad",U260="Probabilidad"),(AD259-(+AD259*X260)),IF(U260="Probabilidad",(L259-(+L259*X260)),IF(U260="Impacto",AD259,""))),"")</f>
        <v/>
      </c>
      <c r="AC260" s="211" t="str">
        <f t="shared" si="503"/>
        <v/>
      </c>
      <c r="AD260" s="209" t="str">
        <f t="shared" si="504"/>
        <v/>
      </c>
      <c r="AE260" s="211"/>
      <c r="AF260" s="209" t="str">
        <f>IFERROR(IF(AND(U259="Impacto",U260="Impacto"),(AF259-(+AF259*X260)),IF(U260="Impacto",($P$31-(+$P$31*X260)),IF(U260="Probabilidad",AF259,""))),"")</f>
        <v/>
      </c>
      <c r="AG260" s="212" t="str">
        <f t="shared" ref="AG260:AG264" si="506">IFERROR(IF(OR(AND(AC260="Muy Baja",AE260="Leve"),AND(AC260="Muy Baja",AE260="Menor"),AND(AC260="Baja",AE260="Leve")),"Bajo",IF(OR(AND(AC260="Muy baja",AE260="Moderado"),AND(AC260="Baja",AE260="Menor"),AND(AC260="Baja",AE260="Moderado"),AND(AC260="Media",AE260="Leve"),AND(AC260="Media",AE260="Menor"),AND(AC260="Media",AE260="Moderado"),AND(AC260="Alta",AE260="Leve"),AND(AC260="Alta",AE260="Menor")),"Moderado",IF(OR(AND(AC260="Muy Baja",AE260="Mayor"),AND(AC260="Baja",AE260="Mayor"),AND(AC260="Media",AE260="Mayor"),AND(AC260="Alta",AE260="Moderado"),AND(AC260="Alta",AE260="Mayor"),AND(AC260="Muy Alta",AE260="Leve"),AND(AC260="Muy Alta",AE260="Menor"),AND(AC260="Muy Alta",AE260="Moderado"),AND(AC260="Muy Alta",AE260="Mayor")),"Alto",IF(OR(AND(AC260="Muy Baja",AE260="Catastrófico"),AND(AC260="Baja",AE260="Catastrófico"),AND(AC260="Media",AE260="Catastrófico"),AND(AC260="Alta",AE260="Catastrófico"),AND(AC260="Muy Alta",AE260="Catastrófico")),"Extremo","")))),"")</f>
        <v/>
      </c>
      <c r="AH260" s="237"/>
      <c r="AI260" s="318"/>
      <c r="AJ260" s="318"/>
      <c r="AK260" s="318"/>
      <c r="AL260" s="318"/>
      <c r="AM260" s="318"/>
      <c r="AN260" s="234"/>
      <c r="AO260" s="238"/>
      <c r="AP260" s="235"/>
      <c r="AQ260" s="216"/>
      <c r="AR260" s="216"/>
      <c r="AS260" s="323"/>
      <c r="AT260" s="323"/>
      <c r="AU260" s="323"/>
      <c r="AV260" s="323"/>
      <c r="AW260" s="323"/>
      <c r="AX260" s="323"/>
      <c r="AY260" s="323"/>
      <c r="AZ260" s="323"/>
      <c r="BA260" s="323"/>
      <c r="BB260" s="323"/>
      <c r="BC260" s="323"/>
      <c r="BD260" s="323"/>
      <c r="BE260" s="323"/>
      <c r="BF260" s="323"/>
      <c r="BG260" s="323"/>
      <c r="BH260" s="323"/>
      <c r="BI260" s="323"/>
      <c r="BJ260" s="323"/>
      <c r="BK260" s="323"/>
      <c r="BL260" s="323"/>
      <c r="BM260" s="323"/>
      <c r="BN260" s="323"/>
      <c r="BO260" s="323"/>
      <c r="BP260" s="323"/>
      <c r="BQ260" s="323"/>
      <c r="BR260" s="323"/>
      <c r="BS260" s="323"/>
      <c r="BT260" s="323"/>
      <c r="BU260" s="323"/>
      <c r="BV260" s="323"/>
      <c r="BW260" s="323"/>
      <c r="BX260" s="323"/>
      <c r="BY260" s="323"/>
    </row>
    <row r="261" spans="1:77" s="113" customFormat="1" ht="14.25" hidden="1" customHeight="1" x14ac:dyDescent="0.2">
      <c r="A261" s="437"/>
      <c r="B261" s="490"/>
      <c r="C261" s="491"/>
      <c r="D261" s="493"/>
      <c r="E261" s="491"/>
      <c r="F261" s="493"/>
      <c r="G261" s="436"/>
      <c r="H261" s="435"/>
      <c r="I261" s="435"/>
      <c r="J261" s="439"/>
      <c r="K261" s="430"/>
      <c r="L261" s="431"/>
      <c r="M261" s="432"/>
      <c r="N261" s="431">
        <f ca="1">IF(NOT(ISERROR(MATCH(M261,_xlfn.ANCHORARRAY(#REF!),0))),#REF!&amp;"Por favor no seleccionar los criterios de impacto",M261)</f>
        <v>0</v>
      </c>
      <c r="O261" s="430"/>
      <c r="P261" s="431"/>
      <c r="Q261" s="433"/>
      <c r="R261" s="316">
        <v>3</v>
      </c>
      <c r="S261" s="330"/>
      <c r="T261" s="312"/>
      <c r="U261" s="208" t="str">
        <f t="shared" si="500"/>
        <v/>
      </c>
      <c r="V261" s="237"/>
      <c r="W261" s="237"/>
      <c r="X261" s="209" t="str">
        <f t="shared" si="501"/>
        <v/>
      </c>
      <c r="Y261" s="237"/>
      <c r="Z261" s="237"/>
      <c r="AA261" s="237"/>
      <c r="AB261" s="210" t="str">
        <f t="shared" ref="AB261" si="507">IFERROR(IF(AND(U260="Probabilidad",U261="Probabilidad"),(AD260-(+AD260*X261)),IF(AND(U260="Impacto",U261="Probabilidad"),(AD259-(+AD259*X261)),IF(U261="Impacto",AD260,""))),"")</f>
        <v/>
      </c>
      <c r="AC261" s="211" t="str">
        <f t="shared" si="503"/>
        <v/>
      </c>
      <c r="AD261" s="209" t="str">
        <f t="shared" si="504"/>
        <v/>
      </c>
      <c r="AE261" s="211" t="str">
        <f>IFERROR(IF(AF261="","",IF(AF261&lt;=0.2,"Leve",IF(AF261&lt;=0.4,"Menor",IF(AF261&lt;=0.6,"Moderado",IF(AF261&lt;=0.8,"Mayor","Catastrófico"))))),"")</f>
        <v/>
      </c>
      <c r="AF261" s="209" t="str">
        <f>IFERROR(IF(AND(U260="Impacto",U261="Impacto"),(AF260-(+AF260*X261)),IF(U261="Impacto",($P$31-(+$P$31*X261)),IF(U261="Probabilidad",AF260,""))),"")</f>
        <v/>
      </c>
      <c r="AG261" s="212" t="str">
        <f t="shared" si="506"/>
        <v/>
      </c>
      <c r="AH261" s="237"/>
      <c r="AI261" s="318"/>
      <c r="AJ261" s="318"/>
      <c r="AK261" s="318"/>
      <c r="AL261" s="318"/>
      <c r="AM261" s="318"/>
      <c r="AN261" s="234"/>
      <c r="AO261" s="238"/>
      <c r="AP261" s="235"/>
      <c r="AQ261" s="216"/>
      <c r="AR261" s="216"/>
      <c r="AS261" s="323"/>
      <c r="AT261" s="323"/>
      <c r="AU261" s="323"/>
      <c r="AV261" s="323"/>
      <c r="AW261" s="323"/>
      <c r="AX261" s="323"/>
      <c r="AY261" s="323"/>
      <c r="AZ261" s="323"/>
      <c r="BA261" s="323"/>
      <c r="BB261" s="323"/>
      <c r="BC261" s="323"/>
      <c r="BD261" s="323"/>
      <c r="BE261" s="323"/>
      <c r="BF261" s="323"/>
      <c r="BG261" s="323"/>
      <c r="BH261" s="323"/>
      <c r="BI261" s="323"/>
      <c r="BJ261" s="323"/>
      <c r="BK261" s="323"/>
      <c r="BL261" s="323"/>
      <c r="BM261" s="323"/>
      <c r="BN261" s="323"/>
      <c r="BO261" s="323"/>
      <c r="BP261" s="323"/>
      <c r="BQ261" s="323"/>
      <c r="BR261" s="323"/>
      <c r="BS261" s="323"/>
      <c r="BT261" s="323"/>
      <c r="BU261" s="323"/>
      <c r="BV261" s="323"/>
      <c r="BW261" s="323"/>
      <c r="BX261" s="323"/>
      <c r="BY261" s="323"/>
    </row>
    <row r="262" spans="1:77" s="113" customFormat="1" ht="14.25" hidden="1" customHeight="1" x14ac:dyDescent="0.2">
      <c r="A262" s="437"/>
      <c r="B262" s="490"/>
      <c r="C262" s="491"/>
      <c r="D262" s="493"/>
      <c r="E262" s="491"/>
      <c r="F262" s="493"/>
      <c r="G262" s="436"/>
      <c r="H262" s="435"/>
      <c r="I262" s="435"/>
      <c r="J262" s="439"/>
      <c r="K262" s="430"/>
      <c r="L262" s="431"/>
      <c r="M262" s="432"/>
      <c r="N262" s="431">
        <f ca="1">IF(NOT(ISERROR(MATCH(M262,_xlfn.ANCHORARRAY(#REF!),0))),#REF!&amp;"Por favor no seleccionar los criterios de impacto",M262)</f>
        <v>0</v>
      </c>
      <c r="O262" s="430"/>
      <c r="P262" s="431"/>
      <c r="Q262" s="433"/>
      <c r="R262" s="316">
        <v>4</v>
      </c>
      <c r="S262" s="330"/>
      <c r="T262" s="312"/>
      <c r="U262" s="208" t="str">
        <f t="shared" si="500"/>
        <v/>
      </c>
      <c r="V262" s="237"/>
      <c r="W262" s="237"/>
      <c r="X262" s="209" t="str">
        <f t="shared" si="501"/>
        <v/>
      </c>
      <c r="Y262" s="237"/>
      <c r="Z262" s="237"/>
      <c r="AA262" s="237"/>
      <c r="AB262" s="210" t="str">
        <f>IFERROR(IF(AND(U261="Probabilidad",U262="Probabilidad"),(AD261-(+AD261*X262)),IF(AND(U261="Impacto",U262="Probabilidad"),(AD260-(+AD260*X262)),IF(U262="Impacto",AD261,""))),"")</f>
        <v/>
      </c>
      <c r="AC262" s="211" t="str">
        <f t="shared" si="503"/>
        <v/>
      </c>
      <c r="AD262" s="209" t="str">
        <f t="shared" si="504"/>
        <v/>
      </c>
      <c r="AE262" s="211" t="str">
        <f>IFERROR(IF(AF262="","",IF(AF262&lt;=0.2,"Leve",IF(AF262&lt;=0.4,"Menor",IF(AF262&lt;=0.6,"Moderado",IF(AF262&lt;=0.8,"Mayor","Catastrófico"))))),"")</f>
        <v/>
      </c>
      <c r="AF262" s="209" t="str">
        <f>IFERROR(IF(AND(U261="Impacto",U262="Impacto"),(AF261-(+AF261*X262)),IF(U262="Impacto",($P$31-(+$P$31*X262)),IF(U262="Probabilidad",AF261,""))),"")</f>
        <v/>
      </c>
      <c r="AG262" s="212" t="str">
        <f t="shared" si="506"/>
        <v/>
      </c>
      <c r="AH262" s="237"/>
      <c r="AI262" s="318"/>
      <c r="AJ262" s="318"/>
      <c r="AK262" s="318"/>
      <c r="AL262" s="318"/>
      <c r="AM262" s="318"/>
      <c r="AN262" s="234"/>
      <c r="AO262" s="238"/>
      <c r="AP262" s="235"/>
      <c r="AQ262" s="216"/>
      <c r="AR262" s="216"/>
      <c r="AS262" s="323"/>
      <c r="AT262" s="323"/>
      <c r="AU262" s="323"/>
      <c r="AV262" s="323"/>
      <c r="AW262" s="323"/>
      <c r="AX262" s="323"/>
      <c r="AY262" s="323"/>
      <c r="AZ262" s="323"/>
      <c r="BA262" s="323"/>
      <c r="BB262" s="323"/>
      <c r="BC262" s="323"/>
      <c r="BD262" s="323"/>
      <c r="BE262" s="323"/>
      <c r="BF262" s="323"/>
      <c r="BG262" s="323"/>
      <c r="BH262" s="323"/>
      <c r="BI262" s="323"/>
      <c r="BJ262" s="323"/>
      <c r="BK262" s="323"/>
      <c r="BL262" s="323"/>
      <c r="BM262" s="323"/>
      <c r="BN262" s="323"/>
      <c r="BO262" s="323"/>
      <c r="BP262" s="323"/>
      <c r="BQ262" s="323"/>
      <c r="BR262" s="323"/>
      <c r="BS262" s="323"/>
      <c r="BT262" s="323"/>
      <c r="BU262" s="323"/>
      <c r="BV262" s="323"/>
      <c r="BW262" s="323"/>
      <c r="BX262" s="323"/>
      <c r="BY262" s="323"/>
    </row>
    <row r="263" spans="1:77" s="113" customFormat="1" ht="14.25" hidden="1" customHeight="1" x14ac:dyDescent="0.2">
      <c r="A263" s="437"/>
      <c r="B263" s="490"/>
      <c r="C263" s="491"/>
      <c r="D263" s="493"/>
      <c r="E263" s="491"/>
      <c r="F263" s="493"/>
      <c r="G263" s="436"/>
      <c r="H263" s="435"/>
      <c r="I263" s="435"/>
      <c r="J263" s="439"/>
      <c r="K263" s="430"/>
      <c r="L263" s="431"/>
      <c r="M263" s="432"/>
      <c r="N263" s="431">
        <f ca="1">IF(NOT(ISERROR(MATCH(M263,_xlfn.ANCHORARRAY(#REF!),0))),#REF!&amp;"Por favor no seleccionar los criterios de impacto",M263)</f>
        <v>0</v>
      </c>
      <c r="O263" s="430"/>
      <c r="P263" s="431"/>
      <c r="Q263" s="433"/>
      <c r="R263" s="316">
        <v>5</v>
      </c>
      <c r="S263" s="330"/>
      <c r="T263" s="312"/>
      <c r="U263" s="208" t="str">
        <f t="shared" si="500"/>
        <v/>
      </c>
      <c r="V263" s="237"/>
      <c r="W263" s="237"/>
      <c r="X263" s="209" t="str">
        <f t="shared" si="501"/>
        <v/>
      </c>
      <c r="Y263" s="237"/>
      <c r="Z263" s="237"/>
      <c r="AA263" s="237"/>
      <c r="AB263" s="210" t="str">
        <f>IFERROR(IF(AND(U262="Probabilidad",U263="Probabilidad"),(AD262-(+AD262*X263)),IF(AND(U262="Impacto",U263="Probabilidad"),(AD261-(+AD261*X263)),IF(U263="Impacto",AD262,""))),"")</f>
        <v/>
      </c>
      <c r="AC263" s="211" t="str">
        <f t="shared" si="503"/>
        <v/>
      </c>
      <c r="AD263" s="209" t="str">
        <f t="shared" si="504"/>
        <v/>
      </c>
      <c r="AE263" s="211" t="str">
        <f>IFERROR(IF(AF263="","",IF(AF263&lt;=0.2,"Leve",IF(AF263&lt;=0.4,"Menor",IF(AF263&lt;=0.6,"Moderado",IF(AF263&lt;=0.8,"Mayor","Catastrófico"))))),"")</f>
        <v/>
      </c>
      <c r="AF263" s="209" t="str">
        <f>IFERROR(IF(AND(U262="Impacto",U263="Impacto"),(AF262-(+AF262*X263)),IF(U263="Impacto",($P$31-(+$P$31*X263)),IF(U263="Probabilidad",AF262,""))),"")</f>
        <v/>
      </c>
      <c r="AG263" s="212" t="str">
        <f t="shared" si="506"/>
        <v/>
      </c>
      <c r="AH263" s="237"/>
      <c r="AI263" s="318"/>
      <c r="AJ263" s="318"/>
      <c r="AK263" s="318"/>
      <c r="AL263" s="318"/>
      <c r="AM263" s="318"/>
      <c r="AN263" s="234"/>
      <c r="AO263" s="238"/>
      <c r="AP263" s="235"/>
      <c r="AQ263" s="216"/>
      <c r="AR263" s="216"/>
      <c r="AS263" s="323"/>
      <c r="AT263" s="323"/>
      <c r="AU263" s="323"/>
      <c r="AV263" s="323"/>
      <c r="AW263" s="323"/>
      <c r="AX263" s="323"/>
      <c r="AY263" s="323"/>
      <c r="AZ263" s="323"/>
      <c r="BA263" s="323"/>
      <c r="BB263" s="323"/>
      <c r="BC263" s="323"/>
      <c r="BD263" s="323"/>
      <c r="BE263" s="323"/>
      <c r="BF263" s="323"/>
      <c r="BG263" s="323"/>
      <c r="BH263" s="323"/>
      <c r="BI263" s="323"/>
      <c r="BJ263" s="323"/>
      <c r="BK263" s="323"/>
      <c r="BL263" s="323"/>
      <c r="BM263" s="323"/>
      <c r="BN263" s="323"/>
      <c r="BO263" s="323"/>
      <c r="BP263" s="323"/>
      <c r="BQ263" s="323"/>
      <c r="BR263" s="323"/>
      <c r="BS263" s="323"/>
      <c r="BT263" s="323"/>
      <c r="BU263" s="323"/>
      <c r="BV263" s="323"/>
      <c r="BW263" s="323"/>
      <c r="BX263" s="323"/>
      <c r="BY263" s="323"/>
    </row>
    <row r="264" spans="1:77" s="113" customFormat="1" ht="14.25" hidden="1" customHeight="1" x14ac:dyDescent="0.2">
      <c r="A264" s="437"/>
      <c r="B264" s="490"/>
      <c r="C264" s="491"/>
      <c r="D264" s="493"/>
      <c r="E264" s="491"/>
      <c r="F264" s="493"/>
      <c r="G264" s="436"/>
      <c r="H264" s="435"/>
      <c r="I264" s="435"/>
      <c r="J264" s="439"/>
      <c r="K264" s="430"/>
      <c r="L264" s="431"/>
      <c r="M264" s="432"/>
      <c r="N264" s="431">
        <f ca="1">IF(NOT(ISERROR(MATCH(M264,_xlfn.ANCHORARRAY(H338),0))),L340&amp;"Por favor no seleccionar los criterios de impacto",M264)</f>
        <v>0</v>
      </c>
      <c r="O264" s="430"/>
      <c r="P264" s="431"/>
      <c r="Q264" s="433"/>
      <c r="R264" s="316">
        <v>6</v>
      </c>
      <c r="S264" s="330"/>
      <c r="T264" s="312"/>
      <c r="U264" s="208" t="str">
        <f t="shared" si="500"/>
        <v/>
      </c>
      <c r="V264" s="237"/>
      <c r="W264" s="237"/>
      <c r="X264" s="209" t="str">
        <f t="shared" si="501"/>
        <v/>
      </c>
      <c r="Y264" s="237"/>
      <c r="Z264" s="237"/>
      <c r="AA264" s="237"/>
      <c r="AB264" s="210" t="str">
        <f>IFERROR(IF(AND(U263="Probabilidad",U264="Probabilidad"),(AD263-(+AD263*X264)),IF(AND(U263="Impacto",U264="Probabilidad"),(AD262-(+AD262*X264)),IF(U264="Impacto",AD263,""))),"")</f>
        <v/>
      </c>
      <c r="AC264" s="211" t="str">
        <f t="shared" si="503"/>
        <v/>
      </c>
      <c r="AD264" s="209" t="str">
        <f t="shared" si="504"/>
        <v/>
      </c>
      <c r="AE264" s="211" t="str">
        <f>IFERROR(IF(AF264="","",IF(AF264&lt;=0.2,"Leve",IF(AF264&lt;=0.4,"Menor",IF(AF264&lt;=0.6,"Moderado",IF(AF264&lt;=0.8,"Mayor","Catastrófico"))))),"")</f>
        <v/>
      </c>
      <c r="AF264" s="209" t="str">
        <f>IFERROR(IF(AND(U263="Impacto",U264="Impacto"),(AF263-(+AF263*X264)),IF(U264="Impacto",($P$31-(+$P$31*X264)),IF(U264="Probabilidad",AF263,""))),"")</f>
        <v/>
      </c>
      <c r="AG264" s="212" t="str">
        <f t="shared" si="506"/>
        <v/>
      </c>
      <c r="AH264" s="237"/>
      <c r="AI264" s="318"/>
      <c r="AJ264" s="318"/>
      <c r="AK264" s="318"/>
      <c r="AL264" s="318"/>
      <c r="AM264" s="318"/>
      <c r="AN264" s="234"/>
      <c r="AO264" s="238"/>
      <c r="AP264" s="235"/>
      <c r="AQ264" s="216"/>
      <c r="AR264" s="216"/>
      <c r="AS264" s="323"/>
      <c r="AT264" s="323"/>
      <c r="AU264" s="323"/>
      <c r="AV264" s="323"/>
      <c r="AW264" s="323"/>
      <c r="AX264" s="323"/>
      <c r="AY264" s="323"/>
      <c r="AZ264" s="323"/>
      <c r="BA264" s="323"/>
      <c r="BB264" s="323"/>
      <c r="BC264" s="323"/>
      <c r="BD264" s="323"/>
      <c r="BE264" s="323"/>
      <c r="BF264" s="323"/>
      <c r="BG264" s="323"/>
      <c r="BH264" s="323"/>
      <c r="BI264" s="323"/>
      <c r="BJ264" s="323"/>
      <c r="BK264" s="323"/>
      <c r="BL264" s="323"/>
      <c r="BM264" s="323"/>
      <c r="BN264" s="323"/>
      <c r="BO264" s="323"/>
      <c r="BP264" s="323"/>
      <c r="BQ264" s="323"/>
      <c r="BR264" s="323"/>
      <c r="BS264" s="323"/>
      <c r="BT264" s="323"/>
      <c r="BU264" s="323"/>
      <c r="BV264" s="323"/>
      <c r="BW264" s="323"/>
      <c r="BX264" s="323"/>
      <c r="BY264" s="323"/>
    </row>
    <row r="265" spans="1:77" s="271" customFormat="1" ht="100.5" x14ac:dyDescent="0.2">
      <c r="A265" s="489" t="s">
        <v>710</v>
      </c>
      <c r="B265" s="490" t="s">
        <v>612</v>
      </c>
      <c r="C265" s="491" t="s">
        <v>625</v>
      </c>
      <c r="D265" s="491" t="s">
        <v>109</v>
      </c>
      <c r="E265" s="434" t="s">
        <v>1089</v>
      </c>
      <c r="F265" s="435" t="s">
        <v>685</v>
      </c>
      <c r="G265" s="492" t="s">
        <v>1053</v>
      </c>
      <c r="H265" s="435" t="s">
        <v>661</v>
      </c>
      <c r="I265" s="435" t="s">
        <v>1054</v>
      </c>
      <c r="J265" s="439">
        <v>365</v>
      </c>
      <c r="K265" s="430" t="str">
        <f t="shared" ref="K265" si="508">IF(J265&lt;=0,"",IF(J265&lt;=2,"Muy Baja",IF(J265&lt;=24,"Baja",IF(J265&lt;=500,"Media",IF(J265&lt;=5000,"Alta","Muy Alta")))))</f>
        <v>Media</v>
      </c>
      <c r="L265" s="431">
        <f>IF(K265="","",IF(K265="Muy Baja",0.2,IF(K265="Baja",0.4,IF(K265="Media",0.6,IF(K265="Alta",0.8,IF(K265="Muy Alta",1,))))))</f>
        <v>0.6</v>
      </c>
      <c r="M265" s="432" t="s">
        <v>112</v>
      </c>
      <c r="N265" s="431" t="str">
        <f ca="1">IF(NOT(ISERROR(MATCH(M265,'Tabla Impacto'!$B$221:$B$223,0))),'Tabla Impacto'!$F$223&amp;"Por favor no seleccionar los criterios de impacto(Afectación Económica o presupuestal y Pérdida Reputacional)",M265)</f>
        <v xml:space="preserve">     Afectación menor a 10 SMLMV .</v>
      </c>
      <c r="O265" s="430" t="str">
        <f ca="1">IF(OR(N265='Tabla Impacto'!$C$11,N265='Tabla Impacto'!$D$11),"Leve",IF(OR(N265='Tabla Impacto'!$C$12,N265='Tabla Impacto'!$D$12),"Menor",IF(OR(N265='Tabla Impacto'!$C$13,N265='Tabla Impacto'!$D$13),"Moderado",IF(OR(N265='Tabla Impacto'!$C$14,N265='Tabla Impacto'!$D$14),"Mayor",IF(OR(N265='Tabla Impacto'!$C$15,N265='Tabla Impacto'!$D$15),"Catastrófico","")))))</f>
        <v>Leve</v>
      </c>
      <c r="P265" s="431">
        <f ca="1">IF(O265="","",IF(O265="Leve",0.2,IF(O265="Menor",0.4,IF(O265="Moderado",0.6,IF(O265="Mayor",0.8,IF(O265="Catastrófico",1,))))))</f>
        <v>0.2</v>
      </c>
      <c r="Q265" s="433" t="str">
        <f ca="1">IF(OR(AND(K265="Muy Baja",O265="Leve"),AND(K265="Muy Baja",O265="Menor"),AND(K265="Baja",O265="Leve")),"Bajo",IF(OR(AND(K265="Muy baja",O265="Moderado"),AND(K265="Baja",O265="Menor"),AND(K265="Baja",O265="Moderado"),AND(K265="Media",O265="Leve"),AND(K265="Media",O265="Menor"),AND(K265="Media",O265="Moderado"),AND(K265="Alta",O265="Leve"),AND(K265="Alta",O265="Menor")),"Moderado",IF(OR(AND(K265="Muy Baja",O265="Mayor"),AND(K265="Baja",O265="Mayor"),AND(K265="Media",O265="Mayor"),AND(K265="Alta",O265="Moderado"),AND(K265="Alta",O265="Mayor"),AND(K265="Muy Alta",O265="Leve"),AND(K265="Muy Alta",O265="Menor"),AND(K265="Muy Alta",O265="Moderado"),AND(K265="Muy Alta",O265="Mayor")),"Alto",IF(OR(AND(K265="Muy Baja",O265="Catastrófico"),AND(K265="Baja",O265="Catastrófico"),AND(K265="Media",O265="Catastrófico"),AND(K265="Alta",O265="Catastrófico"),AND(K265="Muy Alta",O265="Catastrófico")),"Extremo",""))))</f>
        <v>Moderado</v>
      </c>
      <c r="R265" s="261">
        <v>1</v>
      </c>
      <c r="S265" s="334" t="s">
        <v>1056</v>
      </c>
      <c r="T265" s="272" t="s">
        <v>293</v>
      </c>
      <c r="U265" s="262" t="str">
        <f t="shared" si="500"/>
        <v>Probabilidad</v>
      </c>
      <c r="V265" s="263" t="s">
        <v>13</v>
      </c>
      <c r="W265" s="263" t="s">
        <v>8</v>
      </c>
      <c r="X265" s="264" t="str">
        <f t="shared" si="501"/>
        <v>40%</v>
      </c>
      <c r="Y265" s="263" t="s">
        <v>18</v>
      </c>
      <c r="Z265" s="263" t="s">
        <v>21</v>
      </c>
      <c r="AA265" s="263" t="s">
        <v>103</v>
      </c>
      <c r="AB265" s="265">
        <f>IFERROR(IF(U265="Probabilidad",(L265-(+L265*X265)),IF(U265="Impacto",L265,"")),"")</f>
        <v>0.36</v>
      </c>
      <c r="AC265" s="266" t="str">
        <f t="shared" si="503"/>
        <v>Baja</v>
      </c>
      <c r="AD265" s="264">
        <f>+AB265</f>
        <v>0.36</v>
      </c>
      <c r="AE265" s="266" t="str">
        <f ca="1">IFERROR(IF(AF265="","",IF(AF265&lt;=0.2,"Leve",IF(AF265&lt;=0.4,"Menor",IF(AF265&lt;=0.6,"Moderado",IF(AF265&lt;=0.8,"Mayor","Catastrófico"))))),"")</f>
        <v>Leve</v>
      </c>
      <c r="AF265" s="324">
        <f ca="1">IFERROR(IF(U265="Impacto",(P265-(+P265*X265)),IF(U265="Probabilidad",P265,"")),"")</f>
        <v>0.2</v>
      </c>
      <c r="AG265" s="267" t="str">
        <f ca="1">IFERROR(IF(OR(AND(AC265="Muy Baja",AE265="Leve"),AND(AC265="Muy Baja",AE265="Menor"),AND(AC265="Baja",AE265="Leve")),"Bajo",IF(OR(AND(AC265="Muy baja",AE265="Moderado"),AND(AC265="Baja",AE265="Menor"),AND(AC265="Baja",AE265="Moderado"),AND(AC265="Media",AE265="Leve"),AND(AC265="Media",AE265="Menor"),AND(AC265="Media",AE265="Moderado"),AND(AC265="Alta",AE265="Leve"),AND(AC265="Alta",AE265="Menor")),"Moderado",IF(OR(AND(AC265="Muy Baja",AE265="Mayor"),AND(AC265="Baja",AE265="Mayor"),AND(AC265="Media",AE265="Mayor"),AND(AC265="Alta",AE265="Moderado"),AND(AC265="Alta",AE265="Mayor"),AND(AC265="Muy Alta",AE265="Leve"),AND(AC265="Muy Alta",AE265="Menor"),AND(AC265="Muy Alta",AE265="Moderado"),AND(AC265="Muy Alta",AE265="Mayor")),"Alto",IF(OR(AND(AC265="Muy Baja",AE265="Catastrófico"),AND(AC265="Baja",AE265="Catastrófico"),AND(AC265="Media",AE265="Catastrófico"),AND(AC265="Alta",AE265="Catastrófico"),AND(AC265="Muy Alta",AE265="Catastrófico")),"Extremo","")))),"")</f>
        <v>Bajo</v>
      </c>
      <c r="AH265" s="263" t="s">
        <v>27</v>
      </c>
      <c r="AI265" s="326">
        <v>12</v>
      </c>
      <c r="AJ265" s="326">
        <v>3</v>
      </c>
      <c r="AK265" s="326">
        <v>3</v>
      </c>
      <c r="AL265" s="326">
        <v>3</v>
      </c>
      <c r="AM265" s="326">
        <v>3</v>
      </c>
      <c r="AN265" s="272"/>
      <c r="AO265" s="272"/>
      <c r="AP265" s="273"/>
      <c r="AQ265" s="274"/>
      <c r="AR265" s="274"/>
      <c r="AS265" s="323"/>
      <c r="AT265" s="323"/>
      <c r="AU265" s="323"/>
      <c r="AV265" s="323"/>
      <c r="AW265" s="323"/>
      <c r="AX265" s="323"/>
      <c r="AY265" s="323"/>
      <c r="AZ265" s="323"/>
      <c r="BA265" s="323"/>
      <c r="BB265" s="323"/>
      <c r="BC265" s="323"/>
      <c r="BD265" s="323"/>
      <c r="BE265" s="323"/>
      <c r="BF265" s="323"/>
      <c r="BG265" s="323"/>
      <c r="BH265" s="323"/>
      <c r="BI265" s="323"/>
      <c r="BJ265" s="323"/>
      <c r="BK265" s="323"/>
      <c r="BL265" s="323"/>
      <c r="BM265" s="323"/>
      <c r="BN265" s="323"/>
      <c r="BO265" s="323"/>
      <c r="BP265" s="323"/>
      <c r="BQ265" s="323"/>
      <c r="BR265" s="323"/>
      <c r="BS265" s="323"/>
      <c r="BT265" s="323"/>
      <c r="BU265" s="323"/>
      <c r="BV265" s="323"/>
      <c r="BW265" s="323"/>
      <c r="BX265" s="323"/>
      <c r="BY265" s="323"/>
    </row>
    <row r="266" spans="1:77" s="113" customFormat="1" ht="236.45" customHeight="1" x14ac:dyDescent="0.2">
      <c r="A266" s="489"/>
      <c r="B266" s="490"/>
      <c r="C266" s="491"/>
      <c r="D266" s="491"/>
      <c r="E266" s="434"/>
      <c r="F266" s="435"/>
      <c r="G266" s="492"/>
      <c r="H266" s="435"/>
      <c r="I266" s="435"/>
      <c r="J266" s="439"/>
      <c r="K266" s="430"/>
      <c r="L266" s="431"/>
      <c r="M266" s="432"/>
      <c r="N266" s="431">
        <f ca="1">IF(NOT(ISERROR(MATCH(M266,_xlfn.ANCHORARRAY(G289),0))),L291&amp;"Por favor no seleccionar los criterios de impacto",M266)</f>
        <v>0</v>
      </c>
      <c r="O266" s="430"/>
      <c r="P266" s="431"/>
      <c r="Q266" s="433"/>
      <c r="R266" s="316">
        <v>2</v>
      </c>
      <c r="S266" s="330" t="s">
        <v>1055</v>
      </c>
      <c r="T266" s="312" t="s">
        <v>292</v>
      </c>
      <c r="U266" s="208" t="str">
        <f t="shared" si="500"/>
        <v>Probabilidad</v>
      </c>
      <c r="V266" s="237" t="s">
        <v>13</v>
      </c>
      <c r="W266" s="237" t="s">
        <v>8</v>
      </c>
      <c r="X266" s="209" t="str">
        <f t="shared" ref="X266:X270" si="509">IF(AND(V266="Preventivo",W266="Automático"),"50%",IF(AND(V266="Preventivo",W266="Manual"),"40%",IF(AND(V266="Detectivo",W266="Automático"),"40%",IF(AND(V266="Detectivo",W266="Manual"),"30%",IF(AND(V266="Correctivo",W266="Automático"),"35%",IF(AND(V266="Correctivo",W266="Manual"),"25%",""))))))</f>
        <v>40%</v>
      </c>
      <c r="Y266" s="237" t="s">
        <v>18</v>
      </c>
      <c r="Z266" s="237" t="s">
        <v>21</v>
      </c>
      <c r="AA266" s="237" t="s">
        <v>103</v>
      </c>
      <c r="AB266" s="210">
        <f t="shared" ref="AB266" si="510">IFERROR(IF(AND(U265="Probabilidad",U266="Probabilidad"),(AD265-(+AD265*X266)),IF(U266="Probabilidad",(L265-(+L265*X266)),IF(U266="Impacto",AD265,""))),"")</f>
        <v>0.216</v>
      </c>
      <c r="AC266" s="211" t="str">
        <f t="shared" ref="AC266:AC270" si="511">IFERROR(IF(AB266="","",IF(AB266&lt;=0.2,"Muy Baja",IF(AB266&lt;=0.4,"Baja",IF(AB266&lt;=0.6,"Media",IF(AB266&lt;=0.8,"Alta","Muy Alta"))))),"")</f>
        <v>Baja</v>
      </c>
      <c r="AD266" s="209">
        <f t="shared" ref="AD266:AD270" si="512">+AB266</f>
        <v>0.216</v>
      </c>
      <c r="AE266" s="211" t="str">
        <f t="shared" ref="AE266:AE270" ca="1" si="513">IFERROR(IF(AF266="","",IF(AF266&lt;=0.2,"Leve",IF(AF266&lt;=0.4,"Menor",IF(AF266&lt;=0.6,"Moderado",IF(AF266&lt;=0.8,"Mayor","Catastrófico"))))),"")</f>
        <v>Leve</v>
      </c>
      <c r="AF266" s="209">
        <f ca="1">IFERROR(IF(AND(U265="Impacto",U266="Impacto"),(AF265-(+AF265*X266)),IF(U266="Impacto",($P$31-(+$P$31*X266)),IF(U266="Probabilidad",AF265,""))),"")</f>
        <v>0.2</v>
      </c>
      <c r="AG266" s="212" t="str">
        <f t="shared" ref="AG266:AG267" ca="1" si="514">IFERROR(IF(OR(AND(AC266="Muy Baja",AE266="Leve"),AND(AC266="Muy Baja",AE266="Menor"),AND(AC266="Baja",AE266="Leve")),"Bajo",IF(OR(AND(AC266="Muy baja",AE266="Moderado"),AND(AC266="Baja",AE266="Menor"),AND(AC266="Baja",AE266="Moderado"),AND(AC266="Media",AE266="Leve"),AND(AC266="Media",AE266="Menor"),AND(AC266="Media",AE266="Moderado"),AND(AC266="Alta",AE266="Leve"),AND(AC266="Alta",AE266="Menor")),"Moderado",IF(OR(AND(AC266="Muy Baja",AE266="Mayor"),AND(AC266="Baja",AE266="Mayor"),AND(AC266="Media",AE266="Mayor"),AND(AC266="Alta",AE266="Moderado"),AND(AC266="Alta",AE266="Mayor"),AND(AC266="Muy Alta",AE266="Leve"),AND(AC266="Muy Alta",AE266="Menor"),AND(AC266="Muy Alta",AE266="Moderado"),AND(AC266="Muy Alta",AE266="Mayor")),"Alto",IF(OR(AND(AC266="Muy Baja",AE266="Catastrófico"),AND(AC266="Baja",AE266="Catastrófico"),AND(AC266="Media",AE266="Catastrófico"),AND(AC266="Alta",AE266="Catastrófico"),AND(AC266="Muy Alta",AE266="Catastrófico")),"Extremo","")))),"")</f>
        <v>Bajo</v>
      </c>
      <c r="AH266" s="237" t="s">
        <v>27</v>
      </c>
      <c r="AI266" s="326">
        <v>4</v>
      </c>
      <c r="AJ266" s="326">
        <v>1</v>
      </c>
      <c r="AK266" s="326">
        <v>1</v>
      </c>
      <c r="AL266" s="326">
        <v>1</v>
      </c>
      <c r="AM266" s="326">
        <v>1</v>
      </c>
      <c r="AN266" s="295"/>
      <c r="AO266" s="295"/>
      <c r="AP266" s="293"/>
      <c r="AQ266" s="216"/>
      <c r="AR266" s="216"/>
      <c r="AS266" s="323"/>
      <c r="AT266" s="323"/>
      <c r="AU266" s="323"/>
      <c r="AV266" s="323"/>
      <c r="AW266" s="323"/>
      <c r="AX266" s="323"/>
      <c r="AY266" s="323"/>
      <c r="AZ266" s="323"/>
      <c r="BA266" s="323"/>
      <c r="BB266" s="323"/>
      <c r="BC266" s="323"/>
      <c r="BD266" s="323"/>
      <c r="BE266" s="323"/>
      <c r="BF266" s="323"/>
      <c r="BG266" s="323"/>
      <c r="BH266" s="323"/>
      <c r="BI266" s="323"/>
      <c r="BJ266" s="323"/>
      <c r="BK266" s="323"/>
      <c r="BL266" s="323"/>
      <c r="BM266" s="323"/>
      <c r="BN266" s="323"/>
      <c r="BO266" s="323"/>
      <c r="BP266" s="323"/>
      <c r="BQ266" s="323"/>
      <c r="BR266" s="323"/>
      <c r="BS266" s="323"/>
      <c r="BT266" s="323"/>
      <c r="BU266" s="323"/>
      <c r="BV266" s="323"/>
      <c r="BW266" s="323"/>
      <c r="BX266" s="323"/>
      <c r="BY266" s="323"/>
    </row>
    <row r="267" spans="1:77" s="113" customFormat="1" ht="104.45" customHeight="1" x14ac:dyDescent="0.2">
      <c r="A267" s="489"/>
      <c r="B267" s="490"/>
      <c r="C267" s="491"/>
      <c r="D267" s="491"/>
      <c r="E267" s="434"/>
      <c r="F267" s="435"/>
      <c r="G267" s="492"/>
      <c r="H267" s="435"/>
      <c r="I267" s="435"/>
      <c r="J267" s="439"/>
      <c r="K267" s="430"/>
      <c r="L267" s="431"/>
      <c r="M267" s="432"/>
      <c r="N267" s="431">
        <f ca="1">IF(NOT(ISERROR(MATCH(M267,_xlfn.ANCHORARRAY(G290),0))),L292&amp;"Por favor no seleccionar los criterios de impacto",M267)</f>
        <v>0</v>
      </c>
      <c r="O267" s="430"/>
      <c r="P267" s="431"/>
      <c r="Q267" s="433"/>
      <c r="R267" s="316">
        <v>3</v>
      </c>
      <c r="S267" s="330" t="s">
        <v>1057</v>
      </c>
      <c r="T267" s="312" t="s">
        <v>292</v>
      </c>
      <c r="U267" s="208" t="str">
        <f t="shared" si="500"/>
        <v>Probabilidad</v>
      </c>
      <c r="V267" s="237" t="s">
        <v>13</v>
      </c>
      <c r="W267" s="237" t="s">
        <v>8</v>
      </c>
      <c r="X267" s="209" t="str">
        <f t="shared" si="509"/>
        <v>40%</v>
      </c>
      <c r="Y267" s="237" t="s">
        <v>18</v>
      </c>
      <c r="Z267" s="237" t="s">
        <v>21</v>
      </c>
      <c r="AA267" s="237" t="s">
        <v>103</v>
      </c>
      <c r="AB267" s="210">
        <f t="shared" ref="AB267:AB270" si="515">IFERROR(IF(AND(U266="Probabilidad",U267="Probabilidad"),(AD266-(+AD266*X267)),IF(AND(U266="Impacto",U267="Probabilidad"),(AD265-(+AD265*X267)),IF(U267="Impacto",AD266,""))),"")</f>
        <v>0.12959999999999999</v>
      </c>
      <c r="AC267" s="211" t="str">
        <f t="shared" si="511"/>
        <v>Muy Baja</v>
      </c>
      <c r="AD267" s="209">
        <f t="shared" si="512"/>
        <v>0.12959999999999999</v>
      </c>
      <c r="AE267" s="211" t="str">
        <f t="shared" ca="1" si="513"/>
        <v>Leve</v>
      </c>
      <c r="AF267" s="209">
        <f t="shared" ref="AF267:AF270" ca="1" si="516">IFERROR(IF(AND(U266="Impacto",U267="Impacto"),(AF266-(+AF266*X267)),IF(U267="Impacto",($P$31-(+$P$31*X267)),IF(U267="Probabilidad",AF266,""))),"")</f>
        <v>0.2</v>
      </c>
      <c r="AG267" s="212" t="str">
        <f t="shared" ca="1" si="514"/>
        <v>Bajo</v>
      </c>
      <c r="AH267" s="237" t="s">
        <v>27</v>
      </c>
      <c r="AI267" s="326">
        <v>12</v>
      </c>
      <c r="AJ267" s="326">
        <v>3</v>
      </c>
      <c r="AK267" s="326">
        <v>3</v>
      </c>
      <c r="AL267" s="326">
        <v>3</v>
      </c>
      <c r="AM267" s="326">
        <v>3</v>
      </c>
      <c r="AN267" s="295"/>
      <c r="AO267" s="295"/>
      <c r="AP267" s="293"/>
      <c r="AQ267" s="216"/>
      <c r="AR267" s="216"/>
      <c r="AS267" s="323"/>
      <c r="AT267" s="323"/>
      <c r="AU267" s="323"/>
      <c r="AV267" s="323"/>
      <c r="AW267" s="323"/>
      <c r="AX267" s="323"/>
      <c r="AY267" s="323"/>
      <c r="AZ267" s="323"/>
      <c r="BA267" s="323"/>
      <c r="BB267" s="323"/>
      <c r="BC267" s="323"/>
      <c r="BD267" s="323"/>
      <c r="BE267" s="323"/>
      <c r="BF267" s="323"/>
      <c r="BG267" s="323"/>
      <c r="BH267" s="323"/>
      <c r="BI267" s="323"/>
      <c r="BJ267" s="323"/>
      <c r="BK267" s="323"/>
      <c r="BL267" s="323"/>
      <c r="BM267" s="323"/>
      <c r="BN267" s="323"/>
      <c r="BO267" s="323"/>
      <c r="BP267" s="323"/>
      <c r="BQ267" s="323"/>
      <c r="BR267" s="323"/>
      <c r="BS267" s="323"/>
      <c r="BT267" s="323"/>
      <c r="BU267" s="323"/>
      <c r="BV267" s="323"/>
      <c r="BW267" s="323"/>
      <c r="BX267" s="323"/>
      <c r="BY267" s="323"/>
    </row>
    <row r="268" spans="1:77" s="113" customFormat="1" ht="41.25" hidden="1" customHeight="1" x14ac:dyDescent="0.2">
      <c r="A268" s="489"/>
      <c r="B268" s="490"/>
      <c r="C268" s="491"/>
      <c r="D268" s="491"/>
      <c r="E268" s="434"/>
      <c r="F268" s="435"/>
      <c r="G268" s="492"/>
      <c r="H268" s="435"/>
      <c r="I268" s="435"/>
      <c r="J268" s="439"/>
      <c r="K268" s="430"/>
      <c r="L268" s="431"/>
      <c r="M268" s="432"/>
      <c r="N268" s="431">
        <f ca="1">IF(NOT(ISERROR(MATCH(M268,_xlfn.ANCHORARRAY(G291),0))),L293&amp;"Por favor no seleccionar los criterios de impacto",M268)</f>
        <v>0</v>
      </c>
      <c r="O268" s="430"/>
      <c r="P268" s="431"/>
      <c r="Q268" s="433"/>
      <c r="R268" s="316">
        <v>4</v>
      </c>
      <c r="S268" s="330"/>
      <c r="T268" s="312"/>
      <c r="U268" s="208" t="str">
        <f t="shared" ref="U268:U270" si="517">IF(OR(V268="Preventivo",V268="Detectivo"),"Probabilidad",IF(V268="Correctivo","Impacto",""))</f>
        <v/>
      </c>
      <c r="V268" s="237"/>
      <c r="W268" s="237"/>
      <c r="X268" s="209" t="str">
        <f t="shared" si="509"/>
        <v/>
      </c>
      <c r="Y268" s="237"/>
      <c r="Z268" s="237"/>
      <c r="AA268" s="237"/>
      <c r="AB268" s="210" t="str">
        <f t="shared" si="515"/>
        <v/>
      </c>
      <c r="AC268" s="211" t="str">
        <f t="shared" si="511"/>
        <v/>
      </c>
      <c r="AD268" s="209" t="str">
        <f t="shared" si="512"/>
        <v/>
      </c>
      <c r="AE268" s="211" t="str">
        <f t="shared" si="513"/>
        <v/>
      </c>
      <c r="AF268" s="209" t="str">
        <f t="shared" si="516"/>
        <v/>
      </c>
      <c r="AG268" s="212" t="str">
        <f>IFERROR(IF(OR(AND(AC268="Muy Baja",AE268="Leve"),AND(AC268="Muy Baja",AE268="Menor"),AND(AC268="Baja",AE268="Leve")),"Bajo",IF(OR(AND(AC268="Muy baja",AE268="Moderado"),AND(AC268="Baja",AE268="Menor"),AND(AC268="Baja",AE268="Moderado"),AND(AC268="Media",AE268="Leve"),AND(AC268="Media",AE268="Menor"),AND(AC268="Media",AE268="Moderado"),AND(AC268="Alta",AE268="Leve"),AND(AC268="Alta",AE268="Menor")),"Moderado",IF(OR(AND(AC268="Muy Baja",AE268="Mayor"),AND(AC268="Baja",AE268="Mayor"),AND(AC268="Media",AE268="Mayor"),AND(AC268="Alta",AE268="Moderado"),AND(AC268="Alta",AE268="Mayor"),AND(AC268="Muy Alta",AE268="Leve"),AND(AC268="Muy Alta",AE268="Menor"),AND(AC268="Muy Alta",AE268="Moderado"),AND(AC268="Muy Alta",AE268="Mayor")),"Alto",IF(OR(AND(AC268="Muy Baja",AE268="Catastrófico"),AND(AC268="Baja",AE268="Catastrófico"),AND(AC268="Media",AE268="Catastrófico"),AND(AC268="Alta",AE268="Catastrófico"),AND(AC268="Muy Alta",AE268="Catastrófico")),"Extremo","")))),"")</f>
        <v/>
      </c>
      <c r="AH268" s="237"/>
      <c r="AI268" s="326"/>
      <c r="AJ268" s="326"/>
      <c r="AK268" s="326"/>
      <c r="AL268" s="326"/>
      <c r="AM268" s="326"/>
      <c r="AN268" s="295"/>
      <c r="AO268" s="295"/>
      <c r="AP268" s="293"/>
      <c r="AQ268" s="216"/>
      <c r="AR268" s="216"/>
      <c r="AS268" s="323"/>
      <c r="AT268" s="323"/>
      <c r="AU268" s="323"/>
      <c r="AV268" s="323"/>
      <c r="AW268" s="323"/>
      <c r="AX268" s="323"/>
      <c r="AY268" s="323"/>
      <c r="AZ268" s="323"/>
      <c r="BA268" s="323"/>
      <c r="BB268" s="323"/>
      <c r="BC268" s="323"/>
      <c r="BD268" s="323"/>
      <c r="BE268" s="323"/>
      <c r="BF268" s="323"/>
      <c r="BG268" s="323"/>
      <c r="BH268" s="323"/>
      <c r="BI268" s="323"/>
      <c r="BJ268" s="323"/>
      <c r="BK268" s="323"/>
      <c r="BL268" s="323"/>
      <c r="BM268" s="323"/>
      <c r="BN268" s="323"/>
      <c r="BO268" s="323"/>
      <c r="BP268" s="323"/>
      <c r="BQ268" s="323"/>
      <c r="BR268" s="323"/>
      <c r="BS268" s="323"/>
      <c r="BT268" s="323"/>
      <c r="BU268" s="323"/>
      <c r="BV268" s="323"/>
      <c r="BW268" s="323"/>
      <c r="BX268" s="323"/>
      <c r="BY268" s="323"/>
    </row>
    <row r="269" spans="1:77" s="113" customFormat="1" ht="41.25" hidden="1" customHeight="1" x14ac:dyDescent="0.2">
      <c r="A269" s="489"/>
      <c r="B269" s="490"/>
      <c r="C269" s="491"/>
      <c r="D269" s="491"/>
      <c r="E269" s="434"/>
      <c r="F269" s="435"/>
      <c r="G269" s="492"/>
      <c r="H269" s="435"/>
      <c r="I269" s="435"/>
      <c r="J269" s="439"/>
      <c r="K269" s="430"/>
      <c r="L269" s="431"/>
      <c r="M269" s="432"/>
      <c r="N269" s="431">
        <f ca="1">IF(NOT(ISERROR(MATCH(M269,_xlfn.ANCHORARRAY(G292),0))),L294&amp;"Por favor no seleccionar los criterios de impacto",M269)</f>
        <v>0</v>
      </c>
      <c r="O269" s="430"/>
      <c r="P269" s="431"/>
      <c r="Q269" s="433"/>
      <c r="R269" s="316">
        <v>5</v>
      </c>
      <c r="S269" s="330"/>
      <c r="T269" s="312"/>
      <c r="U269" s="208" t="str">
        <f t="shared" si="517"/>
        <v/>
      </c>
      <c r="V269" s="237"/>
      <c r="W269" s="237"/>
      <c r="X269" s="209" t="str">
        <f t="shared" si="509"/>
        <v/>
      </c>
      <c r="Y269" s="237"/>
      <c r="Z269" s="237"/>
      <c r="AA269" s="237"/>
      <c r="AB269" s="210" t="str">
        <f t="shared" si="515"/>
        <v/>
      </c>
      <c r="AC269" s="211" t="str">
        <f t="shared" si="511"/>
        <v/>
      </c>
      <c r="AD269" s="209" t="str">
        <f t="shared" si="512"/>
        <v/>
      </c>
      <c r="AE269" s="211" t="str">
        <f t="shared" si="513"/>
        <v/>
      </c>
      <c r="AF269" s="209" t="str">
        <f t="shared" si="516"/>
        <v/>
      </c>
      <c r="AG269" s="212" t="str">
        <f t="shared" ref="AG269:AG270" si="518">IFERROR(IF(OR(AND(AC269="Muy Baja",AE269="Leve"),AND(AC269="Muy Baja",AE269="Menor"),AND(AC269="Baja",AE269="Leve")),"Bajo",IF(OR(AND(AC269="Muy baja",AE269="Moderado"),AND(AC269="Baja",AE269="Menor"),AND(AC269="Baja",AE269="Moderado"),AND(AC269="Media",AE269="Leve"),AND(AC269="Media",AE269="Menor"),AND(AC269="Media",AE269="Moderado"),AND(AC269="Alta",AE269="Leve"),AND(AC269="Alta",AE269="Menor")),"Moderado",IF(OR(AND(AC269="Muy Baja",AE269="Mayor"),AND(AC269="Baja",AE269="Mayor"),AND(AC269="Media",AE269="Mayor"),AND(AC269="Alta",AE269="Moderado"),AND(AC269="Alta",AE269="Mayor"),AND(AC269="Muy Alta",AE269="Leve"),AND(AC269="Muy Alta",AE269="Menor"),AND(AC269="Muy Alta",AE269="Moderado"),AND(AC269="Muy Alta",AE269="Mayor")),"Alto",IF(OR(AND(AC269="Muy Baja",AE269="Catastrófico"),AND(AC269="Baja",AE269="Catastrófico"),AND(AC269="Media",AE269="Catastrófico"),AND(AC269="Alta",AE269="Catastrófico"),AND(AC269="Muy Alta",AE269="Catastrófico")),"Extremo","")))),"")</f>
        <v/>
      </c>
      <c r="AH269" s="237"/>
      <c r="AI269" s="326"/>
      <c r="AJ269" s="326"/>
      <c r="AK269" s="326"/>
      <c r="AL269" s="326"/>
      <c r="AM269" s="326"/>
      <c r="AN269" s="295"/>
      <c r="AO269" s="295"/>
      <c r="AP269" s="293"/>
      <c r="AQ269" s="216"/>
      <c r="AR269" s="216"/>
      <c r="AS269" s="323"/>
      <c r="AT269" s="323"/>
      <c r="AU269" s="323"/>
      <c r="AV269" s="323"/>
      <c r="AW269" s="323"/>
      <c r="AX269" s="323"/>
      <c r="AY269" s="323"/>
      <c r="AZ269" s="323"/>
      <c r="BA269" s="323"/>
      <c r="BB269" s="323"/>
      <c r="BC269" s="323"/>
      <c r="BD269" s="323"/>
      <c r="BE269" s="323"/>
      <c r="BF269" s="323"/>
      <c r="BG269" s="323"/>
      <c r="BH269" s="323"/>
      <c r="BI269" s="323"/>
      <c r="BJ269" s="323"/>
      <c r="BK269" s="323"/>
      <c r="BL269" s="323"/>
      <c r="BM269" s="323"/>
      <c r="BN269" s="323"/>
      <c r="BO269" s="323"/>
      <c r="BP269" s="323"/>
      <c r="BQ269" s="323"/>
      <c r="BR269" s="323"/>
      <c r="BS269" s="323"/>
      <c r="BT269" s="323"/>
      <c r="BU269" s="323"/>
      <c r="BV269" s="323"/>
      <c r="BW269" s="323"/>
      <c r="BX269" s="323"/>
      <c r="BY269" s="323"/>
    </row>
    <row r="270" spans="1:77" s="113" customFormat="1" ht="41.25" hidden="1" customHeight="1" x14ac:dyDescent="0.2">
      <c r="A270" s="489"/>
      <c r="B270" s="490"/>
      <c r="C270" s="491"/>
      <c r="D270" s="491"/>
      <c r="E270" s="434"/>
      <c r="F270" s="435"/>
      <c r="G270" s="492"/>
      <c r="H270" s="435"/>
      <c r="I270" s="435"/>
      <c r="J270" s="439"/>
      <c r="K270" s="430"/>
      <c r="L270" s="431"/>
      <c r="M270" s="432"/>
      <c r="N270" s="431">
        <f ca="1">IF(NOT(ISERROR(MATCH(M270,_xlfn.ANCHORARRAY(G293),0))),L295&amp;"Por favor no seleccionar los criterios de impacto",M270)</f>
        <v>0</v>
      </c>
      <c r="O270" s="430"/>
      <c r="P270" s="431"/>
      <c r="Q270" s="433"/>
      <c r="R270" s="316">
        <v>6</v>
      </c>
      <c r="S270" s="330"/>
      <c r="T270" s="312"/>
      <c r="U270" s="208" t="str">
        <f t="shared" si="517"/>
        <v/>
      </c>
      <c r="V270" s="237"/>
      <c r="W270" s="237"/>
      <c r="X270" s="209" t="str">
        <f t="shared" si="509"/>
        <v/>
      </c>
      <c r="Y270" s="237"/>
      <c r="Z270" s="237"/>
      <c r="AA270" s="237"/>
      <c r="AB270" s="210" t="str">
        <f t="shared" si="515"/>
        <v/>
      </c>
      <c r="AC270" s="211" t="str">
        <f t="shared" si="511"/>
        <v/>
      </c>
      <c r="AD270" s="209" t="str">
        <f t="shared" si="512"/>
        <v/>
      </c>
      <c r="AE270" s="211" t="str">
        <f t="shared" si="513"/>
        <v/>
      </c>
      <c r="AF270" s="209" t="str">
        <f t="shared" si="516"/>
        <v/>
      </c>
      <c r="AG270" s="212" t="str">
        <f t="shared" si="518"/>
        <v/>
      </c>
      <c r="AH270" s="237"/>
      <c r="AI270" s="318"/>
      <c r="AJ270" s="318"/>
      <c r="AK270" s="318"/>
      <c r="AL270" s="318"/>
      <c r="AM270" s="318"/>
      <c r="AN270" s="295"/>
      <c r="AO270" s="295"/>
      <c r="AP270" s="293"/>
      <c r="AQ270" s="216"/>
      <c r="AR270" s="216"/>
      <c r="AS270" s="323"/>
      <c r="AT270" s="323"/>
      <c r="AU270" s="323"/>
      <c r="AV270" s="323"/>
      <c r="AW270" s="323"/>
      <c r="AX270" s="323"/>
      <c r="AY270" s="323"/>
      <c r="AZ270" s="323"/>
      <c r="BA270" s="323"/>
      <c r="BB270" s="323"/>
      <c r="BC270" s="323"/>
      <c r="BD270" s="323"/>
      <c r="BE270" s="323"/>
      <c r="BF270" s="323"/>
      <c r="BG270" s="323"/>
      <c r="BH270" s="323"/>
      <c r="BI270" s="323"/>
      <c r="BJ270" s="323"/>
      <c r="BK270" s="323"/>
      <c r="BL270" s="323"/>
      <c r="BM270" s="323"/>
      <c r="BN270" s="323"/>
      <c r="BO270" s="323"/>
      <c r="BP270" s="323"/>
      <c r="BQ270" s="323"/>
      <c r="BR270" s="323"/>
      <c r="BS270" s="323"/>
      <c r="BT270" s="323"/>
      <c r="BU270" s="323"/>
      <c r="BV270" s="323"/>
      <c r="BW270" s="323"/>
      <c r="BX270" s="323"/>
      <c r="BY270" s="323"/>
    </row>
    <row r="271" spans="1:77" s="271" customFormat="1" ht="128.25" x14ac:dyDescent="0.2">
      <c r="A271" s="437" t="s">
        <v>711</v>
      </c>
      <c r="B271" s="438" t="s">
        <v>612</v>
      </c>
      <c r="C271" s="434" t="s">
        <v>625</v>
      </c>
      <c r="D271" s="434" t="s">
        <v>109</v>
      </c>
      <c r="E271" s="434" t="s">
        <v>713</v>
      </c>
      <c r="F271" s="435" t="s">
        <v>685</v>
      </c>
      <c r="G271" s="436" t="s">
        <v>712</v>
      </c>
      <c r="H271" s="435" t="s">
        <v>655</v>
      </c>
      <c r="I271" s="435" t="s">
        <v>699</v>
      </c>
      <c r="J271" s="439">
        <v>12</v>
      </c>
      <c r="K271" s="430" t="str">
        <f t="shared" ref="K271" si="519">IF(J271&lt;=0,"",IF(J271&lt;=2,"Muy Baja",IF(J271&lt;=24,"Baja",IF(J271&lt;=500,"Media",IF(J271&lt;=5000,"Alta","Muy Alta")))))</f>
        <v>Baja</v>
      </c>
      <c r="L271" s="431">
        <f>IF(K271="","",IF(K271="Muy Baja",0.2,IF(K271="Baja",0.4,IF(K271="Media",0.6,IF(K271="Alta",0.8,IF(K271="Muy Alta",1,))))))</f>
        <v>0.4</v>
      </c>
      <c r="M271" s="432" t="s">
        <v>115</v>
      </c>
      <c r="N271" s="431" t="str">
        <f ca="1">IF(NOT(ISERROR(MATCH(M271,'Tabla Impacto'!$B$221:$B$223,0))),'Tabla Impacto'!$F$223&amp;"Por favor no seleccionar los criterios de impacto(Afectación Económica o presupuestal y Pérdida Reputacional)",M271)</f>
        <v xml:space="preserve">     Entre 50 y 100 SMLMV </v>
      </c>
      <c r="O271" s="430" t="str">
        <f ca="1">IF(OR(N271='Tabla Impacto'!$C$11,N271='Tabla Impacto'!$D$11),"Leve",IF(OR(N271='Tabla Impacto'!$C$12,N271='Tabla Impacto'!$D$12),"Menor",IF(OR(N271='Tabla Impacto'!$C$13,N271='Tabla Impacto'!$D$13),"Moderado",IF(OR(N271='Tabla Impacto'!$C$14,N271='Tabla Impacto'!$D$14),"Mayor",IF(OR(N271='Tabla Impacto'!$C$15,N271='Tabla Impacto'!$D$15),"Catastrófico","")))))</f>
        <v>Moderado</v>
      </c>
      <c r="P271" s="431">
        <f ca="1">IF(O271="","",IF(O271="Leve",0.2,IF(O271="Menor",0.4,IF(O271="Moderado",0.6,IF(O271="Mayor",0.8,IF(O271="Catastrófico",1,))))))</f>
        <v>0.6</v>
      </c>
      <c r="Q271" s="433" t="str">
        <f ca="1">IF(OR(AND(K271="Muy Baja",O271="Leve"),AND(K271="Muy Baja",O271="Menor"),AND(K271="Baja",O271="Leve")),"Bajo",IF(OR(AND(K271="Muy baja",O271="Moderado"),AND(K271="Baja",O271="Menor"),AND(K271="Baja",O271="Moderado"),AND(K271="Media",O271="Leve"),AND(K271="Media",O271="Menor"),AND(K271="Media",O271="Moderado"),AND(K271="Alta",O271="Leve"),AND(K271="Alta",O271="Menor")),"Moderado",IF(OR(AND(K271="Muy Baja",O271="Mayor"),AND(K271="Baja",O271="Mayor"),AND(K271="Media",O271="Mayor"),AND(K271="Alta",O271="Moderado"),AND(K271="Alta",O271="Mayor"),AND(K271="Muy Alta",O271="Leve"),AND(K271="Muy Alta",O271="Menor"),AND(K271="Muy Alta",O271="Moderado"),AND(K271="Muy Alta",O271="Mayor")),"Alto",IF(OR(AND(K271="Muy Baja",O271="Catastrófico"),AND(K271="Baja",O271="Catastrófico"),AND(K271="Media",O271="Catastrófico"),AND(K271="Alta",O271="Catastrófico"),AND(K271="Muy Alta",O271="Catastrófico")),"Extremo",""))))</f>
        <v>Moderado</v>
      </c>
      <c r="R271" s="261">
        <v>1</v>
      </c>
      <c r="S271" s="334" t="s">
        <v>714</v>
      </c>
      <c r="T271" s="272" t="s">
        <v>293</v>
      </c>
      <c r="U271" s="262" t="str">
        <f>IF(OR(V271="Preventivo",V271="Detectivo"),"Probabilidad",IF(V271="Correctivo","Impacto",""))</f>
        <v>Probabilidad</v>
      </c>
      <c r="V271" s="263" t="s">
        <v>13</v>
      </c>
      <c r="W271" s="263" t="s">
        <v>8</v>
      </c>
      <c r="X271" s="264" t="str">
        <f t="shared" si="47"/>
        <v>40%</v>
      </c>
      <c r="Y271" s="263" t="s">
        <v>18</v>
      </c>
      <c r="Z271" s="263" t="s">
        <v>21</v>
      </c>
      <c r="AA271" s="263" t="s">
        <v>103</v>
      </c>
      <c r="AB271" s="265">
        <f>IFERROR(IF(U271="Probabilidad",(L271-(+L271*X271)),IF(U271="Impacto",L271,"")),"")</f>
        <v>0.24</v>
      </c>
      <c r="AC271" s="266" t="str">
        <f>IFERROR(IF(AB271="","",IF(AB271&lt;=0.2,"Muy Baja",IF(AB271&lt;=0.4,"Baja",IF(AB271&lt;=0.6,"Media",IF(AB271&lt;=0.8,"Alta","Muy Alta"))))),"")</f>
        <v>Baja</v>
      </c>
      <c r="AD271" s="264">
        <f>+AB271</f>
        <v>0.24</v>
      </c>
      <c r="AE271" s="266" t="str">
        <f ca="1">IFERROR(IF(AF271="","",IF(AF271&lt;=0.2,"Leve",IF(AF271&lt;=0.4,"Menor",IF(AF271&lt;=0.6,"Moderado",IF(AF271&lt;=0.8,"Mayor","Catastrófico"))))),"")</f>
        <v>Moderado</v>
      </c>
      <c r="AF271" s="264">
        <f ca="1">IFERROR(IF(U271="Impacto",(P271-(+P271*X271)),IF(U271="Probabilidad",P271,"")),"")</f>
        <v>0.6</v>
      </c>
      <c r="AG271" s="267" t="str">
        <f ca="1">IFERROR(IF(OR(AND(AC271="Muy Baja",AE271="Leve"),AND(AC271="Muy Baja",AE271="Menor"),AND(AC271="Baja",AE271="Leve")),"Bajo",IF(OR(AND(AC271="Muy baja",AE271="Moderado"),AND(AC271="Baja",AE271="Menor"),AND(AC271="Baja",AE271="Moderado"),AND(AC271="Media",AE271="Leve"),AND(AC271="Media",AE271="Menor"),AND(AC271="Media",AE271="Moderado"),AND(AC271="Alta",AE271="Leve"),AND(AC271="Alta",AE271="Menor")),"Moderado",IF(OR(AND(AC271="Muy Baja",AE271="Mayor"),AND(AC271="Baja",AE271="Mayor"),AND(AC271="Media",AE271="Mayor"),AND(AC271="Alta",AE271="Moderado"),AND(AC271="Alta",AE271="Mayor"),AND(AC271="Muy Alta",AE271="Leve"),AND(AC271="Muy Alta",AE271="Menor"),AND(AC271="Muy Alta",AE271="Moderado"),AND(AC271="Muy Alta",AE271="Mayor")),"Alto",IF(OR(AND(AC271="Muy Baja",AE271="Catastrófico"),AND(AC271="Baja",AE271="Catastrófico"),AND(AC271="Media",AE271="Catastrófico"),AND(AC271="Alta",AE271="Catastrófico"),AND(AC271="Muy Alta",AE271="Catastrófico")),"Extremo","")))),"")</f>
        <v>Moderado</v>
      </c>
      <c r="AH271" s="263" t="s">
        <v>26</v>
      </c>
      <c r="AI271" s="326">
        <v>4</v>
      </c>
      <c r="AJ271" s="326">
        <v>1</v>
      </c>
      <c r="AK271" s="326">
        <v>1</v>
      </c>
      <c r="AL271" s="326">
        <v>1</v>
      </c>
      <c r="AM271" s="326">
        <v>1</v>
      </c>
      <c r="AN271" s="272"/>
      <c r="AO271" s="272"/>
      <c r="AP271" s="273"/>
      <c r="AQ271" s="274"/>
      <c r="AR271" s="274"/>
      <c r="AS271" s="323"/>
      <c r="AT271" s="323"/>
      <c r="AU271" s="323"/>
      <c r="AV271" s="323"/>
      <c r="AW271" s="323"/>
      <c r="AX271" s="323"/>
      <c r="AY271" s="323"/>
      <c r="AZ271" s="323"/>
      <c r="BA271" s="323"/>
      <c r="BB271" s="323"/>
      <c r="BC271" s="323"/>
      <c r="BD271" s="323"/>
      <c r="BE271" s="323"/>
      <c r="BF271" s="323"/>
      <c r="BG271" s="323"/>
      <c r="BH271" s="323"/>
      <c r="BI271" s="323"/>
      <c r="BJ271" s="323"/>
      <c r="BK271" s="323"/>
      <c r="BL271" s="323"/>
      <c r="BM271" s="323"/>
      <c r="BN271" s="323"/>
      <c r="BO271" s="323"/>
      <c r="BP271" s="323"/>
      <c r="BQ271" s="323"/>
      <c r="BR271" s="323"/>
      <c r="BS271" s="323"/>
      <c r="BT271" s="323"/>
      <c r="BU271" s="323"/>
      <c r="BV271" s="323"/>
      <c r="BW271" s="323"/>
      <c r="BX271" s="323"/>
      <c r="BY271" s="323"/>
    </row>
    <row r="272" spans="1:77" s="113" customFormat="1" ht="85.5" x14ac:dyDescent="0.2">
      <c r="A272" s="437"/>
      <c r="B272" s="438"/>
      <c r="C272" s="434"/>
      <c r="D272" s="434"/>
      <c r="E272" s="434"/>
      <c r="F272" s="435"/>
      <c r="G272" s="436"/>
      <c r="H272" s="435"/>
      <c r="I272" s="435"/>
      <c r="J272" s="439"/>
      <c r="K272" s="430"/>
      <c r="L272" s="431"/>
      <c r="M272" s="432"/>
      <c r="N272" s="431">
        <f ca="1">IF(NOT(ISERROR(MATCH(M272,_xlfn.ANCHORARRAY(G295),0))),L297&amp;"Por favor no seleccionar los criterios de impacto",M272)</f>
        <v>0</v>
      </c>
      <c r="O272" s="430"/>
      <c r="P272" s="431"/>
      <c r="Q272" s="433"/>
      <c r="R272" s="316">
        <v>2</v>
      </c>
      <c r="S272" s="330" t="s">
        <v>743</v>
      </c>
      <c r="T272" s="312" t="s">
        <v>293</v>
      </c>
      <c r="U272" s="208" t="str">
        <f>IF(OR(V272="Preventivo",V272="Detectivo"),"Probabilidad",IF(V272="Correctivo","Impacto",""))</f>
        <v>Probabilidad</v>
      </c>
      <c r="V272" s="237" t="s">
        <v>13</v>
      </c>
      <c r="W272" s="237" t="s">
        <v>8</v>
      </c>
      <c r="X272" s="209" t="str">
        <f t="shared" si="47"/>
        <v>40%</v>
      </c>
      <c r="Y272" s="237" t="s">
        <v>18</v>
      </c>
      <c r="Z272" s="237" t="s">
        <v>21</v>
      </c>
      <c r="AA272" s="237" t="s">
        <v>103</v>
      </c>
      <c r="AB272" s="210">
        <f t="shared" ref="AB272" si="520">IFERROR(IF(AND(U271="Probabilidad",U272="Probabilidad"),(AD271-(+AD271*X272)),IF(U272="Probabilidad",(L271-(+L271*X272)),IF(U272="Impacto",AD271,""))),"")</f>
        <v>0.14399999999999999</v>
      </c>
      <c r="AC272" s="211" t="str">
        <f t="shared" si="48"/>
        <v>Muy Baja</v>
      </c>
      <c r="AD272" s="209">
        <f t="shared" ref="AD272:AD276" si="521">+AB272</f>
        <v>0.14399999999999999</v>
      </c>
      <c r="AE272" s="211" t="str">
        <f t="shared" ca="1" si="50"/>
        <v>Moderado</v>
      </c>
      <c r="AF272" s="209">
        <f ca="1">IFERROR(IF(AND(U271="Impacto",U272="Impacto"),(AF271-(+AF271*X272)),IF(U272="Impacto",($P$31-(+$P$31*X272)),IF(U272="Probabilidad",AF271,""))),"")</f>
        <v>0.6</v>
      </c>
      <c r="AG272" s="212" t="str">
        <f ca="1">IFERROR(IF(OR(AND(AC272="Muy Baja",AE272="Leve"),AND(AC272="Muy Baja",AE272="Menor"),AND(AC272="Baja",AE272="Leve")),"Bajo",IF(OR(AND(AC272="Muy baja",AE272="Moderado"),AND(AC272="Baja",AE272="Menor"),AND(AC272="Baja",AE272="Moderado"),AND(AC272="Media",AE272="Leve"),AND(AC272="Media",AE272="Menor"),AND(AC272="Media",AE272="Moderado"),AND(AC272="Alta",AE272="Leve"),AND(AC272="Alta",AE272="Menor")),"Moderado",IF(OR(AND(AC272="Muy Baja",AE272="Mayor"),AND(AC272="Baja",AE272="Mayor"),AND(AC272="Media",AE272="Mayor"),AND(AC272="Alta",AE272="Moderado"),AND(AC272="Alta",AE272="Mayor"),AND(AC272="Muy Alta",AE272="Leve"),AND(AC272="Muy Alta",AE272="Menor"),AND(AC272="Muy Alta",AE272="Moderado"),AND(AC272="Muy Alta",AE272="Mayor")),"Alto",IF(OR(AND(AC272="Muy Baja",AE272="Catastrófico"),AND(AC272="Baja",AE272="Catastrófico"),AND(AC272="Media",AE272="Catastrófico"),AND(AC272="Alta",AE272="Catastrófico"),AND(AC272="Muy Alta",AE272="Catastrófico")),"Extremo","")))),"")</f>
        <v>Moderado</v>
      </c>
      <c r="AH272" s="237" t="s">
        <v>26</v>
      </c>
      <c r="AI272" s="326">
        <v>2</v>
      </c>
      <c r="AJ272" s="326">
        <v>0</v>
      </c>
      <c r="AK272" s="326">
        <v>1</v>
      </c>
      <c r="AL272" s="326">
        <v>0</v>
      </c>
      <c r="AM272" s="326">
        <v>1</v>
      </c>
      <c r="AN272" s="222"/>
      <c r="AO272" s="238"/>
      <c r="AP272" s="217"/>
      <c r="AQ272" s="216"/>
      <c r="AR272" s="216"/>
      <c r="AS272" s="323"/>
      <c r="AT272" s="323"/>
      <c r="AU272" s="323"/>
      <c r="AV272" s="323"/>
      <c r="AW272" s="323"/>
      <c r="AX272" s="323"/>
      <c r="AY272" s="323"/>
      <c r="AZ272" s="323"/>
      <c r="BA272" s="323"/>
      <c r="BB272" s="323"/>
      <c r="BC272" s="323"/>
      <c r="BD272" s="323"/>
      <c r="BE272" s="323"/>
      <c r="BF272" s="323"/>
      <c r="BG272" s="323"/>
      <c r="BH272" s="323"/>
      <c r="BI272" s="323"/>
      <c r="BJ272" s="323"/>
      <c r="BK272" s="323"/>
      <c r="BL272" s="323"/>
      <c r="BM272" s="323"/>
      <c r="BN272" s="323"/>
      <c r="BO272" s="323"/>
      <c r="BP272" s="323"/>
      <c r="BQ272" s="323"/>
      <c r="BR272" s="323"/>
      <c r="BS272" s="323"/>
      <c r="BT272" s="323"/>
      <c r="BU272" s="323"/>
      <c r="BV272" s="323"/>
      <c r="BW272" s="323"/>
      <c r="BX272" s="323"/>
      <c r="BY272" s="323"/>
    </row>
    <row r="273" spans="1:77" s="113" customFormat="1" ht="16.5" hidden="1" customHeight="1" x14ac:dyDescent="0.2">
      <c r="A273" s="437"/>
      <c r="B273" s="438"/>
      <c r="C273" s="434"/>
      <c r="D273" s="434"/>
      <c r="E273" s="434"/>
      <c r="F273" s="435"/>
      <c r="G273" s="436"/>
      <c r="H273" s="435"/>
      <c r="I273" s="435"/>
      <c r="J273" s="439"/>
      <c r="K273" s="430"/>
      <c r="L273" s="431"/>
      <c r="M273" s="432"/>
      <c r="N273" s="431">
        <f ca="1">IF(NOT(ISERROR(MATCH(M273,_xlfn.ANCHORARRAY(G296),0))),L298&amp;"Por favor no seleccionar los criterios de impacto",M273)</f>
        <v>0</v>
      </c>
      <c r="O273" s="430"/>
      <c r="P273" s="431"/>
      <c r="Q273" s="433"/>
      <c r="R273" s="316">
        <v>3</v>
      </c>
      <c r="S273" s="330"/>
      <c r="T273" s="312"/>
      <c r="U273" s="208" t="str">
        <f>IF(OR(V273="Preventivo",V273="Detectivo"),"Probabilidad",IF(V273="Correctivo","Impacto",""))</f>
        <v/>
      </c>
      <c r="V273" s="237"/>
      <c r="W273" s="237"/>
      <c r="X273" s="209" t="str">
        <f t="shared" si="47"/>
        <v/>
      </c>
      <c r="Y273" s="237"/>
      <c r="Z273" s="237"/>
      <c r="AA273" s="237"/>
      <c r="AB273" s="210" t="str">
        <f t="shared" ref="AB273" si="522">IFERROR(IF(AND(U272="Probabilidad",U273="Probabilidad"),(AD272-(+AD272*X273)),IF(AND(U272="Impacto",U273="Probabilidad"),(AD271-(+AD271*X273)),IF(U273="Impacto",AD272,""))),"")</f>
        <v/>
      </c>
      <c r="AC273" s="211" t="str">
        <f t="shared" si="48"/>
        <v/>
      </c>
      <c r="AD273" s="209" t="str">
        <f t="shared" si="521"/>
        <v/>
      </c>
      <c r="AE273" s="211" t="str">
        <f t="shared" si="50"/>
        <v/>
      </c>
      <c r="AF273" s="209" t="str">
        <f>IFERROR(IF(AND(U272="Impacto",U273="Impacto"),(AF272-(+AF272*X273)),IF(U273="Impacto",($P$31-(+$P$31*X273)),IF(U273="Probabilidad",AF272,""))),"")</f>
        <v/>
      </c>
      <c r="AG273" s="212" t="str">
        <f t="shared" ref="AG273" si="523">IFERROR(IF(OR(AND(AC273="Muy Baja",AE273="Leve"),AND(AC273="Muy Baja",AE273="Menor"),AND(AC273="Baja",AE273="Leve")),"Bajo",IF(OR(AND(AC273="Muy baja",AE273="Moderado"),AND(AC273="Baja",AE273="Menor"),AND(AC273="Baja",AE273="Moderado"),AND(AC273="Media",AE273="Leve"),AND(AC273="Media",AE273="Menor"),AND(AC273="Media",AE273="Moderado"),AND(AC273="Alta",AE273="Leve"),AND(AC273="Alta",AE273="Menor")),"Moderado",IF(OR(AND(AC273="Muy Baja",AE273="Mayor"),AND(AC273="Baja",AE273="Mayor"),AND(AC273="Media",AE273="Mayor"),AND(AC273="Alta",AE273="Moderado"),AND(AC273="Alta",AE273="Mayor"),AND(AC273="Muy Alta",AE273="Leve"),AND(AC273="Muy Alta",AE273="Menor"),AND(AC273="Muy Alta",AE273="Moderado"),AND(AC273="Muy Alta",AE273="Mayor")),"Alto",IF(OR(AND(AC273="Muy Baja",AE273="Catastrófico"),AND(AC273="Baja",AE273="Catastrófico"),AND(AC273="Media",AE273="Catastrófico"),AND(AC273="Alta",AE273="Catastrófico"),AND(AC273="Muy Alta",AE273="Catastrófico")),"Extremo","")))),"")</f>
        <v/>
      </c>
      <c r="AH273" s="237"/>
      <c r="AI273" s="318"/>
      <c r="AJ273" s="318"/>
      <c r="AK273" s="318"/>
      <c r="AL273" s="318"/>
      <c r="AM273" s="318"/>
      <c r="AN273" s="222"/>
      <c r="AO273" s="238"/>
      <c r="AP273" s="217"/>
      <c r="AQ273" s="216"/>
      <c r="AR273" s="216"/>
      <c r="AS273" s="323"/>
      <c r="AT273" s="323"/>
      <c r="AU273" s="323"/>
      <c r="AV273" s="323"/>
      <c r="AW273" s="323"/>
      <c r="AX273" s="323"/>
      <c r="AY273" s="323"/>
      <c r="AZ273" s="323"/>
      <c r="BA273" s="323"/>
      <c r="BB273" s="323"/>
      <c r="BC273" s="323"/>
      <c r="BD273" s="323"/>
      <c r="BE273" s="323"/>
      <c r="BF273" s="323"/>
      <c r="BG273" s="323"/>
      <c r="BH273" s="323"/>
      <c r="BI273" s="323"/>
      <c r="BJ273" s="323"/>
      <c r="BK273" s="323"/>
      <c r="BL273" s="323"/>
      <c r="BM273" s="323"/>
      <c r="BN273" s="323"/>
      <c r="BO273" s="323"/>
      <c r="BP273" s="323"/>
      <c r="BQ273" s="323"/>
      <c r="BR273" s="323"/>
      <c r="BS273" s="323"/>
      <c r="BT273" s="323"/>
      <c r="BU273" s="323"/>
      <c r="BV273" s="323"/>
      <c r="BW273" s="323"/>
      <c r="BX273" s="323"/>
      <c r="BY273" s="323"/>
    </row>
    <row r="274" spans="1:77" s="113" customFormat="1" ht="16.5" hidden="1" customHeight="1" x14ac:dyDescent="0.2">
      <c r="A274" s="437"/>
      <c r="B274" s="438"/>
      <c r="C274" s="434"/>
      <c r="D274" s="434"/>
      <c r="E274" s="434"/>
      <c r="F274" s="435"/>
      <c r="G274" s="436"/>
      <c r="H274" s="435"/>
      <c r="I274" s="435"/>
      <c r="J274" s="439"/>
      <c r="K274" s="430"/>
      <c r="L274" s="431"/>
      <c r="M274" s="432"/>
      <c r="N274" s="431">
        <f ca="1">IF(NOT(ISERROR(MATCH(M274,_xlfn.ANCHORARRAY(G297),0))),L299&amp;"Por favor no seleccionar los criterios de impacto",M274)</f>
        <v>0</v>
      </c>
      <c r="O274" s="430"/>
      <c r="P274" s="431"/>
      <c r="Q274" s="433"/>
      <c r="R274" s="316">
        <v>4</v>
      </c>
      <c r="S274" s="330"/>
      <c r="T274" s="312"/>
      <c r="U274" s="208" t="str">
        <f t="shared" ref="U274:U276" si="524">IF(OR(V274="Preventivo",V274="Detectivo"),"Probabilidad",IF(V274="Correctivo","Impacto",""))</f>
        <v/>
      </c>
      <c r="V274" s="237"/>
      <c r="W274" s="237"/>
      <c r="X274" s="209" t="str">
        <f t="shared" si="47"/>
        <v/>
      </c>
      <c r="Y274" s="237"/>
      <c r="Z274" s="237"/>
      <c r="AA274" s="237"/>
      <c r="AB274" s="210" t="str">
        <f t="shared" ref="AB274:AB336" si="525">IFERROR(IF(AND(U273="Probabilidad",U274="Probabilidad"),(AD273-(+AD273*X274)),IF(AND(U273="Impacto",U274="Probabilidad"),(AD272-(+AD272*X274)),IF(U274="Impacto",AD273,""))),"")</f>
        <v/>
      </c>
      <c r="AC274" s="211" t="str">
        <f t="shared" si="48"/>
        <v/>
      </c>
      <c r="AD274" s="209" t="str">
        <f t="shared" si="521"/>
        <v/>
      </c>
      <c r="AE274" s="211" t="str">
        <f t="shared" si="50"/>
        <v/>
      </c>
      <c r="AF274" s="209" t="str">
        <f t="shared" ref="AF274" si="526">IFERROR(IF(AND(U273="Impacto",U274="Impacto"),(AF273-(+AF273*X274)),IF(U274="Impacto",($P$31-(+$P$31*X274)),IF(U274="Probabilidad",AF273,""))),"")</f>
        <v/>
      </c>
      <c r="AG274" s="212" t="str">
        <f>IFERROR(IF(OR(AND(AC274="Muy Baja",AE274="Leve"),AND(AC274="Muy Baja",AE274="Menor"),AND(AC274="Baja",AE274="Leve")),"Bajo",IF(OR(AND(AC274="Muy baja",AE274="Moderado"),AND(AC274="Baja",AE274="Menor"),AND(AC274="Baja",AE274="Moderado"),AND(AC274="Media",AE274="Leve"),AND(AC274="Media",AE274="Menor"),AND(AC274="Media",AE274="Moderado"),AND(AC274="Alta",AE274="Leve"),AND(AC274="Alta",AE274="Menor")),"Moderado",IF(OR(AND(AC274="Muy Baja",AE274="Mayor"),AND(AC274="Baja",AE274="Mayor"),AND(AC274="Media",AE274="Mayor"),AND(AC274="Alta",AE274="Moderado"),AND(AC274="Alta",AE274="Mayor"),AND(AC274="Muy Alta",AE274="Leve"),AND(AC274="Muy Alta",AE274="Menor"),AND(AC274="Muy Alta",AE274="Moderado"),AND(AC274="Muy Alta",AE274="Mayor")),"Alto",IF(OR(AND(AC274="Muy Baja",AE274="Catastrófico"),AND(AC274="Baja",AE274="Catastrófico"),AND(AC274="Media",AE274="Catastrófico"),AND(AC274="Alta",AE274="Catastrófico"),AND(AC274="Muy Alta",AE274="Catastrófico")),"Extremo","")))),"")</f>
        <v/>
      </c>
      <c r="AH274" s="237"/>
      <c r="AI274" s="318"/>
      <c r="AJ274" s="318"/>
      <c r="AK274" s="318"/>
      <c r="AL274" s="318"/>
      <c r="AM274" s="318"/>
      <c r="AN274" s="222"/>
      <c r="AO274" s="238"/>
      <c r="AP274" s="217"/>
      <c r="AQ274" s="216"/>
      <c r="AR274" s="216"/>
      <c r="AS274" s="323"/>
      <c r="AT274" s="323"/>
      <c r="AU274" s="323"/>
      <c r="AV274" s="323"/>
      <c r="AW274" s="323"/>
      <c r="AX274" s="323"/>
      <c r="AY274" s="323"/>
      <c r="AZ274" s="323"/>
      <c r="BA274" s="323"/>
      <c r="BB274" s="323"/>
      <c r="BC274" s="323"/>
      <c r="BD274" s="323"/>
      <c r="BE274" s="323"/>
      <c r="BF274" s="323"/>
      <c r="BG274" s="323"/>
      <c r="BH274" s="323"/>
      <c r="BI274" s="323"/>
      <c r="BJ274" s="323"/>
      <c r="BK274" s="323"/>
      <c r="BL274" s="323"/>
      <c r="BM274" s="323"/>
      <c r="BN274" s="323"/>
      <c r="BO274" s="323"/>
      <c r="BP274" s="323"/>
      <c r="BQ274" s="323"/>
      <c r="BR274" s="323"/>
      <c r="BS274" s="323"/>
      <c r="BT274" s="323"/>
      <c r="BU274" s="323"/>
      <c r="BV274" s="323"/>
      <c r="BW274" s="323"/>
      <c r="BX274" s="323"/>
      <c r="BY274" s="323"/>
    </row>
    <row r="275" spans="1:77" s="113" customFormat="1" ht="16.5" hidden="1" customHeight="1" x14ac:dyDescent="0.2">
      <c r="A275" s="437"/>
      <c r="B275" s="438"/>
      <c r="C275" s="434"/>
      <c r="D275" s="434"/>
      <c r="E275" s="434"/>
      <c r="F275" s="435"/>
      <c r="G275" s="436"/>
      <c r="H275" s="435"/>
      <c r="I275" s="435"/>
      <c r="J275" s="439"/>
      <c r="K275" s="430"/>
      <c r="L275" s="431"/>
      <c r="M275" s="432"/>
      <c r="N275" s="431">
        <f ca="1">IF(NOT(ISERROR(MATCH(M275,_xlfn.ANCHORARRAY(G298),0))),L300&amp;"Por favor no seleccionar los criterios de impacto",M275)</f>
        <v>0</v>
      </c>
      <c r="O275" s="430"/>
      <c r="P275" s="431"/>
      <c r="Q275" s="433"/>
      <c r="R275" s="316">
        <v>5</v>
      </c>
      <c r="S275" s="330"/>
      <c r="T275" s="312"/>
      <c r="U275" s="208" t="str">
        <f t="shared" si="524"/>
        <v/>
      </c>
      <c r="V275" s="237"/>
      <c r="W275" s="237"/>
      <c r="X275" s="209" t="str">
        <f t="shared" si="47"/>
        <v/>
      </c>
      <c r="Y275" s="237"/>
      <c r="Z275" s="237"/>
      <c r="AA275" s="237"/>
      <c r="AB275" s="210" t="str">
        <f t="shared" si="525"/>
        <v/>
      </c>
      <c r="AC275" s="211" t="str">
        <f>IFERROR(IF(AB275="","",IF(AB275&lt;=0.2,"Muy Baja",IF(AB275&lt;=0.4,"Baja",IF(AB275&lt;=0.6,"Media",IF(AB275&lt;=0.8,"Alta","Muy Alta"))))),"")</f>
        <v/>
      </c>
      <c r="AD275" s="209" t="str">
        <f t="shared" si="521"/>
        <v/>
      </c>
      <c r="AE275" s="211" t="str">
        <f t="shared" si="50"/>
        <v/>
      </c>
      <c r="AF275" s="209" t="str">
        <f>IFERROR(IF(AND(U274="Impacto",U275="Impacto"),(AF274-(+AF274*X275)),IF(U275="Impacto",($P$31-(+$P$31*X275)),IF(U275="Probabilidad",AF274,""))),"")</f>
        <v/>
      </c>
      <c r="AG275" s="212" t="str">
        <f t="shared" ref="AG275:AG276" si="527">IFERROR(IF(OR(AND(AC275="Muy Baja",AE275="Leve"),AND(AC275="Muy Baja",AE275="Menor"),AND(AC275="Baja",AE275="Leve")),"Bajo",IF(OR(AND(AC275="Muy baja",AE275="Moderado"),AND(AC275="Baja",AE275="Menor"),AND(AC275="Baja",AE275="Moderado"),AND(AC275="Media",AE275="Leve"),AND(AC275="Media",AE275="Menor"),AND(AC275="Media",AE275="Moderado"),AND(AC275="Alta",AE275="Leve"),AND(AC275="Alta",AE275="Menor")),"Moderado",IF(OR(AND(AC275="Muy Baja",AE275="Mayor"),AND(AC275="Baja",AE275="Mayor"),AND(AC275="Media",AE275="Mayor"),AND(AC275="Alta",AE275="Moderado"),AND(AC275="Alta",AE275="Mayor"),AND(AC275="Muy Alta",AE275="Leve"),AND(AC275="Muy Alta",AE275="Menor"),AND(AC275="Muy Alta",AE275="Moderado"),AND(AC275="Muy Alta",AE275="Mayor")),"Alto",IF(OR(AND(AC275="Muy Baja",AE275="Catastrófico"),AND(AC275="Baja",AE275="Catastrófico"),AND(AC275="Media",AE275="Catastrófico"),AND(AC275="Alta",AE275="Catastrófico"),AND(AC275="Muy Alta",AE275="Catastrófico")),"Extremo","")))),"")</f>
        <v/>
      </c>
      <c r="AH275" s="237"/>
      <c r="AI275" s="318"/>
      <c r="AJ275" s="318"/>
      <c r="AK275" s="318"/>
      <c r="AL275" s="318"/>
      <c r="AM275" s="318"/>
      <c r="AN275" s="222"/>
      <c r="AO275" s="238"/>
      <c r="AP275" s="217"/>
      <c r="AQ275" s="216"/>
      <c r="AR275" s="216"/>
      <c r="AS275" s="323"/>
      <c r="AT275" s="323"/>
      <c r="AU275" s="323"/>
      <c r="AV275" s="323"/>
      <c r="AW275" s="323"/>
      <c r="AX275" s="323"/>
      <c r="AY275" s="323"/>
      <c r="AZ275" s="323"/>
      <c r="BA275" s="323"/>
      <c r="BB275" s="323"/>
      <c r="BC275" s="323"/>
      <c r="BD275" s="323"/>
      <c r="BE275" s="323"/>
      <c r="BF275" s="323"/>
      <c r="BG275" s="323"/>
      <c r="BH275" s="323"/>
      <c r="BI275" s="323"/>
      <c r="BJ275" s="323"/>
      <c r="BK275" s="323"/>
      <c r="BL275" s="323"/>
      <c r="BM275" s="323"/>
      <c r="BN275" s="323"/>
      <c r="BO275" s="323"/>
      <c r="BP275" s="323"/>
      <c r="BQ275" s="323"/>
      <c r="BR275" s="323"/>
      <c r="BS275" s="323"/>
      <c r="BT275" s="323"/>
      <c r="BU275" s="323"/>
      <c r="BV275" s="323"/>
      <c r="BW275" s="323"/>
      <c r="BX275" s="323"/>
      <c r="BY275" s="323"/>
    </row>
    <row r="276" spans="1:77" s="113" customFormat="1" ht="16.5" hidden="1" customHeight="1" x14ac:dyDescent="0.2">
      <c r="A276" s="437"/>
      <c r="B276" s="438"/>
      <c r="C276" s="434"/>
      <c r="D276" s="434"/>
      <c r="E276" s="434"/>
      <c r="F276" s="435"/>
      <c r="G276" s="436"/>
      <c r="H276" s="435"/>
      <c r="I276" s="435"/>
      <c r="J276" s="439"/>
      <c r="K276" s="430"/>
      <c r="L276" s="431"/>
      <c r="M276" s="432"/>
      <c r="N276" s="431">
        <f ca="1">IF(NOT(ISERROR(MATCH(M276,_xlfn.ANCHORARRAY(G299),0))),L325&amp;"Por favor no seleccionar los criterios de impacto",M276)</f>
        <v>0</v>
      </c>
      <c r="O276" s="430"/>
      <c r="P276" s="431"/>
      <c r="Q276" s="433"/>
      <c r="R276" s="316">
        <v>6</v>
      </c>
      <c r="S276" s="330"/>
      <c r="T276" s="312"/>
      <c r="U276" s="208" t="str">
        <f t="shared" si="524"/>
        <v/>
      </c>
      <c r="V276" s="237"/>
      <c r="W276" s="237"/>
      <c r="X276" s="209" t="str">
        <f t="shared" si="47"/>
        <v/>
      </c>
      <c r="Y276" s="237"/>
      <c r="Z276" s="237"/>
      <c r="AA276" s="237"/>
      <c r="AB276" s="210" t="str">
        <f t="shared" si="525"/>
        <v/>
      </c>
      <c r="AC276" s="211" t="str">
        <f t="shared" si="48"/>
        <v/>
      </c>
      <c r="AD276" s="209" t="str">
        <f t="shared" si="521"/>
        <v/>
      </c>
      <c r="AE276" s="211" t="str">
        <f t="shared" si="50"/>
        <v/>
      </c>
      <c r="AF276" s="209" t="str">
        <f>IFERROR(IF(AND(U275="Impacto",U276="Impacto"),(AF275-(+AF275*X276)),IF(U276="Impacto",($P$31-(+$P$31*X276)),IF(U276="Probabilidad",AF275,""))),"")</f>
        <v/>
      </c>
      <c r="AG276" s="212" t="str">
        <f t="shared" si="527"/>
        <v/>
      </c>
      <c r="AH276" s="237"/>
      <c r="AI276" s="318"/>
      <c r="AJ276" s="318"/>
      <c r="AK276" s="318"/>
      <c r="AL276" s="318"/>
      <c r="AM276" s="318"/>
      <c r="AN276" s="222"/>
      <c r="AO276" s="238"/>
      <c r="AP276" s="217"/>
      <c r="AQ276" s="216"/>
      <c r="AR276" s="216"/>
      <c r="AS276" s="323"/>
      <c r="AT276" s="323"/>
      <c r="AU276" s="323"/>
      <c r="AV276" s="323"/>
      <c r="AW276" s="323"/>
      <c r="AX276" s="323"/>
      <c r="AY276" s="323"/>
      <c r="AZ276" s="323"/>
      <c r="BA276" s="323"/>
      <c r="BB276" s="323"/>
      <c r="BC276" s="323"/>
      <c r="BD276" s="323"/>
      <c r="BE276" s="323"/>
      <c r="BF276" s="323"/>
      <c r="BG276" s="323"/>
      <c r="BH276" s="323"/>
      <c r="BI276" s="323"/>
      <c r="BJ276" s="323"/>
      <c r="BK276" s="323"/>
      <c r="BL276" s="323"/>
      <c r="BM276" s="323"/>
      <c r="BN276" s="323"/>
      <c r="BO276" s="323"/>
      <c r="BP276" s="323"/>
      <c r="BQ276" s="323"/>
      <c r="BR276" s="323"/>
      <c r="BS276" s="323"/>
      <c r="BT276" s="323"/>
      <c r="BU276" s="323"/>
      <c r="BV276" s="323"/>
      <c r="BW276" s="323"/>
      <c r="BX276" s="323"/>
      <c r="BY276" s="323"/>
    </row>
    <row r="277" spans="1:77" s="271" customFormat="1" ht="89.25" x14ac:dyDescent="0.2">
      <c r="A277" s="437" t="s">
        <v>986</v>
      </c>
      <c r="B277" s="438" t="s">
        <v>281</v>
      </c>
      <c r="C277" s="434" t="s">
        <v>622</v>
      </c>
      <c r="D277" s="434" t="s">
        <v>109</v>
      </c>
      <c r="E277" s="434" t="s">
        <v>1085</v>
      </c>
      <c r="F277" s="435" t="s">
        <v>685</v>
      </c>
      <c r="G277" s="756" t="s">
        <v>1090</v>
      </c>
      <c r="H277" s="435" t="s">
        <v>655</v>
      </c>
      <c r="I277" s="435" t="s">
        <v>1091</v>
      </c>
      <c r="J277" s="439">
        <v>284</v>
      </c>
      <c r="K277" s="430" t="str">
        <f t="shared" ref="K277" si="528">IF(J277&lt;=0,"",IF(J277&lt;=2,"Muy Baja",IF(J277&lt;=24,"Baja",IF(J277&lt;=500,"Media",IF(J277&lt;=5000,"Alta","Muy Alta")))))</f>
        <v>Media</v>
      </c>
      <c r="L277" s="431">
        <f>IF(K277="","",IF(K277="Muy Baja",0.2,IF(K277="Baja",0.4,IF(K277="Media",0.6,IF(K277="Alta",0.8,IF(K277="Muy Alta",1,))))))</f>
        <v>0.6</v>
      </c>
      <c r="M277" s="432" t="s">
        <v>116</v>
      </c>
      <c r="N277" s="310" t="str">
        <f ca="1">IF(NOT(ISERROR(MATCH(M277,'Tabla Impacto'!$B$221:$B$223,0))),'Tabla Impacto'!$F$223&amp;"Por favor no seleccionar los criterios de impacto(Afectación Económica o presupuestal y Pérdida Reputacional)",M277)</f>
        <v xml:space="preserve">     Entre 10 y 50 SMLMV </v>
      </c>
      <c r="O277" s="430" t="str">
        <f ca="1">IF(OR(N277='Tabla Impacto'!$C$11,N277='Tabla Impacto'!$D$11),"Leve",IF(OR(N277='Tabla Impacto'!$C$12,N277='Tabla Impacto'!$D$12),"Menor",IF(OR(N277='Tabla Impacto'!$C$13,N277='Tabla Impacto'!$D$13),"Moderado",IF(OR(N277='Tabla Impacto'!$C$14,N277='Tabla Impacto'!$D$14),"Mayor",IF(OR(N277='Tabla Impacto'!$C$15,N277='Tabla Impacto'!$D$15),"Catastrófico","")))))</f>
        <v>Menor</v>
      </c>
      <c r="P277" s="431">
        <f ca="1">IF(O277="","",IF(O277="Leve",0.2,IF(O277="Menor",0.4,IF(O277="Moderado",0.6,IF(O277="Mayor",0.8,IF(O277="Catastrófico",1,))))))</f>
        <v>0.4</v>
      </c>
      <c r="Q277" s="433" t="str">
        <f ca="1">IF(OR(AND(K277="Muy Baja",O277="Leve"),AND(K277="Muy Baja",O277="Menor"),AND(K277="Baja",O277="Leve")),"Bajo",IF(OR(AND(K277="Muy baja",O277="Moderado"),AND(K277="Baja",O277="Menor"),AND(K277="Baja",O277="Moderado"),AND(K277="Media",O277="Leve"),AND(K277="Media",O277="Menor"),AND(K277="Media",O277="Moderado"),AND(K277="Alta",O277="Leve"),AND(K277="Alta",O277="Menor")),"Moderado",IF(OR(AND(K277="Muy Baja",O277="Mayor"),AND(K277="Baja",O277="Mayor"),AND(K277="Media",O277="Mayor"),AND(K277="Alta",O277="Moderado"),AND(K277="Alta",O277="Mayor"),AND(K277="Muy Alta",O277="Leve"),AND(K277="Muy Alta",O277="Menor"),AND(K277="Muy Alta",O277="Moderado"),AND(K277="Muy Alta",O277="Mayor")),"Alto",IF(OR(AND(K277="Muy Baja",O277="Catastrófico"),AND(K277="Baja",O277="Catastrófico"),AND(K277="Media",O277="Catastrófico"),AND(K277="Alta",O277="Catastrófico"),AND(K277="Muy Alta",O277="Catastrófico")),"Extremo",""))))</f>
        <v>Moderado</v>
      </c>
      <c r="R277" s="261">
        <v>1</v>
      </c>
      <c r="S277" s="328" t="s">
        <v>1092</v>
      </c>
      <c r="T277" s="272" t="s">
        <v>293</v>
      </c>
      <c r="U277" s="262" t="str">
        <f>IF(OR(V277="Preventivo",V277="Detectivo"),"Probabilidad",IF(V277="Correctivo","Impacto",""))</f>
        <v>Probabilidad</v>
      </c>
      <c r="V277" s="263" t="s">
        <v>13</v>
      </c>
      <c r="W277" s="263" t="s">
        <v>8</v>
      </c>
      <c r="X277" s="264" t="str">
        <f t="shared" si="47"/>
        <v>40%</v>
      </c>
      <c r="Y277" s="263" t="s">
        <v>19</v>
      </c>
      <c r="Z277" s="263" t="s">
        <v>21</v>
      </c>
      <c r="AA277" s="263" t="s">
        <v>103</v>
      </c>
      <c r="AB277" s="265">
        <f t="shared" ref="AB277" si="529">IFERROR(IF(U277="Probabilidad",(L277-(+L277*X277)),IF(U277="Impacto",L277,"")),"")</f>
        <v>0.36</v>
      </c>
      <c r="AC277" s="266" t="str">
        <f>IFERROR(IF(AB277="","",IF(AB277&lt;=0.2,"Muy Baja",IF(AB277&lt;=0.4,"Baja",IF(AB277&lt;=0.6,"Media",IF(AB277&lt;=0.8,"Alta","Muy Alta"))))),"")</f>
        <v>Baja</v>
      </c>
      <c r="AD277" s="264">
        <f>+AB277</f>
        <v>0.36</v>
      </c>
      <c r="AE277" s="266" t="str">
        <f ca="1">IFERROR(IF(AF277="","",IF(AF277&lt;=0.2,"Leve",IF(AF277&lt;=0.4,"Menor",IF(AF277&lt;=0.6,"Moderado",IF(AF277&lt;=0.8,"Mayor","Catastrófico"))))),"")</f>
        <v>Menor</v>
      </c>
      <c r="AF277" s="264">
        <f ca="1">IFERROR(IF(U277="Impacto",(P277-(+P277*X277)),IF(U277="Probabilidad",P277,"")),"")</f>
        <v>0.4</v>
      </c>
      <c r="AG277" s="267" t="str">
        <f ca="1">IFERROR(IF(OR(AND(AC277="Muy Baja",AE277="Leve"),AND(AC277="Muy Baja",AE277="Menor"),AND(AC277="Baja",AE277="Leve")),"Bajo",IF(OR(AND(AC277="Muy baja",AE277="Moderado"),AND(AC277="Baja",AE277="Menor"),AND(AC277="Baja",AE277="Moderado"),AND(AC277="Media",AE277="Leve"),AND(AC277="Media",AE277="Menor"),AND(AC277="Media",AE277="Moderado"),AND(AC277="Alta",AE277="Leve"),AND(AC277="Alta",AE277="Menor")),"Moderado",IF(OR(AND(AC277="Muy Baja",AE277="Mayor"),AND(AC277="Baja",AE277="Mayor"),AND(AC277="Media",AE277="Mayor"),AND(AC277="Alta",AE277="Moderado"),AND(AC277="Alta",AE277="Mayor"),AND(AC277="Muy Alta",AE277="Leve"),AND(AC277="Muy Alta",AE277="Menor"),AND(AC277="Muy Alta",AE277="Moderado"),AND(AC277="Muy Alta",AE277="Mayor")),"Alto",IF(OR(AND(AC277="Muy Baja",AE277="Catastrófico"),AND(AC277="Baja",AE277="Catastrófico"),AND(AC277="Media",AE277="Catastrófico"),AND(AC277="Alta",AE277="Catastrófico"),AND(AC277="Muy Alta",AE277="Catastrófico")),"Extremo","")))),"")</f>
        <v>Moderado</v>
      </c>
      <c r="AH277" s="263" t="s">
        <v>26</v>
      </c>
      <c r="AI277" s="273">
        <v>4</v>
      </c>
      <c r="AJ277" s="273">
        <v>1</v>
      </c>
      <c r="AK277" s="273">
        <v>1</v>
      </c>
      <c r="AL277" s="273">
        <v>1</v>
      </c>
      <c r="AM277" s="273">
        <v>1</v>
      </c>
      <c r="AN277" s="268"/>
      <c r="AO277" s="268"/>
      <c r="AP277" s="258"/>
      <c r="AQ277" s="269"/>
      <c r="AR277" s="270"/>
      <c r="AS277" s="323"/>
      <c r="AT277" s="323"/>
      <c r="AU277" s="323"/>
      <c r="AV277" s="323"/>
      <c r="AW277" s="323"/>
      <c r="AX277" s="323"/>
      <c r="AY277" s="323"/>
      <c r="AZ277" s="323"/>
      <c r="BA277" s="323"/>
      <c r="BB277" s="323"/>
      <c r="BC277" s="323"/>
      <c r="BD277" s="323"/>
      <c r="BE277" s="323"/>
      <c r="BF277" s="323"/>
      <c r="BG277" s="323"/>
      <c r="BH277" s="323"/>
      <c r="BI277" s="323"/>
      <c r="BJ277" s="323"/>
      <c r="BK277" s="323"/>
      <c r="BL277" s="323"/>
      <c r="BM277" s="323"/>
      <c r="BN277" s="323"/>
      <c r="BO277" s="323"/>
      <c r="BP277" s="323"/>
      <c r="BQ277" s="323"/>
      <c r="BR277" s="323"/>
      <c r="BS277" s="323"/>
      <c r="BT277" s="323"/>
      <c r="BU277" s="323"/>
      <c r="BV277" s="323"/>
      <c r="BW277" s="323"/>
      <c r="BX277" s="323"/>
      <c r="BY277" s="323"/>
    </row>
    <row r="278" spans="1:77" s="113" customFormat="1" ht="101.25" x14ac:dyDescent="0.2">
      <c r="A278" s="437"/>
      <c r="B278" s="438"/>
      <c r="C278" s="434"/>
      <c r="D278" s="434"/>
      <c r="E278" s="434"/>
      <c r="F278" s="435"/>
      <c r="G278" s="756"/>
      <c r="H278" s="435"/>
      <c r="I278" s="435"/>
      <c r="J278" s="439"/>
      <c r="K278" s="430"/>
      <c r="L278" s="431"/>
      <c r="M278" s="432"/>
      <c r="N278" s="310">
        <f ca="1">IF(NOT(ISERROR(MATCH(M278,_xlfn.ANCHORARRAY(G325),0))),L327&amp;"Por favor no seleccionar los criterios de impacto",M278)</f>
        <v>0</v>
      </c>
      <c r="O278" s="430"/>
      <c r="P278" s="431"/>
      <c r="Q278" s="433"/>
      <c r="R278" s="316">
        <v>2</v>
      </c>
      <c r="S278" s="325" t="s">
        <v>1093</v>
      </c>
      <c r="T278" s="312" t="s">
        <v>293</v>
      </c>
      <c r="U278" s="208" t="str">
        <f>IF(OR(V278="Preventivo",V278="Detectivo"),"Probabilidad",IF(V278="Correctivo","Impacto",""))</f>
        <v>Probabilidad</v>
      </c>
      <c r="V278" s="237" t="s">
        <v>13</v>
      </c>
      <c r="W278" s="237" t="s">
        <v>8</v>
      </c>
      <c r="X278" s="209" t="str">
        <f t="shared" si="47"/>
        <v>40%</v>
      </c>
      <c r="Y278" s="237" t="s">
        <v>18</v>
      </c>
      <c r="Z278" s="237" t="s">
        <v>21</v>
      </c>
      <c r="AA278" s="237" t="s">
        <v>103</v>
      </c>
      <c r="AB278" s="210">
        <f t="shared" ref="AB278" si="530">IFERROR(IF(AND(U277="Probabilidad",U278="Probabilidad"),(AD277-(+AD277*X278)),IF(U278="Probabilidad",(L277-(+L277*X278)),IF(U278="Impacto",AD277,""))),"")</f>
        <v>0.216</v>
      </c>
      <c r="AC278" s="211" t="str">
        <f t="shared" ref="AC278:AC282" si="531">IFERROR(IF(AB278="","",IF(AB278&lt;=0.2,"Muy Baja",IF(AB278&lt;=0.4,"Baja",IF(AB278&lt;=0.6,"Media",IF(AB278&lt;=0.8,"Alta","Muy Alta"))))),"")</f>
        <v>Baja</v>
      </c>
      <c r="AD278" s="209">
        <f t="shared" ref="AD278:AD282" si="532">+AB278</f>
        <v>0.216</v>
      </c>
      <c r="AE278" s="211" t="str">
        <f t="shared" ref="AE278:AE282" ca="1" si="533">IFERROR(IF(AF278="","",IF(AF278&lt;=0.2,"Leve",IF(AF278&lt;=0.4,"Menor",IF(AF278&lt;=0.6,"Moderado",IF(AF278&lt;=0.8,"Mayor","Catastrófico"))))),"")</f>
        <v>Menor</v>
      </c>
      <c r="AF278" s="209">
        <f ca="1">IFERROR(IF(AND(U277="Impacto",U278="Impacto"),(AF277-(+AF277*X278)),IF(U278="Impacto",($P$31-(+$P$31*X278)),IF(U278="Probabilidad",AF277,""))),"")</f>
        <v>0.4</v>
      </c>
      <c r="AG278" s="212" t="str">
        <f t="shared" ref="AG278:AG279" ca="1" si="534">IFERROR(IF(OR(AND(AC278="Muy Baja",AE278="Leve"),AND(AC278="Muy Baja",AE278="Menor"),AND(AC278="Baja",AE278="Leve")),"Bajo",IF(OR(AND(AC278="Muy baja",AE278="Moderado"),AND(AC278="Baja",AE278="Menor"),AND(AC278="Baja",AE278="Moderado"),AND(AC278="Media",AE278="Leve"),AND(AC278="Media",AE278="Menor"),AND(AC278="Media",AE278="Moderado"),AND(AC278="Alta",AE278="Leve"),AND(AC278="Alta",AE278="Menor")),"Moderado",IF(OR(AND(AC278="Muy Baja",AE278="Mayor"),AND(AC278="Baja",AE278="Mayor"),AND(AC278="Media",AE278="Mayor"),AND(AC278="Alta",AE278="Moderado"),AND(AC278="Alta",AE278="Mayor"),AND(AC278="Muy Alta",AE278="Leve"),AND(AC278="Muy Alta",AE278="Menor"),AND(AC278="Muy Alta",AE278="Moderado"),AND(AC278="Muy Alta",AE278="Mayor")),"Alto",IF(OR(AND(AC278="Muy Baja",AE278="Catastrófico"),AND(AC278="Baja",AE278="Catastrófico"),AND(AC278="Media",AE278="Catastrófico"),AND(AC278="Alta",AE278="Catastrófico"),AND(AC278="Muy Alta",AE278="Catastrófico")),"Extremo","")))),"")</f>
        <v>Moderado</v>
      </c>
      <c r="AH278" s="237" t="s">
        <v>26</v>
      </c>
      <c r="AI278" s="273">
        <v>4</v>
      </c>
      <c r="AJ278" s="273">
        <v>1</v>
      </c>
      <c r="AK278" s="273">
        <v>1</v>
      </c>
      <c r="AL278" s="273">
        <v>1</v>
      </c>
      <c r="AM278" s="273">
        <v>1</v>
      </c>
      <c r="AN278" s="311"/>
      <c r="AO278" s="311"/>
      <c r="AP278" s="259"/>
      <c r="AQ278" s="220"/>
      <c r="AR278" s="311"/>
      <c r="AS278" s="323"/>
      <c r="AT278" s="323"/>
      <c r="AU278" s="323"/>
      <c r="AV278" s="323"/>
      <c r="AW278" s="323"/>
      <c r="AX278" s="323"/>
      <c r="AY278" s="323"/>
      <c r="AZ278" s="323"/>
      <c r="BA278" s="323"/>
      <c r="BB278" s="323"/>
      <c r="BC278" s="323"/>
      <c r="BD278" s="323"/>
      <c r="BE278" s="323"/>
      <c r="BF278" s="323"/>
      <c r="BG278" s="323"/>
      <c r="BH278" s="323"/>
      <c r="BI278" s="323"/>
      <c r="BJ278" s="323"/>
      <c r="BK278" s="323"/>
      <c r="BL278" s="323"/>
      <c r="BM278" s="323"/>
      <c r="BN278" s="323"/>
      <c r="BO278" s="323"/>
      <c r="BP278" s="323"/>
      <c r="BQ278" s="323"/>
      <c r="BR278" s="323"/>
      <c r="BS278" s="323"/>
      <c r="BT278" s="323"/>
      <c r="BU278" s="323"/>
      <c r="BV278" s="323"/>
      <c r="BW278" s="323"/>
      <c r="BX278" s="323"/>
      <c r="BY278" s="323"/>
    </row>
    <row r="279" spans="1:77" s="113" customFormat="1" ht="144.75" x14ac:dyDescent="0.2">
      <c r="A279" s="437"/>
      <c r="B279" s="438"/>
      <c r="C279" s="434"/>
      <c r="D279" s="434"/>
      <c r="E279" s="434"/>
      <c r="F279" s="435"/>
      <c r="G279" s="756"/>
      <c r="H279" s="435"/>
      <c r="I279" s="435"/>
      <c r="J279" s="439"/>
      <c r="K279" s="430"/>
      <c r="L279" s="431"/>
      <c r="M279" s="432"/>
      <c r="N279" s="310">
        <f ca="1">IF(NOT(ISERROR(MATCH(M279,_xlfn.ANCHORARRAY(G326),0))),L328&amp;"Por favor no seleccionar los criterios de impacto",M279)</f>
        <v>0</v>
      </c>
      <c r="O279" s="430"/>
      <c r="P279" s="431"/>
      <c r="Q279" s="433"/>
      <c r="R279" s="316">
        <v>3</v>
      </c>
      <c r="S279" s="325" t="s">
        <v>1094</v>
      </c>
      <c r="T279" s="312" t="s">
        <v>292</v>
      </c>
      <c r="U279" s="208" t="str">
        <f>IF(OR(V279="Preventivo",V279="Detectivo"),"Probabilidad",IF(V279="Correctivo","Impacto",""))</f>
        <v>Probabilidad</v>
      </c>
      <c r="V279" s="237" t="s">
        <v>13</v>
      </c>
      <c r="W279" s="237" t="s">
        <v>8</v>
      </c>
      <c r="X279" s="209" t="str">
        <f>IF(AND(V279="Preventivo",W279="Automático"),"50%",IF(AND(V279="Preventivo",W279="Manual"),"40%",IF(AND(V279="Detectivo",W279="Automático"),"40%",IF(AND(V279="Detectivo",W279="Manual"),"30%",IF(AND(V279="Correctivo",W279="Automático"),"35%",IF(AND(V279="Correctivo",W279="Manual"),"25%",""))))))</f>
        <v>40%</v>
      </c>
      <c r="Y279" s="237" t="s">
        <v>18</v>
      </c>
      <c r="Z279" s="237" t="s">
        <v>21</v>
      </c>
      <c r="AA279" s="237" t="s">
        <v>103</v>
      </c>
      <c r="AB279" s="210">
        <f t="shared" ref="AB279:AB282" si="535">IFERROR(IF(AND(U278="Probabilidad",U279="Probabilidad"),(AD278-(+AD278*X279)),IF(AND(U278="Impacto",U279="Probabilidad"),(AD277-(+AD277*X279)),IF(U279="Impacto",AD278,""))),"")</f>
        <v>0.12959999999999999</v>
      </c>
      <c r="AC279" s="211" t="str">
        <f t="shared" si="531"/>
        <v>Muy Baja</v>
      </c>
      <c r="AD279" s="209">
        <f t="shared" si="532"/>
        <v>0.12959999999999999</v>
      </c>
      <c r="AE279" s="211" t="str">
        <f t="shared" ca="1" si="533"/>
        <v>Menor</v>
      </c>
      <c r="AF279" s="209">
        <f ca="1">IFERROR(IF(AND(U278="Impacto",U279="Impacto"),(AF278-(+AF278*X279)),IF(U279="Impacto",($P$31-(+$P$31*X279)),IF(U279="Probabilidad",AF278,""))),"")</f>
        <v>0.4</v>
      </c>
      <c r="AG279" s="212" t="str">
        <f t="shared" ca="1" si="534"/>
        <v>Bajo</v>
      </c>
      <c r="AH279" s="237" t="s">
        <v>27</v>
      </c>
      <c r="AI279" s="318">
        <v>4</v>
      </c>
      <c r="AJ279" s="318">
        <v>1</v>
      </c>
      <c r="AK279" s="318">
        <v>1</v>
      </c>
      <c r="AL279" s="318">
        <v>1</v>
      </c>
      <c r="AM279" s="318">
        <v>1</v>
      </c>
      <c r="AN279" s="311"/>
      <c r="AO279" s="311"/>
      <c r="AP279" s="259"/>
      <c r="AQ279" s="220"/>
      <c r="AR279" s="311"/>
      <c r="AS279" s="323"/>
      <c r="AT279" s="323"/>
      <c r="AU279" s="323"/>
      <c r="AV279" s="323"/>
      <c r="AW279" s="323"/>
      <c r="AX279" s="323"/>
      <c r="AY279" s="323"/>
      <c r="AZ279" s="323"/>
      <c r="BA279" s="323"/>
      <c r="BB279" s="323"/>
      <c r="BC279" s="323"/>
      <c r="BD279" s="323"/>
      <c r="BE279" s="323"/>
      <c r="BF279" s="323"/>
      <c r="BG279" s="323"/>
      <c r="BH279" s="323"/>
      <c r="BI279" s="323"/>
      <c r="BJ279" s="323"/>
      <c r="BK279" s="323"/>
      <c r="BL279" s="323"/>
      <c r="BM279" s="323"/>
      <c r="BN279" s="323"/>
      <c r="BO279" s="323"/>
      <c r="BP279" s="323"/>
      <c r="BQ279" s="323"/>
      <c r="BR279" s="323"/>
      <c r="BS279" s="323"/>
      <c r="BT279" s="323"/>
      <c r="BU279" s="323"/>
      <c r="BV279" s="323"/>
      <c r="BW279" s="323"/>
      <c r="BX279" s="323"/>
      <c r="BY279" s="323"/>
    </row>
    <row r="280" spans="1:77" s="113" customFormat="1" ht="147" customHeight="1" x14ac:dyDescent="0.2">
      <c r="A280" s="437"/>
      <c r="B280" s="438"/>
      <c r="C280" s="434"/>
      <c r="D280" s="434"/>
      <c r="E280" s="434"/>
      <c r="F280" s="435"/>
      <c r="G280" s="756"/>
      <c r="H280" s="435"/>
      <c r="I280" s="435"/>
      <c r="J280" s="439"/>
      <c r="K280" s="430"/>
      <c r="L280" s="431"/>
      <c r="M280" s="432"/>
      <c r="N280" s="310">
        <f ca="1">IF(NOT(ISERROR(MATCH(M280,_xlfn.ANCHORARRAY(G327),0))),L329&amp;"Por favor no seleccionar los criterios de impacto",M280)</f>
        <v>0</v>
      </c>
      <c r="O280" s="430"/>
      <c r="P280" s="431"/>
      <c r="Q280" s="433"/>
      <c r="R280" s="316">
        <v>4</v>
      </c>
      <c r="S280" s="325" t="s">
        <v>1095</v>
      </c>
      <c r="T280" s="338" t="s">
        <v>292</v>
      </c>
      <c r="U280" s="302" t="str">
        <f t="shared" ref="U280:U282" si="536">IF(OR(V280="Preventivo",V280="Detectivo"),"Probabilidad",IF(V280="Correctivo","Impacto",""))</f>
        <v>Probabilidad</v>
      </c>
      <c r="V280" s="340" t="s">
        <v>13</v>
      </c>
      <c r="W280" s="340" t="s">
        <v>8</v>
      </c>
      <c r="X280" s="341" t="str">
        <f t="shared" ref="X280:X282" si="537">IF(AND(V280="Preventivo",W280="Automático"),"50%",IF(AND(V280="Preventivo",W280="Manual"),"40%",IF(AND(V280="Detectivo",W280="Automático"),"40%",IF(AND(V280="Detectivo",W280="Manual"),"30%",IF(AND(V280="Correctivo",W280="Automático"),"35%",IF(AND(V280="Correctivo",W280="Manual"),"25%",""))))))</f>
        <v>40%</v>
      </c>
      <c r="Y280" s="340" t="s">
        <v>18</v>
      </c>
      <c r="Z280" s="340" t="s">
        <v>22</v>
      </c>
      <c r="AA280" s="340" t="s">
        <v>103</v>
      </c>
      <c r="AB280" s="342">
        <f t="shared" si="535"/>
        <v>7.7759999999999996E-2</v>
      </c>
      <c r="AC280" s="343" t="str">
        <f t="shared" si="531"/>
        <v>Muy Baja</v>
      </c>
      <c r="AD280" s="341">
        <f t="shared" si="532"/>
        <v>7.7759999999999996E-2</v>
      </c>
      <c r="AE280" s="343" t="str">
        <f t="shared" ca="1" si="533"/>
        <v>Menor</v>
      </c>
      <c r="AF280" s="341">
        <f t="shared" ref="AF280:AF281" ca="1" si="538">IFERROR(IF(AND(U279="Impacto",U280="Impacto"),(AF279-(+AF279*X280)),IF(U280="Impacto",($P$31-(+$P$31*X280)),IF(U280="Probabilidad",AF279,""))),"")</f>
        <v>0.4</v>
      </c>
      <c r="AG280" s="344" t="str">
        <f ca="1">IFERROR(IF(OR(AND(AC280="Muy Baja",AE280="Leve"),AND(AC280="Muy Baja",AE280="Menor"),AND(AC280="Baja",AE280="Leve")),"Bajo",IF(OR(AND(AC280="Muy baja",AE280="Moderado"),AND(AC280="Baja",AE280="Menor"),AND(AC280="Baja",AE280="Moderado"),AND(AC280="Media",AE280="Leve"),AND(AC280="Media",AE280="Menor"),AND(AC280="Media",AE280="Moderado"),AND(AC280="Alta",AE280="Leve"),AND(AC280="Alta",AE280="Menor")),"Moderado",IF(OR(AND(AC280="Muy Baja",AE280="Mayor"),AND(AC280="Baja",AE280="Mayor"),AND(AC280="Media",AE280="Mayor"),AND(AC280="Alta",AE280="Moderado"),AND(AC280="Alta",AE280="Mayor"),AND(AC280="Muy Alta",AE280="Leve"),AND(AC280="Muy Alta",AE280="Menor"),AND(AC280="Muy Alta",AE280="Moderado"),AND(AC280="Muy Alta",AE280="Mayor")),"Alto",IF(OR(AND(AC280="Muy Baja",AE280="Catastrófico"),AND(AC280="Baja",AE280="Catastrófico"),AND(AC280="Media",AE280="Catastrófico"),AND(AC280="Alta",AE280="Catastrófico"),AND(AC280="Muy Alta",AE280="Catastrófico")),"Extremo","")))),"")</f>
        <v>Bajo</v>
      </c>
      <c r="AH280" s="340" t="s">
        <v>27</v>
      </c>
      <c r="AI280" s="345">
        <v>2</v>
      </c>
      <c r="AJ280" s="345">
        <v>0</v>
      </c>
      <c r="AK280" s="345">
        <v>1</v>
      </c>
      <c r="AL280" s="345">
        <v>0</v>
      </c>
      <c r="AM280" s="345">
        <v>1</v>
      </c>
      <c r="AN280" s="213"/>
      <c r="AO280" s="213"/>
      <c r="AP280" s="316"/>
      <c r="AQ280" s="220"/>
      <c r="AR280" s="213"/>
      <c r="AS280" s="323"/>
      <c r="AT280" s="323"/>
      <c r="AU280" s="323"/>
      <c r="AV280" s="323"/>
      <c r="AW280" s="323"/>
      <c r="AX280" s="323"/>
      <c r="AY280" s="323"/>
      <c r="AZ280" s="323"/>
      <c r="BA280" s="323"/>
      <c r="BB280" s="323"/>
      <c r="BC280" s="323"/>
      <c r="BD280" s="323"/>
      <c r="BE280" s="323"/>
      <c r="BF280" s="323"/>
      <c r="BG280" s="323"/>
      <c r="BH280" s="323"/>
      <c r="BI280" s="323"/>
      <c r="BJ280" s="323"/>
      <c r="BK280" s="323"/>
      <c r="BL280" s="323"/>
      <c r="BM280" s="323"/>
      <c r="BN280" s="323"/>
      <c r="BO280" s="323"/>
      <c r="BP280" s="323"/>
      <c r="BQ280" s="323"/>
      <c r="BR280" s="323"/>
      <c r="BS280" s="323"/>
      <c r="BT280" s="323"/>
      <c r="BU280" s="323"/>
      <c r="BV280" s="323"/>
      <c r="BW280" s="323"/>
      <c r="BX280" s="323"/>
      <c r="BY280" s="323"/>
    </row>
    <row r="281" spans="1:77" s="113" customFormat="1" ht="4.5" customHeight="1" x14ac:dyDescent="0.2">
      <c r="A281" s="437"/>
      <c r="B281" s="438"/>
      <c r="C281" s="434"/>
      <c r="D281" s="434"/>
      <c r="E281" s="434"/>
      <c r="F281" s="435"/>
      <c r="G281" s="756"/>
      <c r="H281" s="435"/>
      <c r="I281" s="435"/>
      <c r="J281" s="439"/>
      <c r="K281" s="430"/>
      <c r="L281" s="431"/>
      <c r="M281" s="432"/>
      <c r="N281" s="310">
        <f ca="1">IF(NOT(ISERROR(MATCH(M281,_xlfn.ANCHORARRAY(G328),0))),L330&amp;"Por favor no seleccionar los criterios de impacto",M281)</f>
        <v>0</v>
      </c>
      <c r="O281" s="430"/>
      <c r="P281" s="431"/>
      <c r="Q281" s="433"/>
      <c r="R281" s="316">
        <v>5</v>
      </c>
      <c r="S281" s="337"/>
      <c r="T281" s="338"/>
      <c r="U281" s="302" t="str">
        <f t="shared" si="536"/>
        <v/>
      </c>
      <c r="V281" s="340"/>
      <c r="W281" s="340"/>
      <c r="X281" s="341" t="str">
        <f t="shared" si="537"/>
        <v/>
      </c>
      <c r="Y281" s="340"/>
      <c r="Z281" s="340"/>
      <c r="AA281" s="340"/>
      <c r="AB281" s="342" t="str">
        <f t="shared" si="535"/>
        <v/>
      </c>
      <c r="AC281" s="343" t="str">
        <f t="shared" si="531"/>
        <v/>
      </c>
      <c r="AD281" s="341" t="str">
        <f t="shared" si="532"/>
        <v/>
      </c>
      <c r="AE281" s="343" t="str">
        <f t="shared" si="533"/>
        <v/>
      </c>
      <c r="AF281" s="341" t="str">
        <f t="shared" si="538"/>
        <v/>
      </c>
      <c r="AG281" s="344" t="str">
        <f t="shared" ref="AG281:AG282" si="539">IFERROR(IF(OR(AND(AC281="Muy Baja",AE281="Leve"),AND(AC281="Muy Baja",AE281="Menor"),AND(AC281="Baja",AE281="Leve")),"Bajo",IF(OR(AND(AC281="Muy baja",AE281="Moderado"),AND(AC281="Baja",AE281="Menor"),AND(AC281="Baja",AE281="Moderado"),AND(AC281="Media",AE281="Leve"),AND(AC281="Media",AE281="Menor"),AND(AC281="Media",AE281="Moderado"),AND(AC281="Alta",AE281="Leve"),AND(AC281="Alta",AE281="Menor")),"Moderado",IF(OR(AND(AC281="Muy Baja",AE281="Mayor"),AND(AC281="Baja",AE281="Mayor"),AND(AC281="Media",AE281="Mayor"),AND(AC281="Alta",AE281="Moderado"),AND(AC281="Alta",AE281="Mayor"),AND(AC281="Muy Alta",AE281="Leve"),AND(AC281="Muy Alta",AE281="Menor"),AND(AC281="Muy Alta",AE281="Moderado"),AND(AC281="Muy Alta",AE281="Mayor")),"Alto",IF(OR(AND(AC281="Muy Baja",AE281="Catastrófico"),AND(AC281="Baja",AE281="Catastrófico"),AND(AC281="Media",AE281="Catastrófico"),AND(AC281="Alta",AE281="Catastrófico"),AND(AC281="Muy Alta",AE281="Catastrófico")),"Extremo","")))),"")</f>
        <v/>
      </c>
      <c r="AH281" s="340"/>
      <c r="AI281" s="345"/>
      <c r="AJ281" s="345"/>
      <c r="AK281" s="345"/>
      <c r="AL281" s="345"/>
      <c r="AM281" s="345"/>
      <c r="AN281" s="312"/>
      <c r="AO281" s="312"/>
      <c r="AP281" s="309"/>
      <c r="AQ281" s="216"/>
      <c r="AR281" s="216"/>
      <c r="AS281" s="323"/>
      <c r="AT281" s="323"/>
      <c r="AU281" s="323"/>
      <c r="AV281" s="323"/>
      <c r="AW281" s="323"/>
      <c r="AX281" s="323"/>
      <c r="AY281" s="323"/>
      <c r="AZ281" s="323"/>
      <c r="BA281" s="323"/>
      <c r="BB281" s="323"/>
      <c r="BC281" s="323"/>
      <c r="BD281" s="323"/>
      <c r="BE281" s="323"/>
      <c r="BF281" s="323"/>
      <c r="BG281" s="323"/>
      <c r="BH281" s="323"/>
      <c r="BI281" s="323"/>
      <c r="BJ281" s="323"/>
      <c r="BK281" s="323"/>
      <c r="BL281" s="323"/>
      <c r="BM281" s="323"/>
      <c r="BN281" s="323"/>
      <c r="BO281" s="323"/>
      <c r="BP281" s="323"/>
      <c r="BQ281" s="323"/>
      <c r="BR281" s="323"/>
      <c r="BS281" s="323"/>
      <c r="BT281" s="323"/>
      <c r="BU281" s="323"/>
      <c r="BV281" s="323"/>
      <c r="BW281" s="323"/>
      <c r="BX281" s="323"/>
      <c r="BY281" s="323"/>
    </row>
    <row r="282" spans="1:77" s="113" customFormat="1" ht="4.5" customHeight="1" x14ac:dyDescent="0.2">
      <c r="A282" s="437"/>
      <c r="B282" s="438"/>
      <c r="C282" s="434"/>
      <c r="D282" s="434"/>
      <c r="E282" s="434"/>
      <c r="F282" s="435"/>
      <c r="G282" s="756"/>
      <c r="H282" s="435"/>
      <c r="I282" s="435"/>
      <c r="J282" s="439"/>
      <c r="K282" s="430"/>
      <c r="L282" s="431"/>
      <c r="M282" s="432"/>
      <c r="N282" s="310">
        <f ca="1">IF(NOT(ISERROR(MATCH(M282,_xlfn.ANCHORARRAY(G329),0))),L331&amp;"Por favor no seleccionar los criterios de impacto",M282)</f>
        <v>0</v>
      </c>
      <c r="O282" s="430"/>
      <c r="P282" s="431"/>
      <c r="Q282" s="433"/>
      <c r="R282" s="316">
        <v>6</v>
      </c>
      <c r="T282" s="312"/>
      <c r="U282" s="208" t="str">
        <f t="shared" si="536"/>
        <v/>
      </c>
      <c r="V282" s="237"/>
      <c r="W282" s="237"/>
      <c r="X282" s="209" t="str">
        <f t="shared" si="537"/>
        <v/>
      </c>
      <c r="Y282" s="237"/>
      <c r="Z282" s="237"/>
      <c r="AA282" s="237"/>
      <c r="AB282" s="210" t="str">
        <f t="shared" si="535"/>
        <v/>
      </c>
      <c r="AC282" s="211" t="str">
        <f t="shared" si="531"/>
        <v/>
      </c>
      <c r="AD282" s="209" t="str">
        <f t="shared" si="532"/>
        <v/>
      </c>
      <c r="AE282" s="211" t="str">
        <f t="shared" si="533"/>
        <v/>
      </c>
      <c r="AF282" s="209" t="str">
        <f>IFERROR(IF(AND(U281="Impacto",U282="Impacto"),(AF281-(+AF281*X282)),IF(U282="Impacto",($P$31-(+$P$31*X282)),IF(U282="Probabilidad",AF281,""))),"")</f>
        <v/>
      </c>
      <c r="AG282" s="212" t="str">
        <f t="shared" si="539"/>
        <v/>
      </c>
      <c r="AH282" s="237"/>
      <c r="AI282" s="318"/>
      <c r="AJ282" s="318"/>
      <c r="AK282" s="318"/>
      <c r="AL282" s="318"/>
      <c r="AM282" s="318"/>
      <c r="AN282" s="312"/>
      <c r="AO282" s="312"/>
      <c r="AP282" s="309"/>
      <c r="AQ282" s="216"/>
      <c r="AR282" s="216"/>
      <c r="AS282" s="323"/>
      <c r="AT282" s="323"/>
      <c r="AU282" s="323"/>
      <c r="AV282" s="323"/>
      <c r="AW282" s="323"/>
      <c r="AX282" s="323"/>
      <c r="AY282" s="323"/>
      <c r="AZ282" s="323"/>
      <c r="BA282" s="323"/>
      <c r="BB282" s="323"/>
      <c r="BC282" s="323"/>
      <c r="BD282" s="323"/>
      <c r="BE282" s="323"/>
      <c r="BF282" s="323"/>
      <c r="BG282" s="323"/>
      <c r="BH282" s="323"/>
      <c r="BI282" s="323"/>
      <c r="BJ282" s="323"/>
      <c r="BK282" s="323"/>
      <c r="BL282" s="323"/>
      <c r="BM282" s="323"/>
      <c r="BN282" s="323"/>
      <c r="BO282" s="323"/>
      <c r="BP282" s="323"/>
      <c r="BQ282" s="323"/>
      <c r="BR282" s="323"/>
      <c r="BS282" s="323"/>
      <c r="BT282" s="323"/>
      <c r="BU282" s="323"/>
      <c r="BV282" s="323"/>
      <c r="BW282" s="323"/>
      <c r="BX282" s="323"/>
      <c r="BY282" s="323"/>
    </row>
    <row r="283" spans="1:77" s="271" customFormat="1" ht="132" customHeight="1" x14ac:dyDescent="0.2">
      <c r="A283" s="437" t="s">
        <v>988</v>
      </c>
      <c r="B283" s="438" t="s">
        <v>281</v>
      </c>
      <c r="C283" s="434" t="s">
        <v>622</v>
      </c>
      <c r="D283" s="434" t="s">
        <v>109</v>
      </c>
      <c r="E283" s="435" t="s">
        <v>1086</v>
      </c>
      <c r="F283" s="435" t="s">
        <v>685</v>
      </c>
      <c r="G283" s="757" t="s">
        <v>1099</v>
      </c>
      <c r="H283" s="435" t="s">
        <v>655</v>
      </c>
      <c r="I283" s="435" t="s">
        <v>1098</v>
      </c>
      <c r="J283" s="439">
        <v>100</v>
      </c>
      <c r="K283" s="430" t="str">
        <f t="shared" ref="K283" si="540">IF(J283&lt;=0,"",IF(J283&lt;=2,"Muy Baja",IF(J283&lt;=24,"Baja",IF(J283&lt;=500,"Media",IF(J283&lt;=5000,"Alta","Muy Alta")))))</f>
        <v>Media</v>
      </c>
      <c r="L283" s="431">
        <f>IF(K283="","",IF(K283="Muy Baja",0.2,IF(K283="Baja",0.4,IF(K283="Media",0.6,IF(K283="Alta",0.8,IF(K283="Muy Alta",1,))))))</f>
        <v>0.6</v>
      </c>
      <c r="M283" s="432" t="s">
        <v>123</v>
      </c>
      <c r="N283" s="310" t="str">
        <f ca="1">IF(NOT(ISERROR(MATCH(M283,'Tabla Impacto'!$B$221:$B$223,0))),'Tabla Impacto'!$F$223&amp;"Por favor no seleccionar los criterios de impacto(Afectación Económica o presupuestal y Pérdida Reputacional)",M283)</f>
        <v xml:space="preserve">     El riesgo afecta la imagen de la entidad a nivel nacional, con efecto publicitarios sostenible a nivel país</v>
      </c>
      <c r="O283" s="430" t="str">
        <f ca="1">IF(OR(N283='Tabla Impacto'!$C$11,N283='Tabla Impacto'!$D$11),"Leve",IF(OR(N283='Tabla Impacto'!$C$12,N283='Tabla Impacto'!$D$12),"Menor",IF(OR(N283='Tabla Impacto'!$C$13,N283='Tabla Impacto'!$D$13),"Moderado",IF(OR(N283='Tabla Impacto'!$C$14,N283='Tabla Impacto'!$D$14),"Mayor",IF(OR(N283='Tabla Impacto'!$C$15,N283='Tabla Impacto'!$D$15),"Catastrófico","")))))</f>
        <v>Catastrófico</v>
      </c>
      <c r="P283" s="431">
        <f ca="1">IF(O283="","",IF(O283="Leve",0.2,IF(O283="Menor",0.4,IF(O283="Moderado",0.6,IF(O283="Mayor",0.8,IF(O283="Catastrófico",1,))))))</f>
        <v>1</v>
      </c>
      <c r="Q283" s="433" t="str">
        <f ca="1">IF(OR(AND(K283="Muy Baja",O283="Leve"),AND(K283="Muy Baja",O283="Menor"),AND(K283="Baja",O283="Leve")),"Bajo",IF(OR(AND(K283="Muy baja",O283="Moderado"),AND(K283="Baja",O283="Menor"),AND(K283="Baja",O283="Moderado"),AND(K283="Media",O283="Leve"),AND(K283="Media",O283="Menor"),AND(K283="Media",O283="Moderado"),AND(K283="Alta",O283="Leve"),AND(K283="Alta",O283="Menor")),"Moderado",IF(OR(AND(K283="Muy Baja",O283="Mayor"),AND(K283="Baja",O283="Mayor"),AND(K283="Media",O283="Mayor"),AND(K283="Alta",O283="Moderado"),AND(K283="Alta",O283="Mayor"),AND(K283="Muy Alta",O283="Leve"),AND(K283="Muy Alta",O283="Menor"),AND(K283="Muy Alta",O283="Moderado"),AND(K283="Muy Alta",O283="Mayor")),"Alto",IF(OR(AND(K283="Muy Baja",O283="Catastrófico"),AND(K283="Baja",O283="Catastrófico"),AND(K283="Media",O283="Catastrófico"),AND(K283="Alta",O283="Catastrófico"),AND(K283="Muy Alta",O283="Catastrófico")),"Extremo",""))))</f>
        <v>Extremo</v>
      </c>
      <c r="R283" s="261">
        <v>1</v>
      </c>
      <c r="S283" s="328" t="s">
        <v>1096</v>
      </c>
      <c r="T283" s="272" t="s">
        <v>293</v>
      </c>
      <c r="U283" s="262" t="str">
        <f>IF(OR(V283="Preventivo",V283="Detectivo"),"Probabilidad",IF(V283="Correctivo","Impacto",""))</f>
        <v>Probabilidad</v>
      </c>
      <c r="V283" s="263" t="s">
        <v>13</v>
      </c>
      <c r="W283" s="263" t="s">
        <v>8</v>
      </c>
      <c r="X283" s="264" t="str">
        <f t="shared" ref="X283:X284" si="541">IF(AND(V283="Preventivo",W283="Automático"),"50%",IF(AND(V283="Preventivo",W283="Manual"),"40%",IF(AND(V283="Detectivo",W283="Automático"),"40%",IF(AND(V283="Detectivo",W283="Manual"),"30%",IF(AND(V283="Correctivo",W283="Automático"),"35%",IF(AND(V283="Correctivo",W283="Manual"),"25%",""))))))</f>
        <v>40%</v>
      </c>
      <c r="Y283" s="263" t="s">
        <v>19</v>
      </c>
      <c r="Z283" s="263" t="s">
        <v>22</v>
      </c>
      <c r="AA283" s="263" t="s">
        <v>103</v>
      </c>
      <c r="AB283" s="265">
        <f t="shared" ref="AB283" si="542">IFERROR(IF(U283="Probabilidad",(L283-(+L283*X283)),IF(U283="Impacto",L283,"")),"")</f>
        <v>0.36</v>
      </c>
      <c r="AC283" s="266" t="str">
        <f>IFERROR(IF(AB283="","",IF(AB283&lt;=0.2,"Muy Baja",IF(AB283&lt;=0.4,"Baja",IF(AB283&lt;=0.6,"Media",IF(AB283&lt;=0.8,"Alta","Muy Alta"))))),"")</f>
        <v>Baja</v>
      </c>
      <c r="AD283" s="264">
        <f>+AB283</f>
        <v>0.36</v>
      </c>
      <c r="AE283" s="266" t="str">
        <f ca="1">IFERROR(IF(AF283="","",IF(AF283&lt;=0.2,"Leve",IF(AF283&lt;=0.4,"Menor",IF(AF283&lt;=0.6,"Moderado",IF(AF283&lt;=0.8,"Mayor","Catastrófico"))))),"")</f>
        <v>Catastrófico</v>
      </c>
      <c r="AF283" s="264">
        <f ca="1">IFERROR(IF(U283="Impacto",(P283-(+P283*X283)),IF(U283="Probabilidad",P283,"")),"")</f>
        <v>1</v>
      </c>
      <c r="AG283" s="267" t="str">
        <f ca="1">IFERROR(IF(OR(AND(AC283="Muy Baja",AE283="Leve"),AND(AC283="Muy Baja",AE283="Menor"),AND(AC283="Baja",AE283="Leve")),"Bajo",IF(OR(AND(AC283="Muy baja",AE283="Moderado"),AND(AC283="Baja",AE283="Menor"),AND(AC283="Baja",AE283="Moderado"),AND(AC283="Media",AE283="Leve"),AND(AC283="Media",AE283="Menor"),AND(AC283="Media",AE283="Moderado"),AND(AC283="Alta",AE283="Leve"),AND(AC283="Alta",AE283="Menor")),"Moderado",IF(OR(AND(AC283="Muy Baja",AE283="Mayor"),AND(AC283="Baja",AE283="Mayor"),AND(AC283="Media",AE283="Mayor"),AND(AC283="Alta",AE283="Moderado"),AND(AC283="Alta",AE283="Mayor"),AND(AC283="Muy Alta",AE283="Leve"),AND(AC283="Muy Alta",AE283="Menor"),AND(AC283="Muy Alta",AE283="Moderado"),AND(AC283="Muy Alta",AE283="Mayor")),"Alto",IF(OR(AND(AC283="Muy Baja",AE283="Catastrófico"),AND(AC283="Baja",AE283="Catastrófico"),AND(AC283="Media",AE283="Catastrófico"),AND(AC283="Alta",AE283="Catastrófico"),AND(AC283="Muy Alta",AE283="Catastrófico")),"Extremo","")))),"")</f>
        <v>Extremo</v>
      </c>
      <c r="AH283" s="263" t="s">
        <v>26</v>
      </c>
      <c r="AI283" s="758">
        <v>2</v>
      </c>
      <c r="AJ283" s="273">
        <v>1</v>
      </c>
      <c r="AK283" s="273">
        <v>0</v>
      </c>
      <c r="AL283" s="273">
        <v>1</v>
      </c>
      <c r="AM283" s="273">
        <v>0</v>
      </c>
      <c r="AN283" s="268"/>
      <c r="AO283" s="268"/>
      <c r="AP283" s="258"/>
      <c r="AQ283" s="269"/>
      <c r="AR283" s="270"/>
      <c r="AS283" s="323"/>
      <c r="AT283" s="323"/>
      <c r="AU283" s="323"/>
      <c r="AV283" s="323"/>
      <c r="AW283" s="323"/>
      <c r="AX283" s="323"/>
      <c r="AY283" s="323"/>
      <c r="AZ283" s="323"/>
      <c r="BA283" s="323"/>
      <c r="BB283" s="323"/>
      <c r="BC283" s="323"/>
      <c r="BD283" s="323"/>
      <c r="BE283" s="323"/>
      <c r="BF283" s="323"/>
      <c r="BG283" s="323"/>
      <c r="BH283" s="323"/>
      <c r="BI283" s="323"/>
      <c r="BJ283" s="323"/>
      <c r="BK283" s="323"/>
      <c r="BL283" s="323"/>
      <c r="BM283" s="323"/>
      <c r="BN283" s="323"/>
      <c r="BO283" s="323"/>
      <c r="BP283" s="323"/>
      <c r="BQ283" s="323"/>
      <c r="BR283" s="323"/>
      <c r="BS283" s="323"/>
      <c r="BT283" s="323"/>
      <c r="BU283" s="323"/>
      <c r="BV283" s="323"/>
      <c r="BW283" s="323"/>
      <c r="BX283" s="323"/>
      <c r="BY283" s="323"/>
    </row>
    <row r="284" spans="1:77" s="113" customFormat="1" ht="101.25" x14ac:dyDescent="0.2">
      <c r="A284" s="437"/>
      <c r="B284" s="438"/>
      <c r="C284" s="434"/>
      <c r="D284" s="434"/>
      <c r="E284" s="435"/>
      <c r="F284" s="435"/>
      <c r="G284" s="757"/>
      <c r="H284" s="435"/>
      <c r="I284" s="435"/>
      <c r="J284" s="439"/>
      <c r="K284" s="430"/>
      <c r="L284" s="431"/>
      <c r="M284" s="432"/>
      <c r="N284" s="310">
        <f ca="1">IF(NOT(ISERROR(MATCH(M284,_xlfn.ANCHORARRAY(G331),0))),L333&amp;"Por favor no seleccionar los criterios de impacto",M284)</f>
        <v>0</v>
      </c>
      <c r="O284" s="430"/>
      <c r="P284" s="431"/>
      <c r="Q284" s="433"/>
      <c r="R284" s="316">
        <v>2</v>
      </c>
      <c r="S284" s="325" t="s">
        <v>1097</v>
      </c>
      <c r="T284" s="312" t="s">
        <v>293</v>
      </c>
      <c r="U284" s="208" t="str">
        <f>IF(OR(V284="Preventivo",V284="Detectivo"),"Probabilidad",IF(V284="Correctivo","Impacto",""))</f>
        <v>Probabilidad</v>
      </c>
      <c r="V284" s="237" t="s">
        <v>13</v>
      </c>
      <c r="W284" s="237" t="s">
        <v>8</v>
      </c>
      <c r="X284" s="209" t="str">
        <f t="shared" si="541"/>
        <v>40%</v>
      </c>
      <c r="Y284" s="237" t="s">
        <v>19</v>
      </c>
      <c r="Z284" s="237" t="s">
        <v>21</v>
      </c>
      <c r="AA284" s="237" t="s">
        <v>103</v>
      </c>
      <c r="AB284" s="210">
        <f t="shared" ref="AB284" si="543">IFERROR(IF(AND(U283="Probabilidad",U284="Probabilidad"),(AD283-(+AD283*X284)),IF(U284="Probabilidad",(L283-(+L283*X284)),IF(U284="Impacto",AD283,""))),"")</f>
        <v>0.216</v>
      </c>
      <c r="AC284" s="211" t="str">
        <f t="shared" ref="AC284:AC288" si="544">IFERROR(IF(AB284="","",IF(AB284&lt;=0.2,"Muy Baja",IF(AB284&lt;=0.4,"Baja",IF(AB284&lt;=0.6,"Media",IF(AB284&lt;=0.8,"Alta","Muy Alta"))))),"")</f>
        <v>Baja</v>
      </c>
      <c r="AD284" s="209">
        <f t="shared" ref="AD284:AD288" si="545">+AB284</f>
        <v>0.216</v>
      </c>
      <c r="AE284" s="211" t="str">
        <f t="shared" ref="AE284:AE288" ca="1" si="546">IFERROR(IF(AF284="","",IF(AF284&lt;=0.2,"Leve",IF(AF284&lt;=0.4,"Menor",IF(AF284&lt;=0.6,"Moderado",IF(AF284&lt;=0.8,"Mayor","Catastrófico"))))),"")</f>
        <v>Catastrófico</v>
      </c>
      <c r="AF284" s="209">
        <f ca="1">IFERROR(IF(AND(U283="Impacto",U284="Impacto"),(AF283-(+AF283*X284)),IF(U284="Impacto",($P$31-(+$P$31*X284)),IF(U284="Probabilidad",AF283,""))),"")</f>
        <v>1</v>
      </c>
      <c r="AG284" s="212" t="str">
        <f t="shared" ref="AG284:AG285" ca="1" si="547">IFERROR(IF(OR(AND(AC284="Muy Baja",AE284="Leve"),AND(AC284="Muy Baja",AE284="Menor"),AND(AC284="Baja",AE284="Leve")),"Bajo",IF(OR(AND(AC284="Muy baja",AE284="Moderado"),AND(AC284="Baja",AE284="Menor"),AND(AC284="Baja",AE284="Moderado"),AND(AC284="Media",AE284="Leve"),AND(AC284="Media",AE284="Menor"),AND(AC284="Media",AE284="Moderado"),AND(AC284="Alta",AE284="Leve"),AND(AC284="Alta",AE284="Menor")),"Moderado",IF(OR(AND(AC284="Muy Baja",AE284="Mayor"),AND(AC284="Baja",AE284="Mayor"),AND(AC284="Media",AE284="Mayor"),AND(AC284="Alta",AE284="Moderado"),AND(AC284="Alta",AE284="Mayor"),AND(AC284="Muy Alta",AE284="Leve"),AND(AC284="Muy Alta",AE284="Menor"),AND(AC284="Muy Alta",AE284="Moderado"),AND(AC284="Muy Alta",AE284="Mayor")),"Alto",IF(OR(AND(AC284="Muy Baja",AE284="Catastrófico"),AND(AC284="Baja",AE284="Catastrófico"),AND(AC284="Media",AE284="Catastrófico"),AND(AC284="Alta",AE284="Catastrófico"),AND(AC284="Muy Alta",AE284="Catastrófico")),"Extremo","")))),"")</f>
        <v>Extremo</v>
      </c>
      <c r="AH284" s="237" t="s">
        <v>26</v>
      </c>
      <c r="AI284" s="339">
        <v>6</v>
      </c>
      <c r="AJ284" s="339">
        <v>1</v>
      </c>
      <c r="AK284" s="339">
        <v>2</v>
      </c>
      <c r="AL284" s="339">
        <v>1</v>
      </c>
      <c r="AM284" s="339">
        <v>2</v>
      </c>
      <c r="AN284" s="311"/>
      <c r="AO284" s="311"/>
      <c r="AP284" s="259"/>
      <c r="AQ284" s="220"/>
      <c r="AR284" s="311"/>
      <c r="AS284" s="323"/>
      <c r="AT284" s="323"/>
      <c r="AU284" s="323"/>
      <c r="AV284" s="323"/>
      <c r="AW284" s="323"/>
      <c r="AX284" s="323"/>
      <c r="AY284" s="323"/>
      <c r="AZ284" s="323"/>
      <c r="BA284" s="323"/>
      <c r="BB284" s="323"/>
      <c r="BC284" s="323"/>
      <c r="BD284" s="323"/>
      <c r="BE284" s="323"/>
      <c r="BF284" s="323"/>
      <c r="BG284" s="323"/>
      <c r="BH284" s="323"/>
      <c r="BI284" s="323"/>
      <c r="BJ284" s="323"/>
      <c r="BK284" s="323"/>
      <c r="BL284" s="323"/>
      <c r="BM284" s="323"/>
      <c r="BN284" s="323"/>
      <c r="BO284" s="323"/>
      <c r="BP284" s="323"/>
      <c r="BQ284" s="323"/>
      <c r="BR284" s="323"/>
      <c r="BS284" s="323"/>
      <c r="BT284" s="323"/>
      <c r="BU284" s="323"/>
      <c r="BV284" s="323"/>
      <c r="BW284" s="323"/>
      <c r="BX284" s="323"/>
      <c r="BY284" s="323"/>
    </row>
    <row r="285" spans="1:77" s="113" customFormat="1" ht="14.25" hidden="1" customHeight="1" x14ac:dyDescent="0.2">
      <c r="A285" s="437"/>
      <c r="B285" s="438"/>
      <c r="C285" s="434"/>
      <c r="D285" s="434"/>
      <c r="E285" s="435"/>
      <c r="F285" s="435"/>
      <c r="G285" s="757"/>
      <c r="H285" s="435"/>
      <c r="I285" s="435"/>
      <c r="J285" s="439"/>
      <c r="K285" s="430"/>
      <c r="L285" s="431"/>
      <c r="M285" s="432"/>
      <c r="N285" s="310">
        <f ca="1">IF(NOT(ISERROR(MATCH(M285,_xlfn.ANCHORARRAY(G332),0))),L334&amp;"Por favor no seleccionar los criterios de impacto",M285)</f>
        <v>0</v>
      </c>
      <c r="O285" s="430"/>
      <c r="P285" s="431"/>
      <c r="Q285" s="433"/>
      <c r="R285" s="316">
        <v>3</v>
      </c>
      <c r="S285" s="330"/>
      <c r="T285" s="312"/>
      <c r="U285" s="208" t="str">
        <f>IF(OR(V285="Preventivo",V285="Detectivo"),"Probabilidad",IF(V285="Correctivo","Impacto",""))</f>
        <v/>
      </c>
      <c r="V285" s="237"/>
      <c r="W285" s="237"/>
      <c r="X285" s="209" t="str">
        <f>IF(AND(V285="Preventivo",W285="Automático"),"50%",IF(AND(V285="Preventivo",W285="Manual"),"40%",IF(AND(V285="Detectivo",W285="Automático"),"40%",IF(AND(V285="Detectivo",W285="Manual"),"30%",IF(AND(V285="Correctivo",W285="Automático"),"35%",IF(AND(V285="Correctivo",W285="Manual"),"25%",""))))))</f>
        <v/>
      </c>
      <c r="Y285" s="237"/>
      <c r="Z285" s="237"/>
      <c r="AA285" s="237"/>
      <c r="AB285" s="210" t="str">
        <f t="shared" ref="AB285:AB288" si="548">IFERROR(IF(AND(U284="Probabilidad",U285="Probabilidad"),(AD284-(+AD284*X285)),IF(AND(U284="Impacto",U285="Probabilidad"),(AD283-(+AD283*X285)),IF(U285="Impacto",AD284,""))),"")</f>
        <v/>
      </c>
      <c r="AC285" s="211" t="str">
        <f t="shared" si="544"/>
        <v/>
      </c>
      <c r="AD285" s="209" t="str">
        <f t="shared" si="545"/>
        <v/>
      </c>
      <c r="AE285" s="211" t="str">
        <f t="shared" si="546"/>
        <v/>
      </c>
      <c r="AF285" s="209" t="str">
        <f>IFERROR(IF(AND(U284="Impacto",U285="Impacto"),(AF284-(+AF284*X285)),IF(U285="Impacto",($P$31-(+$P$31*X285)),IF(U285="Probabilidad",AF284,""))),"")</f>
        <v/>
      </c>
      <c r="AG285" s="212" t="str">
        <f t="shared" si="547"/>
        <v/>
      </c>
      <c r="AH285" s="237"/>
      <c r="AI285" s="318"/>
      <c r="AJ285" s="318"/>
      <c r="AK285" s="318"/>
      <c r="AL285" s="318"/>
      <c r="AM285" s="318"/>
      <c r="AN285" s="311"/>
      <c r="AO285" s="311"/>
      <c r="AP285" s="259"/>
      <c r="AQ285" s="220"/>
      <c r="AR285" s="311"/>
      <c r="AS285" s="323"/>
      <c r="AT285" s="323"/>
      <c r="AU285" s="323"/>
      <c r="AV285" s="323"/>
      <c r="AW285" s="323"/>
      <c r="AX285" s="323"/>
      <c r="AY285" s="323"/>
      <c r="AZ285" s="323"/>
      <c r="BA285" s="323"/>
      <c r="BB285" s="323"/>
      <c r="BC285" s="323"/>
      <c r="BD285" s="323"/>
      <c r="BE285" s="323"/>
      <c r="BF285" s="323"/>
      <c r="BG285" s="323"/>
      <c r="BH285" s="323"/>
      <c r="BI285" s="323"/>
      <c r="BJ285" s="323"/>
      <c r="BK285" s="323"/>
      <c r="BL285" s="323"/>
      <c r="BM285" s="323"/>
      <c r="BN285" s="323"/>
      <c r="BO285" s="323"/>
      <c r="BP285" s="323"/>
      <c r="BQ285" s="323"/>
      <c r="BR285" s="323"/>
      <c r="BS285" s="323"/>
      <c r="BT285" s="323"/>
      <c r="BU285" s="323"/>
      <c r="BV285" s="323"/>
      <c r="BW285" s="323"/>
      <c r="BX285" s="323"/>
      <c r="BY285" s="323"/>
    </row>
    <row r="286" spans="1:77" s="113" customFormat="1" ht="14.25" hidden="1" customHeight="1" x14ac:dyDescent="0.2">
      <c r="A286" s="437"/>
      <c r="B286" s="438"/>
      <c r="C286" s="434"/>
      <c r="D286" s="434"/>
      <c r="E286" s="435"/>
      <c r="F286" s="435"/>
      <c r="G286" s="757"/>
      <c r="H286" s="435"/>
      <c r="I286" s="435"/>
      <c r="J286" s="439"/>
      <c r="K286" s="430"/>
      <c r="L286" s="431"/>
      <c r="M286" s="432"/>
      <c r="N286" s="310">
        <f ca="1">IF(NOT(ISERROR(MATCH(M286,_xlfn.ANCHORARRAY(G333),0))),L335&amp;"Por favor no seleccionar los criterios de impacto",M286)</f>
        <v>0</v>
      </c>
      <c r="O286" s="430"/>
      <c r="P286" s="431"/>
      <c r="Q286" s="433"/>
      <c r="R286" s="316">
        <v>4</v>
      </c>
      <c r="S286" s="330"/>
      <c r="T286" s="312"/>
      <c r="U286" s="208" t="str">
        <f t="shared" ref="U286:U288" si="549">IF(OR(V286="Preventivo",V286="Detectivo"),"Probabilidad",IF(V286="Correctivo","Impacto",""))</f>
        <v/>
      </c>
      <c r="V286" s="237"/>
      <c r="W286" s="237"/>
      <c r="X286" s="209" t="str">
        <f t="shared" ref="X286:X288" si="550">IF(AND(V286="Preventivo",W286="Automático"),"50%",IF(AND(V286="Preventivo",W286="Manual"),"40%",IF(AND(V286="Detectivo",W286="Automático"),"40%",IF(AND(V286="Detectivo",W286="Manual"),"30%",IF(AND(V286="Correctivo",W286="Automático"),"35%",IF(AND(V286="Correctivo",W286="Manual"),"25%",""))))))</f>
        <v/>
      </c>
      <c r="Y286" s="237"/>
      <c r="Z286" s="237"/>
      <c r="AA286" s="237"/>
      <c r="AB286" s="210" t="str">
        <f t="shared" si="548"/>
        <v/>
      </c>
      <c r="AC286" s="211" t="str">
        <f t="shared" si="544"/>
        <v/>
      </c>
      <c r="AD286" s="209" t="str">
        <f t="shared" si="545"/>
        <v/>
      </c>
      <c r="AE286" s="211" t="str">
        <f t="shared" si="546"/>
        <v/>
      </c>
      <c r="AF286" s="209" t="str">
        <f t="shared" ref="AF286:AF287" si="551">IFERROR(IF(AND(U285="Impacto",U286="Impacto"),(AF285-(+AF285*X286)),IF(U286="Impacto",($P$31-(+$P$31*X286)),IF(U286="Probabilidad",AF285,""))),"")</f>
        <v/>
      </c>
      <c r="AG286" s="212" t="str">
        <f>IFERROR(IF(OR(AND(AC286="Muy Baja",AE286="Leve"),AND(AC286="Muy Baja",AE286="Menor"),AND(AC286="Baja",AE286="Leve")),"Bajo",IF(OR(AND(AC286="Muy baja",AE286="Moderado"),AND(AC286="Baja",AE286="Menor"),AND(AC286="Baja",AE286="Moderado"),AND(AC286="Media",AE286="Leve"),AND(AC286="Media",AE286="Menor"),AND(AC286="Media",AE286="Moderado"),AND(AC286="Alta",AE286="Leve"),AND(AC286="Alta",AE286="Menor")),"Moderado",IF(OR(AND(AC286="Muy Baja",AE286="Mayor"),AND(AC286="Baja",AE286="Mayor"),AND(AC286="Media",AE286="Mayor"),AND(AC286="Alta",AE286="Moderado"),AND(AC286="Alta",AE286="Mayor"),AND(AC286="Muy Alta",AE286="Leve"),AND(AC286="Muy Alta",AE286="Menor"),AND(AC286="Muy Alta",AE286="Moderado"),AND(AC286="Muy Alta",AE286="Mayor")),"Alto",IF(OR(AND(AC286="Muy Baja",AE286="Catastrófico"),AND(AC286="Baja",AE286="Catastrófico"),AND(AC286="Media",AE286="Catastrófico"),AND(AC286="Alta",AE286="Catastrófico"),AND(AC286="Muy Alta",AE286="Catastrófico")),"Extremo","")))),"")</f>
        <v/>
      </c>
      <c r="AH286" s="237"/>
      <c r="AI286" s="318"/>
      <c r="AJ286" s="318"/>
      <c r="AK286" s="318"/>
      <c r="AL286" s="318"/>
      <c r="AM286" s="318"/>
      <c r="AN286" s="213"/>
      <c r="AO286" s="213"/>
      <c r="AP286" s="316"/>
      <c r="AQ286" s="220"/>
      <c r="AR286" s="213"/>
      <c r="AS286" s="323"/>
      <c r="AT286" s="323"/>
      <c r="AU286" s="323"/>
      <c r="AV286" s="323"/>
      <c r="AW286" s="323"/>
      <c r="AX286" s="323"/>
      <c r="AY286" s="323"/>
      <c r="AZ286" s="323"/>
      <c r="BA286" s="323"/>
      <c r="BB286" s="323"/>
      <c r="BC286" s="323"/>
      <c r="BD286" s="323"/>
      <c r="BE286" s="323"/>
      <c r="BF286" s="323"/>
      <c r="BG286" s="323"/>
      <c r="BH286" s="323"/>
      <c r="BI286" s="323"/>
      <c r="BJ286" s="323"/>
      <c r="BK286" s="323"/>
      <c r="BL286" s="323"/>
      <c r="BM286" s="323"/>
      <c r="BN286" s="323"/>
      <c r="BO286" s="323"/>
      <c r="BP286" s="323"/>
      <c r="BQ286" s="323"/>
      <c r="BR286" s="323"/>
      <c r="BS286" s="323"/>
      <c r="BT286" s="323"/>
      <c r="BU286" s="323"/>
      <c r="BV286" s="323"/>
      <c r="BW286" s="323"/>
      <c r="BX286" s="323"/>
      <c r="BY286" s="323"/>
    </row>
    <row r="287" spans="1:77" s="113" customFormat="1" ht="14.25" hidden="1" customHeight="1" x14ac:dyDescent="0.2">
      <c r="A287" s="437"/>
      <c r="B287" s="438"/>
      <c r="C287" s="434"/>
      <c r="D287" s="434"/>
      <c r="E287" s="435"/>
      <c r="F287" s="435"/>
      <c r="G287" s="757"/>
      <c r="H287" s="435"/>
      <c r="I287" s="435"/>
      <c r="J287" s="439"/>
      <c r="K287" s="430"/>
      <c r="L287" s="431"/>
      <c r="M287" s="432"/>
      <c r="N287" s="310">
        <f ca="1">IF(NOT(ISERROR(MATCH(M287,_xlfn.ANCHORARRAY(G334),0))),L336&amp;"Por favor no seleccionar los criterios de impacto",M287)</f>
        <v>0</v>
      </c>
      <c r="O287" s="430"/>
      <c r="P287" s="431"/>
      <c r="Q287" s="433"/>
      <c r="R287" s="316">
        <v>5</v>
      </c>
      <c r="S287" s="330"/>
      <c r="T287" s="312"/>
      <c r="U287" s="208" t="str">
        <f t="shared" si="549"/>
        <v/>
      </c>
      <c r="V287" s="237"/>
      <c r="W287" s="237"/>
      <c r="X287" s="209" t="str">
        <f t="shared" si="550"/>
        <v/>
      </c>
      <c r="Y287" s="237"/>
      <c r="Z287" s="237"/>
      <c r="AA287" s="237"/>
      <c r="AB287" s="210" t="str">
        <f t="shared" si="548"/>
        <v/>
      </c>
      <c r="AC287" s="211" t="str">
        <f t="shared" si="544"/>
        <v/>
      </c>
      <c r="AD287" s="209" t="str">
        <f t="shared" si="545"/>
        <v/>
      </c>
      <c r="AE287" s="211" t="str">
        <f t="shared" si="546"/>
        <v/>
      </c>
      <c r="AF287" s="209" t="str">
        <f t="shared" si="551"/>
        <v/>
      </c>
      <c r="AG287" s="212" t="str">
        <f t="shared" ref="AG287:AG288" si="552">IFERROR(IF(OR(AND(AC287="Muy Baja",AE287="Leve"),AND(AC287="Muy Baja",AE287="Menor"),AND(AC287="Baja",AE287="Leve")),"Bajo",IF(OR(AND(AC287="Muy baja",AE287="Moderado"),AND(AC287="Baja",AE287="Menor"),AND(AC287="Baja",AE287="Moderado"),AND(AC287="Media",AE287="Leve"),AND(AC287="Media",AE287="Menor"),AND(AC287="Media",AE287="Moderado"),AND(AC287="Alta",AE287="Leve"),AND(AC287="Alta",AE287="Menor")),"Moderado",IF(OR(AND(AC287="Muy Baja",AE287="Mayor"),AND(AC287="Baja",AE287="Mayor"),AND(AC287="Media",AE287="Mayor"),AND(AC287="Alta",AE287="Moderado"),AND(AC287="Alta",AE287="Mayor"),AND(AC287="Muy Alta",AE287="Leve"),AND(AC287="Muy Alta",AE287="Menor"),AND(AC287="Muy Alta",AE287="Moderado"),AND(AC287="Muy Alta",AE287="Mayor")),"Alto",IF(OR(AND(AC287="Muy Baja",AE287="Catastrófico"),AND(AC287="Baja",AE287="Catastrófico"),AND(AC287="Media",AE287="Catastrófico"),AND(AC287="Alta",AE287="Catastrófico"),AND(AC287="Muy Alta",AE287="Catastrófico")),"Extremo","")))),"")</f>
        <v/>
      </c>
      <c r="AH287" s="237"/>
      <c r="AI287" s="318"/>
      <c r="AJ287" s="318"/>
      <c r="AK287" s="318"/>
      <c r="AL287" s="318"/>
      <c r="AM287" s="318"/>
      <c r="AN287" s="312"/>
      <c r="AO287" s="312"/>
      <c r="AP287" s="309"/>
      <c r="AQ287" s="216"/>
      <c r="AR287" s="216"/>
      <c r="AS287" s="323"/>
      <c r="AT287" s="323"/>
      <c r="AU287" s="323"/>
      <c r="AV287" s="323"/>
      <c r="AW287" s="323"/>
      <c r="AX287" s="323"/>
      <c r="AY287" s="323"/>
      <c r="AZ287" s="323"/>
      <c r="BA287" s="323"/>
      <c r="BB287" s="323"/>
      <c r="BC287" s="323"/>
      <c r="BD287" s="323"/>
      <c r="BE287" s="323"/>
      <c r="BF287" s="323"/>
      <c r="BG287" s="323"/>
      <c r="BH287" s="323"/>
      <c r="BI287" s="323"/>
      <c r="BJ287" s="323"/>
      <c r="BK287" s="323"/>
      <c r="BL287" s="323"/>
      <c r="BM287" s="323"/>
      <c r="BN287" s="323"/>
      <c r="BO287" s="323"/>
      <c r="BP287" s="323"/>
      <c r="BQ287" s="323"/>
      <c r="BR287" s="323"/>
      <c r="BS287" s="323"/>
      <c r="BT287" s="323"/>
      <c r="BU287" s="323"/>
      <c r="BV287" s="323"/>
      <c r="BW287" s="323"/>
      <c r="BX287" s="323"/>
      <c r="BY287" s="323"/>
    </row>
    <row r="288" spans="1:77" s="113" customFormat="1" ht="14.25" hidden="1" customHeight="1" x14ac:dyDescent="0.2">
      <c r="A288" s="437"/>
      <c r="B288" s="438"/>
      <c r="C288" s="434"/>
      <c r="D288" s="434"/>
      <c r="E288" s="435"/>
      <c r="F288" s="435"/>
      <c r="G288" s="757"/>
      <c r="H288" s="435"/>
      <c r="I288" s="435"/>
      <c r="J288" s="439"/>
      <c r="K288" s="430"/>
      <c r="L288" s="431"/>
      <c r="M288" s="432"/>
      <c r="N288" s="310">
        <f ca="1">IF(NOT(ISERROR(MATCH(M288,_xlfn.ANCHORARRAY(G335),0))),#REF!&amp;"Por favor no seleccionar los criterios de impacto",M288)</f>
        <v>0</v>
      </c>
      <c r="O288" s="430"/>
      <c r="P288" s="431"/>
      <c r="Q288" s="433"/>
      <c r="R288" s="316">
        <v>6</v>
      </c>
      <c r="S288" s="330"/>
      <c r="T288" s="312"/>
      <c r="U288" s="208" t="str">
        <f t="shared" si="549"/>
        <v/>
      </c>
      <c r="V288" s="237"/>
      <c r="W288" s="237"/>
      <c r="X288" s="209" t="str">
        <f t="shared" si="550"/>
        <v/>
      </c>
      <c r="Y288" s="237"/>
      <c r="Z288" s="237"/>
      <c r="AA288" s="237"/>
      <c r="AB288" s="210" t="str">
        <f t="shared" si="548"/>
        <v/>
      </c>
      <c r="AC288" s="211" t="str">
        <f t="shared" si="544"/>
        <v/>
      </c>
      <c r="AD288" s="209" t="str">
        <f t="shared" si="545"/>
        <v/>
      </c>
      <c r="AE288" s="211" t="str">
        <f t="shared" si="546"/>
        <v/>
      </c>
      <c r="AF288" s="209" t="str">
        <f>IFERROR(IF(AND(U287="Impacto",U288="Impacto"),(AF287-(+AF287*X288)),IF(U288="Impacto",($P$31-(+$P$31*X288)),IF(U288="Probabilidad",AF287,""))),"")</f>
        <v/>
      </c>
      <c r="AG288" s="212" t="str">
        <f t="shared" si="552"/>
        <v/>
      </c>
      <c r="AH288" s="237"/>
      <c r="AI288" s="318"/>
      <c r="AJ288" s="318"/>
      <c r="AK288" s="318"/>
      <c r="AL288" s="318"/>
      <c r="AM288" s="318"/>
      <c r="AN288" s="312"/>
      <c r="AO288" s="312"/>
      <c r="AP288" s="309"/>
      <c r="AQ288" s="216"/>
      <c r="AR288" s="216"/>
      <c r="AS288" s="323"/>
      <c r="AT288" s="323"/>
      <c r="AU288" s="323"/>
      <c r="AV288" s="323"/>
      <c r="AW288" s="323"/>
      <c r="AX288" s="323"/>
      <c r="AY288" s="323"/>
      <c r="AZ288" s="323"/>
      <c r="BA288" s="323"/>
      <c r="BB288" s="323"/>
      <c r="BC288" s="323"/>
      <c r="BD288" s="323"/>
      <c r="BE288" s="323"/>
      <c r="BF288" s="323"/>
      <c r="BG288" s="323"/>
      <c r="BH288" s="323"/>
      <c r="BI288" s="323"/>
      <c r="BJ288" s="323"/>
      <c r="BK288" s="323"/>
      <c r="BL288" s="323"/>
      <c r="BM288" s="323"/>
      <c r="BN288" s="323"/>
      <c r="BO288" s="323"/>
      <c r="BP288" s="323"/>
      <c r="BQ288" s="323"/>
      <c r="BR288" s="323"/>
      <c r="BS288" s="323"/>
      <c r="BT288" s="323"/>
      <c r="BU288" s="323"/>
      <c r="BV288" s="323"/>
      <c r="BW288" s="323"/>
      <c r="BX288" s="323"/>
      <c r="BY288" s="323"/>
    </row>
    <row r="289" spans="1:77" s="271" customFormat="1" ht="128.25" x14ac:dyDescent="0.2">
      <c r="A289" s="437" t="s">
        <v>989</v>
      </c>
      <c r="B289" s="438" t="s">
        <v>280</v>
      </c>
      <c r="C289" s="434" t="s">
        <v>620</v>
      </c>
      <c r="D289" s="434" t="s">
        <v>107</v>
      </c>
      <c r="E289" s="434" t="s">
        <v>991</v>
      </c>
      <c r="F289" s="435" t="s">
        <v>685</v>
      </c>
      <c r="G289" s="436" t="s">
        <v>990</v>
      </c>
      <c r="H289" s="435" t="s">
        <v>655</v>
      </c>
      <c r="I289" s="435" t="s">
        <v>1030</v>
      </c>
      <c r="J289" s="439">
        <v>1</v>
      </c>
      <c r="K289" s="430" t="str">
        <f t="shared" ref="K289:K331" si="553">IF(J289&lt;=0,"",IF(J289&lt;=2,"Muy Baja",IF(J289&lt;=24,"Baja",IF(J289&lt;=500,"Media",IF(J289&lt;=5000,"Alta","Muy Alta")))))</f>
        <v>Muy Baja</v>
      </c>
      <c r="L289" s="431">
        <f>IF(K289="","",IF(K289="Muy Baja",0.2,IF(K289="Baja",0.4,IF(K289="Media",0.6,IF(K289="Alta",0.8,IF(K289="Muy Alta",1,))))))</f>
        <v>0.2</v>
      </c>
      <c r="M289" s="432" t="s">
        <v>121</v>
      </c>
      <c r="N289" s="431" t="str">
        <f ca="1">IF(NOT(ISERROR(MATCH(M289,'Tabla Impacto'!$B$221:$B$223,0))),'Tabla Impacto'!$F$223&amp;"Por favor no seleccionar los criterios de impacto(Afectación Económica o presupuestal y Pérdida Reputacional)",M289)</f>
        <v xml:space="preserve">     El riesgo afecta la imagen de la entidad con algunos usuarios de relevancia frente al logro de los objetivos</v>
      </c>
      <c r="O289" s="430" t="str">
        <f ca="1">IF(OR(N289='Tabla Impacto'!$C$11,N289='Tabla Impacto'!$D$11),"Leve",IF(OR(N289='Tabla Impacto'!$C$12,N289='Tabla Impacto'!$D$12),"Menor",IF(OR(N289='Tabla Impacto'!$C$13,N289='Tabla Impacto'!$D$13),"Moderado",IF(OR(N289='Tabla Impacto'!$C$14,N289='Tabla Impacto'!$D$14),"Mayor",IF(OR(N289='Tabla Impacto'!$C$15,N289='Tabla Impacto'!$D$15),"Catastrófico","")))))</f>
        <v>Moderado</v>
      </c>
      <c r="P289" s="431">
        <f ca="1">IF(O289="","",IF(O289="Leve",0.2,IF(O289="Menor",0.4,IF(O289="Moderado",0.6,IF(O289="Mayor",0.8,IF(O289="Catastrófico",1,))))))</f>
        <v>0.6</v>
      </c>
      <c r="Q289" s="433" t="str">
        <f ca="1">IF(OR(AND(K289="Muy Baja",O289="Leve"),AND(K289="Muy Baja",O289="Menor"),AND(K289="Baja",O289="Leve")),"Bajo",IF(OR(AND(K289="Muy baja",O289="Moderado"),AND(K289="Baja",O289="Menor"),AND(K289="Baja",O289="Moderado"),AND(K289="Media",O289="Leve"),AND(K289="Media",O289="Menor"),AND(K289="Media",O289="Moderado"),AND(K289="Alta",O289="Leve"),AND(K289="Alta",O289="Menor")),"Moderado",IF(OR(AND(K289="Muy Baja",O289="Mayor"),AND(K289="Baja",O289="Mayor"),AND(K289="Media",O289="Mayor"),AND(K289="Alta",O289="Moderado"),AND(K289="Alta",O289="Mayor"),AND(K289="Muy Alta",O289="Leve"),AND(K289="Muy Alta",O289="Menor"),AND(K289="Muy Alta",O289="Moderado"),AND(K289="Muy Alta",O289="Mayor")),"Alto",IF(OR(AND(K289="Muy Baja",O289="Catastrófico"),AND(K289="Baja",O289="Catastrófico"),AND(K289="Media",O289="Catastrófico"),AND(K289="Alta",O289="Catastrófico"),AND(K289="Muy Alta",O289="Catastrófico")),"Extremo",""))))</f>
        <v>Moderado</v>
      </c>
      <c r="R289" s="261">
        <v>1</v>
      </c>
      <c r="S289" s="334" t="s">
        <v>992</v>
      </c>
      <c r="T289" s="272" t="s">
        <v>293</v>
      </c>
      <c r="U289" s="262" t="str">
        <f>IF(OR(V289="Preventivo",V289="Detectivo"),"Probabilidad",IF(V289="Correctivo","Impacto",""))</f>
        <v>Probabilidad</v>
      </c>
      <c r="V289" s="263" t="s">
        <v>13</v>
      </c>
      <c r="W289" s="263" t="s">
        <v>8</v>
      </c>
      <c r="X289" s="264" t="str">
        <f t="shared" si="47"/>
        <v>40%</v>
      </c>
      <c r="Y289" s="263" t="s">
        <v>18</v>
      </c>
      <c r="Z289" s="263" t="s">
        <v>21</v>
      </c>
      <c r="AA289" s="263" t="s">
        <v>103</v>
      </c>
      <c r="AB289" s="265">
        <f t="shared" ref="AB289" si="554">IFERROR(IF(U289="Probabilidad",(L289-(+L289*X289)),IF(U289="Impacto",L289,"")),"")</f>
        <v>0.12</v>
      </c>
      <c r="AC289" s="266" t="str">
        <f>IFERROR(IF(AB289="","",IF(AB289&lt;=0.2,"Muy Baja",IF(AB289&lt;=0.4,"Baja",IF(AB289&lt;=0.6,"Media",IF(AB289&lt;=0.8,"Alta","Muy Alta"))))),"")</f>
        <v>Muy Baja</v>
      </c>
      <c r="AD289" s="264">
        <f>+AB289</f>
        <v>0.12</v>
      </c>
      <c r="AE289" s="266" t="str">
        <f ca="1">IFERROR(IF(AF289="","",IF(AF289&lt;=0.2,"Leve",IF(AF289&lt;=0.4,"Menor",IF(AF289&lt;=0.6,"Moderado",IF(AF289&lt;=0.8,"Mayor","Catastrófico"))))),"")</f>
        <v>Moderado</v>
      </c>
      <c r="AF289" s="320">
        <f ca="1">IFERROR(IF(U289="Impacto",(P289-(+P289*X289)),IF(U289="Probabilidad",P289,"")),"")</f>
        <v>0.6</v>
      </c>
      <c r="AG289" s="267" t="str">
        <f ca="1">IFERROR(IF(OR(AND(AC289="Muy Baja",AE289="Leve"),AND(AC289="Muy Baja",AE289="Menor"),AND(AC289="Baja",AE289="Leve")),"Bajo",IF(OR(AND(AC289="Muy baja",AE289="Moderado"),AND(AC289="Baja",AE289="Menor"),AND(AC289="Baja",AE289="Moderado"),AND(AC289="Media",AE289="Leve"),AND(AC289="Media",AE289="Menor"),AND(AC289="Media",AE289="Moderado"),AND(AC289="Alta",AE289="Leve"),AND(AC289="Alta",AE289="Menor")),"Moderado",IF(OR(AND(AC289="Muy Baja",AE289="Mayor"),AND(AC289="Baja",AE289="Mayor"),AND(AC289="Media",AE289="Mayor"),AND(AC289="Alta",AE289="Moderado"),AND(AC289="Alta",AE289="Mayor"),AND(AC289="Muy Alta",AE289="Leve"),AND(AC289="Muy Alta",AE289="Menor"),AND(AC289="Muy Alta",AE289="Moderado"),AND(AC289="Muy Alta",AE289="Mayor")),"Alto",IF(OR(AND(AC289="Muy Baja",AE289="Catastrófico"),AND(AC289="Baja",AE289="Catastrófico"),AND(AC289="Media",AE289="Catastrófico"),AND(AC289="Alta",AE289="Catastrófico"),AND(AC289="Muy Alta",AE289="Catastrófico")),"Extremo","")))),"")</f>
        <v>Moderado</v>
      </c>
      <c r="AH289" s="263" t="s">
        <v>26</v>
      </c>
      <c r="AI289" s="273">
        <v>2</v>
      </c>
      <c r="AJ289" s="273">
        <v>0</v>
      </c>
      <c r="AK289" s="273">
        <v>1</v>
      </c>
      <c r="AL289" s="273">
        <v>0</v>
      </c>
      <c r="AM289" s="273">
        <v>1</v>
      </c>
      <c r="AN289" s="272"/>
      <c r="AO289" s="272"/>
      <c r="AP289" s="273"/>
      <c r="AQ289" s="274"/>
      <c r="AR289" s="274"/>
      <c r="AS289" s="323"/>
      <c r="AT289" s="323"/>
      <c r="AU289" s="323"/>
      <c r="AV289" s="323"/>
      <c r="AW289" s="323"/>
      <c r="AX289" s="323"/>
      <c r="AY289" s="323"/>
      <c r="AZ289" s="323"/>
      <c r="BA289" s="323"/>
      <c r="BB289" s="323"/>
      <c r="BC289" s="323"/>
      <c r="BD289" s="323"/>
      <c r="BE289" s="323"/>
      <c r="BF289" s="323"/>
      <c r="BG289" s="323"/>
      <c r="BH289" s="323"/>
      <c r="BI289" s="323"/>
      <c r="BJ289" s="323"/>
      <c r="BK289" s="323"/>
      <c r="BL289" s="323"/>
      <c r="BM289" s="323"/>
      <c r="BN289" s="323"/>
      <c r="BO289" s="323"/>
      <c r="BP289" s="323"/>
      <c r="BQ289" s="323"/>
      <c r="BR289" s="323"/>
      <c r="BS289" s="323"/>
      <c r="BT289" s="323"/>
      <c r="BU289" s="323"/>
      <c r="BV289" s="323"/>
      <c r="BW289" s="323"/>
      <c r="BX289" s="323"/>
      <c r="BY289" s="323"/>
    </row>
    <row r="290" spans="1:77" s="113" customFormat="1" ht="23.25" hidden="1" customHeight="1" x14ac:dyDescent="0.2">
      <c r="A290" s="437"/>
      <c r="B290" s="438"/>
      <c r="C290" s="434"/>
      <c r="D290" s="434"/>
      <c r="E290" s="434"/>
      <c r="F290" s="435"/>
      <c r="G290" s="436"/>
      <c r="H290" s="435"/>
      <c r="I290" s="435"/>
      <c r="J290" s="439"/>
      <c r="K290" s="430"/>
      <c r="L290" s="431"/>
      <c r="M290" s="432"/>
      <c r="N290" s="431">
        <f ca="1">IF(NOT(ISERROR(MATCH(M290,_xlfn.ANCHORARRAY(G325),0))),L327&amp;"Por favor no seleccionar los criterios de impacto",M290)</f>
        <v>0</v>
      </c>
      <c r="O290" s="430"/>
      <c r="P290" s="431"/>
      <c r="Q290" s="433"/>
      <c r="R290" s="316">
        <v>2</v>
      </c>
      <c r="S290" s="330"/>
      <c r="T290" s="312"/>
      <c r="U290" s="208" t="str">
        <f>IF(OR(V290="Preventivo",V290="Detectivo"),"Probabilidad",IF(V290="Correctivo","Impacto",""))</f>
        <v/>
      </c>
      <c r="V290" s="237"/>
      <c r="W290" s="237"/>
      <c r="X290" s="209" t="str">
        <f t="shared" si="47"/>
        <v/>
      </c>
      <c r="Y290" s="237"/>
      <c r="Z290" s="237"/>
      <c r="AA290" s="237"/>
      <c r="AB290" s="210" t="str">
        <f t="shared" ref="AB290" si="555">IFERROR(IF(AND(U289="Probabilidad",U290="Probabilidad"),(AD289-(+AD289*X290)),IF(U290="Probabilidad",(L289-(+L289*X290)),IF(U290="Impacto",AD289,""))),"")</f>
        <v/>
      </c>
      <c r="AC290" s="211" t="str">
        <f t="shared" si="48"/>
        <v/>
      </c>
      <c r="AD290" s="209" t="str">
        <f t="shared" ref="AD290:AD294" si="556">+AB290</f>
        <v/>
      </c>
      <c r="AE290" s="211" t="str">
        <f t="shared" si="50"/>
        <v/>
      </c>
      <c r="AF290" s="209" t="str">
        <f>IFERROR(IF(AND(U289="Impacto",U290="Impacto"),(AF289-(+AF289*X290)),IF(U290="Impacto",($P$31-(+$P$31*X290)),IF(U290="Probabilidad",AF289,""))),"")</f>
        <v/>
      </c>
      <c r="AG290" s="212" t="str">
        <f t="shared" ref="AG290:AG291" si="557">IFERROR(IF(OR(AND(AC290="Muy Baja",AE290="Leve"),AND(AC290="Muy Baja",AE290="Menor"),AND(AC290="Baja",AE290="Leve")),"Bajo",IF(OR(AND(AC290="Muy baja",AE290="Moderado"),AND(AC290="Baja",AE290="Menor"),AND(AC290="Baja",AE290="Moderado"),AND(AC290="Media",AE290="Leve"),AND(AC290="Media",AE290="Menor"),AND(AC290="Media",AE290="Moderado"),AND(AC290="Alta",AE290="Leve"),AND(AC290="Alta",AE290="Menor")),"Moderado",IF(OR(AND(AC290="Muy Baja",AE290="Mayor"),AND(AC290="Baja",AE290="Mayor"),AND(AC290="Media",AE290="Mayor"),AND(AC290="Alta",AE290="Moderado"),AND(AC290="Alta",AE290="Mayor"),AND(AC290="Muy Alta",AE290="Leve"),AND(AC290="Muy Alta",AE290="Menor"),AND(AC290="Muy Alta",AE290="Moderado"),AND(AC290="Muy Alta",AE290="Mayor")),"Alto",IF(OR(AND(AC290="Muy Baja",AE290="Catastrófico"),AND(AC290="Baja",AE290="Catastrófico"),AND(AC290="Media",AE290="Catastrófico"),AND(AC290="Alta",AE290="Catastrófico"),AND(AC290="Muy Alta",AE290="Catastrófico")),"Extremo","")))),"")</f>
        <v/>
      </c>
      <c r="AH290" s="237"/>
      <c r="AI290" s="318"/>
      <c r="AJ290" s="318"/>
      <c r="AK290" s="318"/>
      <c r="AL290" s="318"/>
      <c r="AM290" s="318"/>
      <c r="AN290" s="222"/>
      <c r="AO290" s="238"/>
      <c r="AP290" s="217"/>
      <c r="AQ290" s="216"/>
      <c r="AR290" s="216"/>
      <c r="AS290" s="323"/>
      <c r="AT290" s="323"/>
      <c r="AU290" s="323"/>
      <c r="AV290" s="323"/>
      <c r="AW290" s="323"/>
      <c r="AX290" s="323"/>
      <c r="AY290" s="323"/>
      <c r="AZ290" s="323"/>
      <c r="BA290" s="323"/>
      <c r="BB290" s="323"/>
      <c r="BC290" s="323"/>
      <c r="BD290" s="323"/>
      <c r="BE290" s="323"/>
      <c r="BF290" s="323"/>
      <c r="BG290" s="323"/>
      <c r="BH290" s="323"/>
      <c r="BI290" s="323"/>
      <c r="BJ290" s="323"/>
      <c r="BK290" s="323"/>
      <c r="BL290" s="323"/>
      <c r="BM290" s="323"/>
      <c r="BN290" s="323"/>
      <c r="BO290" s="323"/>
      <c r="BP290" s="323"/>
      <c r="BQ290" s="323"/>
      <c r="BR290" s="323"/>
      <c r="BS290" s="323"/>
      <c r="BT290" s="323"/>
      <c r="BU290" s="323"/>
      <c r="BV290" s="323"/>
      <c r="BW290" s="323"/>
      <c r="BX290" s="323"/>
      <c r="BY290" s="323"/>
    </row>
    <row r="291" spans="1:77" s="113" customFormat="1" ht="23.25" hidden="1" customHeight="1" x14ac:dyDescent="0.2">
      <c r="A291" s="437"/>
      <c r="B291" s="438"/>
      <c r="C291" s="434"/>
      <c r="D291" s="434"/>
      <c r="E291" s="434"/>
      <c r="F291" s="435"/>
      <c r="G291" s="436"/>
      <c r="H291" s="435"/>
      <c r="I291" s="435"/>
      <c r="J291" s="439"/>
      <c r="K291" s="430"/>
      <c r="L291" s="431"/>
      <c r="M291" s="432"/>
      <c r="N291" s="431">
        <f ca="1">IF(NOT(ISERROR(MATCH(M291,_xlfn.ANCHORARRAY(G326),0))),L328&amp;"Por favor no seleccionar los criterios de impacto",M291)</f>
        <v>0</v>
      </c>
      <c r="O291" s="430"/>
      <c r="P291" s="431"/>
      <c r="Q291" s="433"/>
      <c r="R291" s="316">
        <v>3</v>
      </c>
      <c r="S291" s="330"/>
      <c r="T291" s="312"/>
      <c r="U291" s="208" t="str">
        <f>IF(OR(V291="Preventivo",V291="Detectivo"),"Probabilidad",IF(V291="Correctivo","Impacto",""))</f>
        <v/>
      </c>
      <c r="V291" s="237"/>
      <c r="W291" s="237"/>
      <c r="X291" s="209" t="str">
        <f t="shared" si="47"/>
        <v/>
      </c>
      <c r="Y291" s="237"/>
      <c r="Z291" s="237"/>
      <c r="AA291" s="237"/>
      <c r="AB291" s="210" t="str">
        <f t="shared" ref="AB291" si="558">IFERROR(IF(AND(U290="Probabilidad",U291="Probabilidad"),(AD290-(+AD290*X291)),IF(AND(U290="Impacto",U291="Probabilidad"),(AD289-(+AD289*X291)),IF(U291="Impacto",AD290,""))),"")</f>
        <v/>
      </c>
      <c r="AC291" s="211" t="str">
        <f t="shared" si="48"/>
        <v/>
      </c>
      <c r="AD291" s="209" t="str">
        <f t="shared" si="556"/>
        <v/>
      </c>
      <c r="AE291" s="211" t="str">
        <f t="shared" si="50"/>
        <v/>
      </c>
      <c r="AF291" s="209" t="str">
        <f t="shared" ref="AF291:AF336" si="559">IFERROR(IF(AND(U290="Impacto",U291="Impacto"),(AF290-(+AF290*X291)),IF(U291="Impacto",($P$31-(+$P$31*X291)),IF(U291="Probabilidad",AF290,""))),"")</f>
        <v/>
      </c>
      <c r="AG291" s="212" t="str">
        <f t="shared" si="557"/>
        <v/>
      </c>
      <c r="AH291" s="237"/>
      <c r="AI291" s="318"/>
      <c r="AJ291" s="318"/>
      <c r="AK291" s="318"/>
      <c r="AL291" s="318"/>
      <c r="AM291" s="318"/>
      <c r="AN291" s="222"/>
      <c r="AO291" s="238"/>
      <c r="AP291" s="217"/>
      <c r="AQ291" s="216"/>
      <c r="AR291" s="216"/>
      <c r="AS291" s="323"/>
      <c r="AT291" s="323"/>
      <c r="AU291" s="323"/>
      <c r="AV291" s="323"/>
      <c r="AW291" s="323"/>
      <c r="AX291" s="323"/>
      <c r="AY291" s="323"/>
      <c r="AZ291" s="323"/>
      <c r="BA291" s="323"/>
      <c r="BB291" s="323"/>
      <c r="BC291" s="323"/>
      <c r="BD291" s="323"/>
      <c r="BE291" s="323"/>
      <c r="BF291" s="323"/>
      <c r="BG291" s="323"/>
      <c r="BH291" s="323"/>
      <c r="BI291" s="323"/>
      <c r="BJ291" s="323"/>
      <c r="BK291" s="323"/>
      <c r="BL291" s="323"/>
      <c r="BM291" s="323"/>
      <c r="BN291" s="323"/>
      <c r="BO291" s="323"/>
      <c r="BP291" s="323"/>
      <c r="BQ291" s="323"/>
      <c r="BR291" s="323"/>
      <c r="BS291" s="323"/>
      <c r="BT291" s="323"/>
      <c r="BU291" s="323"/>
      <c r="BV291" s="323"/>
      <c r="BW291" s="323"/>
      <c r="BX291" s="323"/>
      <c r="BY291" s="323"/>
    </row>
    <row r="292" spans="1:77" s="113" customFormat="1" ht="23.25" hidden="1" customHeight="1" x14ac:dyDescent="0.2">
      <c r="A292" s="437"/>
      <c r="B292" s="438"/>
      <c r="C292" s="434"/>
      <c r="D292" s="434"/>
      <c r="E292" s="434"/>
      <c r="F292" s="435"/>
      <c r="G292" s="436"/>
      <c r="H292" s="435"/>
      <c r="I292" s="435"/>
      <c r="J292" s="439"/>
      <c r="K292" s="430"/>
      <c r="L292" s="431"/>
      <c r="M292" s="432"/>
      <c r="N292" s="431">
        <f ca="1">IF(NOT(ISERROR(MATCH(M292,_xlfn.ANCHORARRAY(G327),0))),L329&amp;"Por favor no seleccionar los criterios de impacto",M292)</f>
        <v>0</v>
      </c>
      <c r="O292" s="430"/>
      <c r="P292" s="431"/>
      <c r="Q292" s="433"/>
      <c r="R292" s="316">
        <v>4</v>
      </c>
      <c r="S292" s="330"/>
      <c r="T292" s="312"/>
      <c r="U292" s="208" t="str">
        <f t="shared" ref="U292:U294" si="560">IF(OR(V292="Preventivo",V292="Detectivo"),"Probabilidad",IF(V292="Correctivo","Impacto",""))</f>
        <v/>
      </c>
      <c r="V292" s="237"/>
      <c r="W292" s="237"/>
      <c r="X292" s="209" t="str">
        <f t="shared" si="47"/>
        <v/>
      </c>
      <c r="Y292" s="237"/>
      <c r="Z292" s="237"/>
      <c r="AA292" s="237"/>
      <c r="AB292" s="210" t="str">
        <f t="shared" si="525"/>
        <v/>
      </c>
      <c r="AC292" s="211" t="str">
        <f t="shared" si="48"/>
        <v/>
      </c>
      <c r="AD292" s="209" t="str">
        <f t="shared" si="556"/>
        <v/>
      </c>
      <c r="AE292" s="211" t="str">
        <f t="shared" si="50"/>
        <v/>
      </c>
      <c r="AF292" s="209" t="str">
        <f t="shared" si="559"/>
        <v/>
      </c>
      <c r="AG292" s="212" t="str">
        <f>IFERROR(IF(OR(AND(AC292="Muy Baja",AE292="Leve"),AND(AC292="Muy Baja",AE292="Menor"),AND(AC292="Baja",AE292="Leve")),"Bajo",IF(OR(AND(AC292="Muy baja",AE292="Moderado"),AND(AC292="Baja",AE292="Menor"),AND(AC292="Baja",AE292="Moderado"),AND(AC292="Media",AE292="Leve"),AND(AC292="Media",AE292="Menor"),AND(AC292="Media",AE292="Moderado"),AND(AC292="Alta",AE292="Leve"),AND(AC292="Alta",AE292="Menor")),"Moderado",IF(OR(AND(AC292="Muy Baja",AE292="Mayor"),AND(AC292="Baja",AE292="Mayor"),AND(AC292="Media",AE292="Mayor"),AND(AC292="Alta",AE292="Moderado"),AND(AC292="Alta",AE292="Mayor"),AND(AC292="Muy Alta",AE292="Leve"),AND(AC292="Muy Alta",AE292="Menor"),AND(AC292="Muy Alta",AE292="Moderado"),AND(AC292="Muy Alta",AE292="Mayor")),"Alto",IF(OR(AND(AC292="Muy Baja",AE292="Catastrófico"),AND(AC292="Baja",AE292="Catastrófico"),AND(AC292="Media",AE292="Catastrófico"),AND(AC292="Alta",AE292="Catastrófico"),AND(AC292="Muy Alta",AE292="Catastrófico")),"Extremo","")))),"")</f>
        <v/>
      </c>
      <c r="AH292" s="237"/>
      <c r="AI292" s="318"/>
      <c r="AJ292" s="318"/>
      <c r="AK292" s="318"/>
      <c r="AL292" s="318"/>
      <c r="AM292" s="318"/>
      <c r="AN292" s="222"/>
      <c r="AO292" s="238"/>
      <c r="AP292" s="217"/>
      <c r="AQ292" s="216"/>
      <c r="AR292" s="216"/>
      <c r="AS292" s="323"/>
      <c r="AT292" s="323"/>
      <c r="AU292" s="323"/>
      <c r="AV292" s="323"/>
      <c r="AW292" s="323"/>
      <c r="AX292" s="323"/>
      <c r="AY292" s="323"/>
      <c r="AZ292" s="323"/>
      <c r="BA292" s="323"/>
      <c r="BB292" s="323"/>
      <c r="BC292" s="323"/>
      <c r="BD292" s="323"/>
      <c r="BE292" s="323"/>
      <c r="BF292" s="323"/>
      <c r="BG292" s="323"/>
      <c r="BH292" s="323"/>
      <c r="BI292" s="323"/>
      <c r="BJ292" s="323"/>
      <c r="BK292" s="323"/>
      <c r="BL292" s="323"/>
      <c r="BM292" s="323"/>
      <c r="BN292" s="323"/>
      <c r="BO292" s="323"/>
      <c r="BP292" s="323"/>
      <c r="BQ292" s="323"/>
      <c r="BR292" s="323"/>
      <c r="BS292" s="323"/>
      <c r="BT292" s="323"/>
      <c r="BU292" s="323"/>
      <c r="BV292" s="323"/>
      <c r="BW292" s="323"/>
      <c r="BX292" s="323"/>
      <c r="BY292" s="323"/>
    </row>
    <row r="293" spans="1:77" s="113" customFormat="1" ht="23.25" hidden="1" customHeight="1" x14ac:dyDescent="0.2">
      <c r="A293" s="437"/>
      <c r="B293" s="438"/>
      <c r="C293" s="434"/>
      <c r="D293" s="434"/>
      <c r="E293" s="434"/>
      <c r="F293" s="435"/>
      <c r="G293" s="436"/>
      <c r="H293" s="435"/>
      <c r="I293" s="435"/>
      <c r="J293" s="439"/>
      <c r="K293" s="430"/>
      <c r="L293" s="431"/>
      <c r="M293" s="432"/>
      <c r="N293" s="431">
        <f ca="1">IF(NOT(ISERROR(MATCH(M293,_xlfn.ANCHORARRAY(G328),0))),L330&amp;"Por favor no seleccionar los criterios de impacto",M293)</f>
        <v>0</v>
      </c>
      <c r="O293" s="430"/>
      <c r="P293" s="431"/>
      <c r="Q293" s="433"/>
      <c r="R293" s="316">
        <v>5</v>
      </c>
      <c r="S293" s="330"/>
      <c r="T293" s="312"/>
      <c r="U293" s="208" t="str">
        <f t="shared" si="560"/>
        <v/>
      </c>
      <c r="V293" s="237"/>
      <c r="W293" s="237"/>
      <c r="X293" s="209" t="str">
        <f t="shared" si="47"/>
        <v/>
      </c>
      <c r="Y293" s="237"/>
      <c r="Z293" s="237"/>
      <c r="AA293" s="237"/>
      <c r="AB293" s="210" t="str">
        <f t="shared" si="525"/>
        <v/>
      </c>
      <c r="AC293" s="211" t="str">
        <f t="shared" si="48"/>
        <v/>
      </c>
      <c r="AD293" s="209" t="str">
        <f t="shared" si="556"/>
        <v/>
      </c>
      <c r="AE293" s="211" t="str">
        <f t="shared" si="50"/>
        <v/>
      </c>
      <c r="AF293" s="209" t="str">
        <f t="shared" si="559"/>
        <v/>
      </c>
      <c r="AG293" s="212" t="str">
        <f t="shared" ref="AG293:AG294" si="561">IFERROR(IF(OR(AND(AC293="Muy Baja",AE293="Leve"),AND(AC293="Muy Baja",AE293="Menor"),AND(AC293="Baja",AE293="Leve")),"Bajo",IF(OR(AND(AC293="Muy baja",AE293="Moderado"),AND(AC293="Baja",AE293="Menor"),AND(AC293="Baja",AE293="Moderado"),AND(AC293="Media",AE293="Leve"),AND(AC293="Media",AE293="Menor"),AND(AC293="Media",AE293="Moderado"),AND(AC293="Alta",AE293="Leve"),AND(AC293="Alta",AE293="Menor")),"Moderado",IF(OR(AND(AC293="Muy Baja",AE293="Mayor"),AND(AC293="Baja",AE293="Mayor"),AND(AC293="Media",AE293="Mayor"),AND(AC293="Alta",AE293="Moderado"),AND(AC293="Alta",AE293="Mayor"),AND(AC293="Muy Alta",AE293="Leve"),AND(AC293="Muy Alta",AE293="Menor"),AND(AC293="Muy Alta",AE293="Moderado"),AND(AC293="Muy Alta",AE293="Mayor")),"Alto",IF(OR(AND(AC293="Muy Baja",AE293="Catastrófico"),AND(AC293="Baja",AE293="Catastrófico"),AND(AC293="Media",AE293="Catastrófico"),AND(AC293="Alta",AE293="Catastrófico"),AND(AC293="Muy Alta",AE293="Catastrófico")),"Extremo","")))),"")</f>
        <v/>
      </c>
      <c r="AH293" s="237"/>
      <c r="AI293" s="318"/>
      <c r="AJ293" s="318"/>
      <c r="AK293" s="318"/>
      <c r="AL293" s="318"/>
      <c r="AM293" s="318"/>
      <c r="AN293" s="222"/>
      <c r="AO293" s="238"/>
      <c r="AP293" s="217"/>
      <c r="AQ293" s="216"/>
      <c r="AR293" s="216"/>
      <c r="AS293" s="323"/>
      <c r="AT293" s="323"/>
      <c r="AU293" s="323"/>
      <c r="AV293" s="323"/>
      <c r="AW293" s="323"/>
      <c r="AX293" s="323"/>
      <c r="AY293" s="323"/>
      <c r="AZ293" s="323"/>
      <c r="BA293" s="323"/>
      <c r="BB293" s="323"/>
      <c r="BC293" s="323"/>
      <c r="BD293" s="323"/>
      <c r="BE293" s="323"/>
      <c r="BF293" s="323"/>
      <c r="BG293" s="323"/>
      <c r="BH293" s="323"/>
      <c r="BI293" s="323"/>
      <c r="BJ293" s="323"/>
      <c r="BK293" s="323"/>
      <c r="BL293" s="323"/>
      <c r="BM293" s="323"/>
      <c r="BN293" s="323"/>
      <c r="BO293" s="323"/>
      <c r="BP293" s="323"/>
      <c r="BQ293" s="323"/>
      <c r="BR293" s="323"/>
      <c r="BS293" s="323"/>
      <c r="BT293" s="323"/>
      <c r="BU293" s="323"/>
      <c r="BV293" s="323"/>
      <c r="BW293" s="323"/>
      <c r="BX293" s="323"/>
      <c r="BY293" s="323"/>
    </row>
    <row r="294" spans="1:77" s="113" customFormat="1" ht="23.25" hidden="1" customHeight="1" x14ac:dyDescent="0.2">
      <c r="A294" s="437"/>
      <c r="B294" s="438"/>
      <c r="C294" s="434"/>
      <c r="D294" s="434"/>
      <c r="E294" s="434"/>
      <c r="F294" s="435"/>
      <c r="G294" s="436"/>
      <c r="H294" s="435"/>
      <c r="I294" s="435"/>
      <c r="J294" s="439"/>
      <c r="K294" s="430"/>
      <c r="L294" s="431"/>
      <c r="M294" s="432"/>
      <c r="N294" s="431">
        <f ca="1">IF(NOT(ISERROR(MATCH(M294,_xlfn.ANCHORARRAY(G329),0))),L331&amp;"Por favor no seleccionar los criterios de impacto",M294)</f>
        <v>0</v>
      </c>
      <c r="O294" s="430"/>
      <c r="P294" s="431"/>
      <c r="Q294" s="433"/>
      <c r="R294" s="316">
        <v>6</v>
      </c>
      <c r="S294" s="330"/>
      <c r="T294" s="312"/>
      <c r="U294" s="208" t="str">
        <f t="shared" si="560"/>
        <v/>
      </c>
      <c r="V294" s="237"/>
      <c r="W294" s="237"/>
      <c r="X294" s="209" t="str">
        <f t="shared" si="47"/>
        <v/>
      </c>
      <c r="Y294" s="237"/>
      <c r="Z294" s="237"/>
      <c r="AA294" s="237"/>
      <c r="AB294" s="210" t="str">
        <f t="shared" si="525"/>
        <v/>
      </c>
      <c r="AC294" s="211" t="str">
        <f t="shared" si="48"/>
        <v/>
      </c>
      <c r="AD294" s="209" t="str">
        <f t="shared" si="556"/>
        <v/>
      </c>
      <c r="AE294" s="211" t="str">
        <f t="shared" si="50"/>
        <v/>
      </c>
      <c r="AF294" s="209" t="str">
        <f t="shared" si="559"/>
        <v/>
      </c>
      <c r="AG294" s="212" t="str">
        <f t="shared" si="561"/>
        <v/>
      </c>
      <c r="AH294" s="237"/>
      <c r="AI294" s="318"/>
      <c r="AJ294" s="318"/>
      <c r="AK294" s="318"/>
      <c r="AL294" s="318"/>
      <c r="AM294" s="318"/>
      <c r="AN294" s="222"/>
      <c r="AO294" s="238"/>
      <c r="AP294" s="217"/>
      <c r="AQ294" s="216"/>
      <c r="AR294" s="216"/>
      <c r="AS294" s="323"/>
      <c r="AT294" s="323"/>
      <c r="AU294" s="323"/>
      <c r="AV294" s="323"/>
      <c r="AW294" s="323"/>
      <c r="AX294" s="323"/>
      <c r="AY294" s="323"/>
      <c r="AZ294" s="323"/>
      <c r="BA294" s="323"/>
      <c r="BB294" s="323"/>
      <c r="BC294" s="323"/>
      <c r="BD294" s="323"/>
      <c r="BE294" s="323"/>
      <c r="BF294" s="323"/>
      <c r="BG294" s="323"/>
      <c r="BH294" s="323"/>
      <c r="BI294" s="323"/>
      <c r="BJ294" s="323"/>
      <c r="BK294" s="323"/>
      <c r="BL294" s="323"/>
      <c r="BM294" s="323"/>
      <c r="BN294" s="323"/>
      <c r="BO294" s="323"/>
      <c r="BP294" s="323"/>
      <c r="BQ294" s="323"/>
      <c r="BR294" s="323"/>
      <c r="BS294" s="323"/>
      <c r="BT294" s="323"/>
      <c r="BU294" s="323"/>
      <c r="BV294" s="323"/>
      <c r="BW294" s="323"/>
      <c r="BX294" s="323"/>
      <c r="BY294" s="323"/>
    </row>
    <row r="295" spans="1:77" s="271" customFormat="1" ht="142.5" x14ac:dyDescent="0.2">
      <c r="A295" s="437" t="s">
        <v>993</v>
      </c>
      <c r="B295" s="438" t="s">
        <v>280</v>
      </c>
      <c r="C295" s="434" t="s">
        <v>620</v>
      </c>
      <c r="D295" s="434" t="s">
        <v>107</v>
      </c>
      <c r="E295" s="434" t="s">
        <v>995</v>
      </c>
      <c r="F295" s="435" t="s">
        <v>996</v>
      </c>
      <c r="G295" s="436" t="s">
        <v>994</v>
      </c>
      <c r="H295" s="435" t="s">
        <v>655</v>
      </c>
      <c r="I295" s="435" t="s">
        <v>897</v>
      </c>
      <c r="J295" s="439">
        <v>4800</v>
      </c>
      <c r="K295" s="430" t="str">
        <f t="shared" si="553"/>
        <v>Alta</v>
      </c>
      <c r="L295" s="431">
        <f>IF(K295="","",IF(K295="Muy Baja",0.2,IF(K295="Baja",0.4,IF(K295="Media",0.6,IF(K295="Alta",0.8,IF(K295="Muy Alta",1,))))))</f>
        <v>0.8</v>
      </c>
      <c r="M295" s="432" t="s">
        <v>121</v>
      </c>
      <c r="N295" s="431" t="str">
        <f ca="1">IF(NOT(ISERROR(MATCH(M295,'Tabla Impacto'!$B$221:$B$223,0))),'Tabla Impacto'!$F$223&amp;"Por favor no seleccionar los criterios de impacto(Afectación Económica o presupuestal y Pérdida Reputacional)",M295)</f>
        <v xml:space="preserve">     El riesgo afecta la imagen de la entidad con algunos usuarios de relevancia frente al logro de los objetivos</v>
      </c>
      <c r="O295" s="430" t="str">
        <f ca="1">IF(OR(N295='Tabla Impacto'!$C$11,N295='Tabla Impacto'!$D$11),"Leve",IF(OR(N295='Tabla Impacto'!$C$12,N295='Tabla Impacto'!$D$12),"Menor",IF(OR(N295='Tabla Impacto'!$C$13,N295='Tabla Impacto'!$D$13),"Moderado",IF(OR(N295='Tabla Impacto'!$C$14,N295='Tabla Impacto'!$D$14),"Mayor",IF(OR(N295='Tabla Impacto'!$C$15,N295='Tabla Impacto'!$D$15),"Catastrófico","")))))</f>
        <v>Moderado</v>
      </c>
      <c r="P295" s="431">
        <f ca="1">IF(O295="","",IF(O295="Leve",0.2,IF(O295="Menor",0.4,IF(O295="Moderado",0.6,IF(O295="Mayor",0.8,IF(O295="Catastrófico",1,))))))</f>
        <v>0.6</v>
      </c>
      <c r="Q295" s="433" t="str">
        <f ca="1">IF(OR(AND(K295="Muy Baja",O295="Leve"),AND(K295="Muy Baja",O295="Menor"),AND(K295="Baja",O295="Leve")),"Bajo",IF(OR(AND(K295="Muy baja",O295="Moderado"),AND(K295="Baja",O295="Menor"),AND(K295="Baja",O295="Moderado"),AND(K295="Media",O295="Leve"),AND(K295="Media",O295="Menor"),AND(K295="Media",O295="Moderado"),AND(K295="Alta",O295="Leve"),AND(K295="Alta",O295="Menor")),"Moderado",IF(OR(AND(K295="Muy Baja",O295="Mayor"),AND(K295="Baja",O295="Mayor"),AND(K295="Media",O295="Mayor"),AND(K295="Alta",O295="Moderado"),AND(K295="Alta",O295="Mayor"),AND(K295="Muy Alta",O295="Leve"),AND(K295="Muy Alta",O295="Menor"),AND(K295="Muy Alta",O295="Moderado"),AND(K295="Muy Alta",O295="Mayor")),"Alto",IF(OR(AND(K295="Muy Baja",O295="Catastrófico"),AND(K295="Baja",O295="Catastrófico"),AND(K295="Media",O295="Catastrófico"),AND(K295="Alta",O295="Catastrófico"),AND(K295="Muy Alta",O295="Catastrófico")),"Extremo",""))))</f>
        <v>Alto</v>
      </c>
      <c r="R295" s="261">
        <v>1</v>
      </c>
      <c r="S295" s="334" t="s">
        <v>997</v>
      </c>
      <c r="T295" s="272" t="s">
        <v>293</v>
      </c>
      <c r="U295" s="262" t="str">
        <f>IF(OR(V295="Preventivo",V295="Detectivo"),"Probabilidad",IF(V295="Correctivo","Impacto",""))</f>
        <v>Probabilidad</v>
      </c>
      <c r="V295" s="263" t="s">
        <v>13</v>
      </c>
      <c r="W295" s="263" t="s">
        <v>8</v>
      </c>
      <c r="X295" s="264" t="str">
        <f t="shared" si="47"/>
        <v>40%</v>
      </c>
      <c r="Y295" s="263" t="s">
        <v>18</v>
      </c>
      <c r="Z295" s="263" t="s">
        <v>21</v>
      </c>
      <c r="AA295" s="263" t="s">
        <v>103</v>
      </c>
      <c r="AB295" s="265">
        <f t="shared" ref="AB295" si="562">IFERROR(IF(U295="Probabilidad",(L295-(+L295*X295)),IF(U295="Impacto",L295,"")),"")</f>
        <v>0.48</v>
      </c>
      <c r="AC295" s="266" t="str">
        <f>IFERROR(IF(AB295="","",IF(AB295&lt;=0.2,"Muy Baja",IF(AB295&lt;=0.4,"Baja",IF(AB295&lt;=0.6,"Media",IF(AB295&lt;=0.8,"Alta","Muy Alta"))))),"")</f>
        <v>Media</v>
      </c>
      <c r="AD295" s="264">
        <f>+AB295</f>
        <v>0.48</v>
      </c>
      <c r="AE295" s="266" t="str">
        <f ca="1">IFERROR(IF(AF295="","",IF(AF295&lt;=0.2,"Leve",IF(AF295&lt;=0.4,"Menor",IF(AF295&lt;=0.6,"Moderado",IF(AF295&lt;=0.8,"Mayor","Catastrófico"))))),"")</f>
        <v>Moderado</v>
      </c>
      <c r="AF295" s="264">
        <f ca="1">IFERROR(IF(U295="Impacto",(P295-(+P295*X295)),IF(U295="Probabilidad",P295,"")),"")</f>
        <v>0.6</v>
      </c>
      <c r="AG295" s="267" t="str">
        <f ca="1">IFERROR(IF(OR(AND(AC295="Muy Baja",AE295="Leve"),AND(AC295="Muy Baja",AE295="Menor"),AND(AC295="Baja",AE295="Leve")),"Bajo",IF(OR(AND(AC295="Muy baja",AE295="Moderado"),AND(AC295="Baja",AE295="Menor"),AND(AC295="Baja",AE295="Moderado"),AND(AC295="Media",AE295="Leve"),AND(AC295="Media",AE295="Menor"),AND(AC295="Media",AE295="Moderado"),AND(AC295="Alta",AE295="Leve"),AND(AC295="Alta",AE295="Menor")),"Moderado",IF(OR(AND(AC295="Muy Baja",AE295="Mayor"),AND(AC295="Baja",AE295="Mayor"),AND(AC295="Media",AE295="Mayor"),AND(AC295="Alta",AE295="Moderado"),AND(AC295="Alta",AE295="Mayor"),AND(AC295="Muy Alta",AE295="Leve"),AND(AC295="Muy Alta",AE295="Menor"),AND(AC295="Muy Alta",AE295="Moderado"),AND(AC295="Muy Alta",AE295="Mayor")),"Alto",IF(OR(AND(AC295="Muy Baja",AE295="Catastrófico"),AND(AC295="Baja",AE295="Catastrófico"),AND(AC295="Media",AE295="Catastrófico"),AND(AC295="Alta",AE295="Catastrófico"),AND(AC295="Muy Alta",AE295="Catastrófico")),"Extremo","")))),"")</f>
        <v>Moderado</v>
      </c>
      <c r="AH295" s="263" t="s">
        <v>26</v>
      </c>
      <c r="AI295" s="273">
        <v>2</v>
      </c>
      <c r="AJ295" s="273">
        <v>0</v>
      </c>
      <c r="AK295" s="273">
        <v>1</v>
      </c>
      <c r="AL295" s="273">
        <v>0</v>
      </c>
      <c r="AM295" s="273">
        <v>1</v>
      </c>
      <c r="AN295" s="272"/>
      <c r="AO295" s="272"/>
      <c r="AP295" s="273"/>
      <c r="AQ295" s="274"/>
      <c r="AR295" s="274"/>
      <c r="AS295" s="323"/>
      <c r="AT295" s="323"/>
      <c r="AU295" s="323"/>
      <c r="AV295" s="323"/>
      <c r="AW295" s="323"/>
      <c r="AX295" s="323"/>
      <c r="AY295" s="323"/>
      <c r="AZ295" s="323"/>
      <c r="BA295" s="323"/>
      <c r="BB295" s="323"/>
      <c r="BC295" s="323"/>
      <c r="BD295" s="323"/>
      <c r="BE295" s="323"/>
      <c r="BF295" s="323"/>
      <c r="BG295" s="323"/>
      <c r="BH295" s="323"/>
      <c r="BI295" s="323"/>
      <c r="BJ295" s="323"/>
      <c r="BK295" s="323"/>
      <c r="BL295" s="323"/>
      <c r="BM295" s="323"/>
      <c r="BN295" s="323"/>
      <c r="BO295" s="323"/>
      <c r="BP295" s="323"/>
      <c r="BQ295" s="323"/>
      <c r="BR295" s="323"/>
      <c r="BS295" s="323"/>
      <c r="BT295" s="323"/>
      <c r="BU295" s="323"/>
      <c r="BV295" s="323"/>
      <c r="BW295" s="323"/>
      <c r="BX295" s="323"/>
      <c r="BY295" s="323"/>
    </row>
    <row r="296" spans="1:77" s="113" customFormat="1" ht="18.75" hidden="1" customHeight="1" x14ac:dyDescent="0.2">
      <c r="A296" s="437"/>
      <c r="B296" s="438"/>
      <c r="C296" s="434"/>
      <c r="D296" s="434"/>
      <c r="E296" s="434"/>
      <c r="F296" s="435"/>
      <c r="G296" s="436"/>
      <c r="H296" s="435"/>
      <c r="I296" s="435"/>
      <c r="J296" s="439"/>
      <c r="K296" s="430"/>
      <c r="L296" s="431"/>
      <c r="M296" s="432"/>
      <c r="N296" s="431">
        <f ca="1">IF(NOT(ISERROR(MATCH(M296,_xlfn.ANCHORARRAY(G331),0))),L333&amp;"Por favor no seleccionar los criterios de impacto",M296)</f>
        <v>0</v>
      </c>
      <c r="O296" s="430"/>
      <c r="P296" s="431"/>
      <c r="Q296" s="433"/>
      <c r="R296" s="316">
        <v>2</v>
      </c>
      <c r="S296" s="330"/>
      <c r="T296" s="312"/>
      <c r="U296" s="208" t="str">
        <f>IF(OR(V296="Preventivo",V296="Detectivo"),"Probabilidad",IF(V296="Correctivo","Impacto",""))</f>
        <v/>
      </c>
      <c r="V296" s="237"/>
      <c r="W296" s="237"/>
      <c r="X296" s="209" t="str">
        <f t="shared" si="47"/>
        <v/>
      </c>
      <c r="Y296" s="237"/>
      <c r="Z296" s="237"/>
      <c r="AA296" s="237"/>
      <c r="AB296" s="210" t="str">
        <f t="shared" ref="AB296" si="563">IFERROR(IF(AND(U295="Probabilidad",U296="Probabilidad"),(AD295-(+AD295*X296)),IF(U296="Probabilidad",(L295-(+L295*X296)),IF(U296="Impacto",AD295,""))),"")</f>
        <v/>
      </c>
      <c r="AC296" s="211" t="str">
        <f t="shared" si="48"/>
        <v/>
      </c>
      <c r="AD296" s="209" t="str">
        <f t="shared" ref="AD296:AD300" si="564">+AB296</f>
        <v/>
      </c>
      <c r="AE296" s="211" t="str">
        <f t="shared" si="50"/>
        <v/>
      </c>
      <c r="AF296" s="209" t="str">
        <f>IFERROR(IF(AND(U295="Impacto",U296="Impacto"),(AF295-(+AF295*X296)),IF(U296="Impacto",($P$31-(+$P$31*X296)),IF(U296="Probabilidad",AF295,""))),"")</f>
        <v/>
      </c>
      <c r="AG296" s="212" t="str">
        <f t="shared" ref="AG296:AG297" si="565">IFERROR(IF(OR(AND(AC296="Muy Baja",AE296="Leve"),AND(AC296="Muy Baja",AE296="Menor"),AND(AC296="Baja",AE296="Leve")),"Bajo",IF(OR(AND(AC296="Muy baja",AE296="Moderado"),AND(AC296="Baja",AE296="Menor"),AND(AC296="Baja",AE296="Moderado"),AND(AC296="Media",AE296="Leve"),AND(AC296="Media",AE296="Menor"),AND(AC296="Media",AE296="Moderado"),AND(AC296="Alta",AE296="Leve"),AND(AC296="Alta",AE296="Menor")),"Moderado",IF(OR(AND(AC296="Muy Baja",AE296="Mayor"),AND(AC296="Baja",AE296="Mayor"),AND(AC296="Media",AE296="Mayor"),AND(AC296="Alta",AE296="Moderado"),AND(AC296="Alta",AE296="Mayor"),AND(AC296="Muy Alta",AE296="Leve"),AND(AC296="Muy Alta",AE296="Menor"),AND(AC296="Muy Alta",AE296="Moderado"),AND(AC296="Muy Alta",AE296="Mayor")),"Alto",IF(OR(AND(AC296="Muy Baja",AE296="Catastrófico"),AND(AC296="Baja",AE296="Catastrófico"),AND(AC296="Media",AE296="Catastrófico"),AND(AC296="Alta",AE296="Catastrófico"),AND(AC296="Muy Alta",AE296="Catastrófico")),"Extremo","")))),"")</f>
        <v/>
      </c>
      <c r="AH296" s="237"/>
      <c r="AI296" s="318"/>
      <c r="AJ296" s="318"/>
      <c r="AK296" s="318"/>
      <c r="AL296" s="318"/>
      <c r="AM296" s="318"/>
      <c r="AN296" s="222"/>
      <c r="AO296" s="238"/>
      <c r="AP296" s="217"/>
      <c r="AQ296" s="216"/>
      <c r="AR296" s="216"/>
      <c r="AS296" s="323"/>
      <c r="AT296" s="323"/>
      <c r="AU296" s="323"/>
      <c r="AV296" s="323"/>
      <c r="AW296" s="323"/>
      <c r="AX296" s="323"/>
      <c r="AY296" s="323"/>
      <c r="AZ296" s="323"/>
      <c r="BA296" s="323"/>
      <c r="BB296" s="323"/>
      <c r="BC296" s="323"/>
      <c r="BD296" s="323"/>
      <c r="BE296" s="323"/>
      <c r="BF296" s="323"/>
      <c r="BG296" s="323"/>
      <c r="BH296" s="323"/>
      <c r="BI296" s="323"/>
      <c r="BJ296" s="323"/>
      <c r="BK296" s="323"/>
      <c r="BL296" s="323"/>
      <c r="BM296" s="323"/>
      <c r="BN296" s="323"/>
      <c r="BO296" s="323"/>
      <c r="BP296" s="323"/>
      <c r="BQ296" s="323"/>
      <c r="BR296" s="323"/>
      <c r="BS296" s="323"/>
      <c r="BT296" s="323"/>
      <c r="BU296" s="323"/>
      <c r="BV296" s="323"/>
      <c r="BW296" s="323"/>
      <c r="BX296" s="323"/>
      <c r="BY296" s="323"/>
    </row>
    <row r="297" spans="1:77" s="113" customFormat="1" ht="18.75" hidden="1" customHeight="1" x14ac:dyDescent="0.2">
      <c r="A297" s="437"/>
      <c r="B297" s="438"/>
      <c r="C297" s="434"/>
      <c r="D297" s="434"/>
      <c r="E297" s="434"/>
      <c r="F297" s="435"/>
      <c r="G297" s="436"/>
      <c r="H297" s="435"/>
      <c r="I297" s="435"/>
      <c r="J297" s="439"/>
      <c r="K297" s="430"/>
      <c r="L297" s="431"/>
      <c r="M297" s="432"/>
      <c r="N297" s="431">
        <f ca="1">IF(NOT(ISERROR(MATCH(M297,_xlfn.ANCHORARRAY(G332),0))),L334&amp;"Por favor no seleccionar los criterios de impacto",M297)</f>
        <v>0</v>
      </c>
      <c r="O297" s="430"/>
      <c r="P297" s="431"/>
      <c r="Q297" s="433"/>
      <c r="R297" s="316">
        <v>3</v>
      </c>
      <c r="S297" s="330"/>
      <c r="T297" s="312"/>
      <c r="U297" s="208" t="str">
        <f>IF(OR(V297="Preventivo",V297="Detectivo"),"Probabilidad",IF(V297="Correctivo","Impacto",""))</f>
        <v/>
      </c>
      <c r="V297" s="237"/>
      <c r="W297" s="237"/>
      <c r="X297" s="209" t="str">
        <f t="shared" si="47"/>
        <v/>
      </c>
      <c r="Y297" s="237"/>
      <c r="Z297" s="237"/>
      <c r="AA297" s="237"/>
      <c r="AB297" s="210" t="str">
        <f t="shared" ref="AB297" si="566">IFERROR(IF(AND(U296="Probabilidad",U297="Probabilidad"),(AD296-(+AD296*X297)),IF(AND(U296="Impacto",U297="Probabilidad"),(AD295-(+AD295*X297)),IF(U297="Impacto",AD296,""))),"")</f>
        <v/>
      </c>
      <c r="AC297" s="211" t="str">
        <f t="shared" si="48"/>
        <v/>
      </c>
      <c r="AD297" s="209" t="str">
        <f t="shared" si="564"/>
        <v/>
      </c>
      <c r="AE297" s="211" t="str">
        <f t="shared" si="50"/>
        <v/>
      </c>
      <c r="AF297" s="209" t="str">
        <f>IFERROR(IF(AND(U296="Impacto",U297="Impacto"),(AF296-(+AF296*X297)),IF(U297="Impacto",($P$31-(+$P$31*X297)),IF(U297="Probabilidad",AF296,""))),"")</f>
        <v/>
      </c>
      <c r="AG297" s="212" t="str">
        <f t="shared" si="565"/>
        <v/>
      </c>
      <c r="AH297" s="237"/>
      <c r="AI297" s="318"/>
      <c r="AJ297" s="318"/>
      <c r="AK297" s="318"/>
      <c r="AL297" s="318"/>
      <c r="AM297" s="318"/>
      <c r="AN297" s="222"/>
      <c r="AO297" s="238"/>
      <c r="AP297" s="217"/>
      <c r="AQ297" s="216"/>
      <c r="AR297" s="216"/>
      <c r="AS297" s="323"/>
      <c r="AT297" s="323"/>
      <c r="AU297" s="323"/>
      <c r="AV297" s="323"/>
      <c r="AW297" s="323"/>
      <c r="AX297" s="323"/>
      <c r="AY297" s="323"/>
      <c r="AZ297" s="323"/>
      <c r="BA297" s="323"/>
      <c r="BB297" s="323"/>
      <c r="BC297" s="323"/>
      <c r="BD297" s="323"/>
      <c r="BE297" s="323"/>
      <c r="BF297" s="323"/>
      <c r="BG297" s="323"/>
      <c r="BH297" s="323"/>
      <c r="BI297" s="323"/>
      <c r="BJ297" s="323"/>
      <c r="BK297" s="323"/>
      <c r="BL297" s="323"/>
      <c r="BM297" s="323"/>
      <c r="BN297" s="323"/>
      <c r="BO297" s="323"/>
      <c r="BP297" s="323"/>
      <c r="BQ297" s="323"/>
      <c r="BR297" s="323"/>
      <c r="BS297" s="323"/>
      <c r="BT297" s="323"/>
      <c r="BU297" s="323"/>
      <c r="BV297" s="323"/>
      <c r="BW297" s="323"/>
      <c r="BX297" s="323"/>
      <c r="BY297" s="323"/>
    </row>
    <row r="298" spans="1:77" s="113" customFormat="1" ht="18.75" hidden="1" customHeight="1" x14ac:dyDescent="0.2">
      <c r="A298" s="437"/>
      <c r="B298" s="438"/>
      <c r="C298" s="434"/>
      <c r="D298" s="434"/>
      <c r="E298" s="434"/>
      <c r="F298" s="435"/>
      <c r="G298" s="436"/>
      <c r="H298" s="435"/>
      <c r="I298" s="435"/>
      <c r="J298" s="439"/>
      <c r="K298" s="430"/>
      <c r="L298" s="431"/>
      <c r="M298" s="432"/>
      <c r="N298" s="431">
        <f ca="1">IF(NOT(ISERROR(MATCH(M298,_xlfn.ANCHORARRAY(G333),0))),L335&amp;"Por favor no seleccionar los criterios de impacto",M298)</f>
        <v>0</v>
      </c>
      <c r="O298" s="430"/>
      <c r="P298" s="431"/>
      <c r="Q298" s="433"/>
      <c r="R298" s="316">
        <v>4</v>
      </c>
      <c r="S298" s="330"/>
      <c r="T298" s="312"/>
      <c r="U298" s="208" t="str">
        <f t="shared" ref="U298:U300" si="567">IF(OR(V298="Preventivo",V298="Detectivo"),"Probabilidad",IF(V298="Correctivo","Impacto",""))</f>
        <v/>
      </c>
      <c r="V298" s="237"/>
      <c r="W298" s="237"/>
      <c r="X298" s="209" t="str">
        <f t="shared" si="47"/>
        <v/>
      </c>
      <c r="Y298" s="237"/>
      <c r="Z298" s="237"/>
      <c r="AA298" s="237"/>
      <c r="AB298" s="210" t="str">
        <f t="shared" si="525"/>
        <v/>
      </c>
      <c r="AC298" s="211" t="str">
        <f t="shared" si="48"/>
        <v/>
      </c>
      <c r="AD298" s="209" t="str">
        <f t="shared" si="564"/>
        <v/>
      </c>
      <c r="AE298" s="211" t="str">
        <f t="shared" si="50"/>
        <v/>
      </c>
      <c r="AF298" s="209" t="str">
        <f t="shared" si="559"/>
        <v/>
      </c>
      <c r="AG298" s="212" t="str">
        <f>IFERROR(IF(OR(AND(AC298="Muy Baja",AE298="Leve"),AND(AC298="Muy Baja",AE298="Menor"),AND(AC298="Baja",AE298="Leve")),"Bajo",IF(OR(AND(AC298="Muy baja",AE298="Moderado"),AND(AC298="Baja",AE298="Menor"),AND(AC298="Baja",AE298="Moderado"),AND(AC298="Media",AE298="Leve"),AND(AC298="Media",AE298="Menor"),AND(AC298="Media",AE298="Moderado"),AND(AC298="Alta",AE298="Leve"),AND(AC298="Alta",AE298="Menor")),"Moderado",IF(OR(AND(AC298="Muy Baja",AE298="Mayor"),AND(AC298="Baja",AE298="Mayor"),AND(AC298="Media",AE298="Mayor"),AND(AC298="Alta",AE298="Moderado"),AND(AC298="Alta",AE298="Mayor"),AND(AC298="Muy Alta",AE298="Leve"),AND(AC298="Muy Alta",AE298="Menor"),AND(AC298="Muy Alta",AE298="Moderado"),AND(AC298="Muy Alta",AE298="Mayor")),"Alto",IF(OR(AND(AC298="Muy Baja",AE298="Catastrófico"),AND(AC298="Baja",AE298="Catastrófico"),AND(AC298="Media",AE298="Catastrófico"),AND(AC298="Alta",AE298="Catastrófico"),AND(AC298="Muy Alta",AE298="Catastrófico")),"Extremo","")))),"")</f>
        <v/>
      </c>
      <c r="AH298" s="237"/>
      <c r="AI298" s="318"/>
      <c r="AJ298" s="318"/>
      <c r="AK298" s="318"/>
      <c r="AL298" s="318"/>
      <c r="AM298" s="318"/>
      <c r="AN298" s="222"/>
      <c r="AO298" s="238"/>
      <c r="AP298" s="217"/>
      <c r="AQ298" s="216"/>
      <c r="AR298" s="216"/>
      <c r="AS298" s="323"/>
      <c r="AT298" s="323"/>
      <c r="AU298" s="323"/>
      <c r="AV298" s="323"/>
      <c r="AW298" s="323"/>
      <c r="AX298" s="323"/>
      <c r="AY298" s="323"/>
      <c r="AZ298" s="323"/>
      <c r="BA298" s="323"/>
      <c r="BB298" s="323"/>
      <c r="BC298" s="323"/>
      <c r="BD298" s="323"/>
      <c r="BE298" s="323"/>
      <c r="BF298" s="323"/>
      <c r="BG298" s="323"/>
      <c r="BH298" s="323"/>
      <c r="BI298" s="323"/>
      <c r="BJ298" s="323"/>
      <c r="BK298" s="323"/>
      <c r="BL298" s="323"/>
      <c r="BM298" s="323"/>
      <c r="BN298" s="323"/>
      <c r="BO298" s="323"/>
      <c r="BP298" s="323"/>
      <c r="BQ298" s="323"/>
      <c r="BR298" s="323"/>
      <c r="BS298" s="323"/>
      <c r="BT298" s="323"/>
      <c r="BU298" s="323"/>
      <c r="BV298" s="323"/>
      <c r="BW298" s="323"/>
      <c r="BX298" s="323"/>
      <c r="BY298" s="323"/>
    </row>
    <row r="299" spans="1:77" s="113" customFormat="1" ht="18.75" hidden="1" customHeight="1" x14ac:dyDescent="0.2">
      <c r="A299" s="437"/>
      <c r="B299" s="438"/>
      <c r="C299" s="434"/>
      <c r="D299" s="434"/>
      <c r="E299" s="434"/>
      <c r="F299" s="435"/>
      <c r="G299" s="436"/>
      <c r="H299" s="435"/>
      <c r="I299" s="435"/>
      <c r="J299" s="439"/>
      <c r="K299" s="430"/>
      <c r="L299" s="431"/>
      <c r="M299" s="432"/>
      <c r="N299" s="431">
        <f ca="1">IF(NOT(ISERROR(MATCH(M299,_xlfn.ANCHORARRAY(G334),0))),L336&amp;"Por favor no seleccionar los criterios de impacto",M299)</f>
        <v>0</v>
      </c>
      <c r="O299" s="430"/>
      <c r="P299" s="431"/>
      <c r="Q299" s="433"/>
      <c r="R299" s="316">
        <v>5</v>
      </c>
      <c r="S299" s="330"/>
      <c r="T299" s="312"/>
      <c r="U299" s="208" t="str">
        <f t="shared" si="567"/>
        <v/>
      </c>
      <c r="V299" s="237"/>
      <c r="W299" s="237"/>
      <c r="X299" s="209" t="str">
        <f t="shared" si="47"/>
        <v/>
      </c>
      <c r="Y299" s="237"/>
      <c r="Z299" s="237"/>
      <c r="AA299" s="237"/>
      <c r="AB299" s="210" t="str">
        <f t="shared" si="525"/>
        <v/>
      </c>
      <c r="AC299" s="211" t="str">
        <f t="shared" si="48"/>
        <v/>
      </c>
      <c r="AD299" s="209" t="str">
        <f t="shared" si="564"/>
        <v/>
      </c>
      <c r="AE299" s="211" t="str">
        <f t="shared" si="50"/>
        <v/>
      </c>
      <c r="AF299" s="209" t="str">
        <f t="shared" si="559"/>
        <v/>
      </c>
      <c r="AG299" s="212" t="str">
        <f t="shared" ref="AG299" si="568">IFERROR(IF(OR(AND(AC299="Muy Baja",AE299="Leve"),AND(AC299="Muy Baja",AE299="Menor"),AND(AC299="Baja",AE299="Leve")),"Bajo",IF(OR(AND(AC299="Muy baja",AE299="Moderado"),AND(AC299="Baja",AE299="Menor"),AND(AC299="Baja",AE299="Moderado"),AND(AC299="Media",AE299="Leve"),AND(AC299="Media",AE299="Menor"),AND(AC299="Media",AE299="Moderado"),AND(AC299="Alta",AE299="Leve"),AND(AC299="Alta",AE299="Menor")),"Moderado",IF(OR(AND(AC299="Muy Baja",AE299="Mayor"),AND(AC299="Baja",AE299="Mayor"),AND(AC299="Media",AE299="Mayor"),AND(AC299="Alta",AE299="Moderado"),AND(AC299="Alta",AE299="Mayor"),AND(AC299="Muy Alta",AE299="Leve"),AND(AC299="Muy Alta",AE299="Menor"),AND(AC299="Muy Alta",AE299="Moderado"),AND(AC299="Muy Alta",AE299="Mayor")),"Alto",IF(OR(AND(AC299="Muy Baja",AE299="Catastrófico"),AND(AC299="Baja",AE299="Catastrófico"),AND(AC299="Media",AE299="Catastrófico"),AND(AC299="Alta",AE299="Catastrófico"),AND(AC299="Muy Alta",AE299="Catastrófico")),"Extremo","")))),"")</f>
        <v/>
      </c>
      <c r="AH299" s="237"/>
      <c r="AI299" s="318"/>
      <c r="AJ299" s="318"/>
      <c r="AK299" s="318"/>
      <c r="AL299" s="318"/>
      <c r="AM299" s="318"/>
      <c r="AN299" s="222"/>
      <c r="AO299" s="238"/>
      <c r="AP299" s="217"/>
      <c r="AQ299" s="216"/>
      <c r="AR299" s="216"/>
      <c r="AS299" s="323"/>
      <c r="AT299" s="323"/>
      <c r="AU299" s="323"/>
      <c r="AV299" s="323"/>
      <c r="AW299" s="323"/>
      <c r="AX299" s="323"/>
      <c r="AY299" s="323"/>
      <c r="AZ299" s="323"/>
      <c r="BA299" s="323"/>
      <c r="BB299" s="323"/>
      <c r="BC299" s="323"/>
      <c r="BD299" s="323"/>
      <c r="BE299" s="323"/>
      <c r="BF299" s="323"/>
      <c r="BG299" s="323"/>
      <c r="BH299" s="323"/>
      <c r="BI299" s="323"/>
      <c r="BJ299" s="323"/>
      <c r="BK299" s="323"/>
      <c r="BL299" s="323"/>
      <c r="BM299" s="323"/>
      <c r="BN299" s="323"/>
      <c r="BO299" s="323"/>
      <c r="BP299" s="323"/>
      <c r="BQ299" s="323"/>
      <c r="BR299" s="323"/>
      <c r="BS299" s="323"/>
      <c r="BT299" s="323"/>
      <c r="BU299" s="323"/>
      <c r="BV299" s="323"/>
      <c r="BW299" s="323"/>
      <c r="BX299" s="323"/>
      <c r="BY299" s="323"/>
    </row>
    <row r="300" spans="1:77" s="113" customFormat="1" ht="18.75" hidden="1" customHeight="1" x14ac:dyDescent="0.2">
      <c r="A300" s="437"/>
      <c r="B300" s="438"/>
      <c r="C300" s="434"/>
      <c r="D300" s="434"/>
      <c r="E300" s="434"/>
      <c r="F300" s="435"/>
      <c r="G300" s="436"/>
      <c r="H300" s="435"/>
      <c r="I300" s="435"/>
      <c r="J300" s="439"/>
      <c r="K300" s="430"/>
      <c r="L300" s="431"/>
      <c r="M300" s="432"/>
      <c r="N300" s="431">
        <f ca="1">IF(NOT(ISERROR(MATCH(M300,_xlfn.ANCHORARRAY(G335),0))),#REF!&amp;"Por favor no seleccionar los criterios de impacto",M300)</f>
        <v>0</v>
      </c>
      <c r="O300" s="430"/>
      <c r="P300" s="431"/>
      <c r="Q300" s="433"/>
      <c r="R300" s="316">
        <v>6</v>
      </c>
      <c r="S300" s="330"/>
      <c r="T300" s="312"/>
      <c r="U300" s="208" t="str">
        <f t="shared" si="567"/>
        <v/>
      </c>
      <c r="V300" s="237"/>
      <c r="W300" s="237"/>
      <c r="X300" s="209" t="str">
        <f t="shared" si="47"/>
        <v/>
      </c>
      <c r="Y300" s="237"/>
      <c r="Z300" s="237"/>
      <c r="AA300" s="237"/>
      <c r="AB300" s="210" t="str">
        <f t="shared" si="525"/>
        <v/>
      </c>
      <c r="AC300" s="211" t="str">
        <f t="shared" si="48"/>
        <v/>
      </c>
      <c r="AD300" s="209" t="str">
        <f t="shared" si="564"/>
        <v/>
      </c>
      <c r="AE300" s="211" t="str">
        <f>IFERROR(IF(AF300="","",IF(AF300&lt;=0.2,"Leve",IF(AF300&lt;=0.4,"Menor",IF(AF300&lt;=0.6,"Moderado",IF(AF300&lt;=0.8,"Mayor","Catastrófico"))))),"")</f>
        <v/>
      </c>
      <c r="AF300" s="209" t="str">
        <f t="shared" si="559"/>
        <v/>
      </c>
      <c r="AG300" s="212" t="str">
        <f>IFERROR(IF(OR(AND(AC300="Muy Baja",AE300="Leve"),AND(AC300="Muy Baja",AE300="Menor"),AND(AC300="Baja",AE300="Leve")),"Bajo",IF(OR(AND(AC300="Muy baja",AE300="Moderado"),AND(AC300="Baja",AE300="Menor"),AND(AC300="Baja",AE300="Moderado"),AND(AC300="Media",AE300="Leve"),AND(AC300="Media",AE300="Menor"),AND(AC300="Media",AE300="Moderado"),AND(AC300="Alta",AE300="Leve"),AND(AC300="Alta",AE300="Menor")),"Moderado",IF(OR(AND(AC300="Muy Baja",AE300="Mayor"),AND(AC300="Baja",AE300="Mayor"),AND(AC300="Media",AE300="Mayor"),AND(AC300="Alta",AE300="Moderado"),AND(AC300="Alta",AE300="Mayor"),AND(AC300="Muy Alta",AE300="Leve"),AND(AC300="Muy Alta",AE300="Menor"),AND(AC300="Muy Alta",AE300="Moderado"),AND(AC300="Muy Alta",AE300="Mayor")),"Alto",IF(OR(AND(AC300="Muy Baja",AE300="Catastrófico"),AND(AC300="Baja",AE300="Catastrófico"),AND(AC300="Media",AE300="Catastrófico"),AND(AC300="Alta",AE300="Catastrófico"),AND(AC300="Muy Alta",AE300="Catastrófico")),"Extremo","")))),"")</f>
        <v/>
      </c>
      <c r="AH300" s="237"/>
      <c r="AI300" s="318"/>
      <c r="AJ300" s="318"/>
      <c r="AK300" s="318"/>
      <c r="AL300" s="318"/>
      <c r="AM300" s="318"/>
      <c r="AN300" s="222"/>
      <c r="AO300" s="238"/>
      <c r="AP300" s="217"/>
      <c r="AQ300" s="216"/>
      <c r="AR300" s="216"/>
      <c r="AS300" s="323"/>
      <c r="AT300" s="323"/>
      <c r="AU300" s="323"/>
      <c r="AV300" s="323"/>
      <c r="AW300" s="323"/>
      <c r="AX300" s="323"/>
      <c r="AY300" s="323"/>
      <c r="AZ300" s="323"/>
      <c r="BA300" s="323"/>
      <c r="BB300" s="323"/>
      <c r="BC300" s="323"/>
      <c r="BD300" s="323"/>
      <c r="BE300" s="323"/>
      <c r="BF300" s="323"/>
      <c r="BG300" s="323"/>
      <c r="BH300" s="323"/>
      <c r="BI300" s="323"/>
      <c r="BJ300" s="323"/>
      <c r="BK300" s="323"/>
      <c r="BL300" s="323"/>
      <c r="BM300" s="323"/>
      <c r="BN300" s="323"/>
      <c r="BO300" s="323"/>
      <c r="BP300" s="323"/>
      <c r="BQ300" s="323"/>
      <c r="BR300" s="323"/>
      <c r="BS300" s="323"/>
      <c r="BT300" s="323"/>
      <c r="BU300" s="323"/>
      <c r="BV300" s="323"/>
      <c r="BW300" s="323"/>
      <c r="BX300" s="323"/>
      <c r="BY300" s="323"/>
    </row>
    <row r="301" spans="1:77" s="271" customFormat="1" ht="142.5" x14ac:dyDescent="0.2">
      <c r="A301" s="437" t="s">
        <v>1005</v>
      </c>
      <c r="B301" s="438" t="s">
        <v>613</v>
      </c>
      <c r="C301" s="434" t="s">
        <v>624</v>
      </c>
      <c r="D301" s="434" t="s">
        <v>107</v>
      </c>
      <c r="E301" s="434" t="s">
        <v>1007</v>
      </c>
      <c r="F301" s="435" t="s">
        <v>1008</v>
      </c>
      <c r="G301" s="436" t="s">
        <v>1006</v>
      </c>
      <c r="H301" s="435" t="s">
        <v>655</v>
      </c>
      <c r="I301" s="435" t="s">
        <v>897</v>
      </c>
      <c r="J301" s="439">
        <v>24385</v>
      </c>
      <c r="K301" s="430" t="str">
        <f t="shared" ref="K301" si="569">IF(J301&lt;=0,"",IF(J301&lt;=2,"Muy Baja",IF(J301&lt;=24,"Baja",IF(J301&lt;=500,"Media",IF(J301&lt;=5000,"Alta","Muy Alta")))))</f>
        <v>Muy Alta</v>
      </c>
      <c r="L301" s="431">
        <f>IF(K301="","",IF(K301="Muy Baja",0.2,IF(K301="Baja",0.4,IF(K301="Media",0.6,IF(K301="Alta",0.8,IF(K301="Muy Alta",1,))))))</f>
        <v>1</v>
      </c>
      <c r="M301" s="432" t="s">
        <v>121</v>
      </c>
      <c r="N301" s="431" t="str">
        <f ca="1">IF(NOT(ISERROR(MATCH(M301,'Tabla Impacto'!$B$221:$B$223,0))),'Tabla Impacto'!$F$223&amp;"Por favor no seleccionar los criterios de impacto(Afectación Económica o presupuestal y Pérdida Reputacional)",M301)</f>
        <v xml:space="preserve">     El riesgo afecta la imagen de la entidad con algunos usuarios de relevancia frente al logro de los objetivos</v>
      </c>
      <c r="O301" s="430" t="str">
        <f ca="1">IF(OR(N301='Tabla Impacto'!$C$11,N301='Tabla Impacto'!$D$11),"Leve",IF(OR(N301='Tabla Impacto'!$C$12,N301='Tabla Impacto'!$D$12),"Menor",IF(OR(N301='Tabla Impacto'!$C$13,N301='Tabla Impacto'!$D$13),"Moderado",IF(OR(N301='Tabla Impacto'!$C$14,N301='Tabla Impacto'!$D$14),"Mayor",IF(OR(N301='Tabla Impacto'!$C$15,N301='Tabla Impacto'!$D$15),"Catastrófico","")))))</f>
        <v>Moderado</v>
      </c>
      <c r="P301" s="431">
        <f ca="1">IF(O301="","",IF(O301="Leve",0.2,IF(O301="Menor",0.4,IF(O301="Moderado",0.6,IF(O301="Mayor",0.8,IF(O301="Catastrófico",1,))))))</f>
        <v>0.6</v>
      </c>
      <c r="Q301" s="433" t="str">
        <f ca="1">IF(OR(AND(K301="Muy Baja",O301="Leve"),AND(K301="Muy Baja",O301="Menor"),AND(K301="Baja",O301="Leve")),"Bajo",IF(OR(AND(K301="Muy baja",O301="Moderado"),AND(K301="Baja",O301="Menor"),AND(K301="Baja",O301="Moderado"),AND(K301="Media",O301="Leve"),AND(K301="Media",O301="Menor"),AND(K301="Media",O301="Moderado"),AND(K301="Alta",O301="Leve"),AND(K301="Alta",O301="Menor")),"Moderado",IF(OR(AND(K301="Muy Baja",O301="Mayor"),AND(K301="Baja",O301="Mayor"),AND(K301="Media",O301="Mayor"),AND(K301="Alta",O301="Moderado"),AND(K301="Alta",O301="Mayor"),AND(K301="Muy Alta",O301="Leve"),AND(K301="Muy Alta",O301="Menor"),AND(K301="Muy Alta",O301="Moderado"),AND(K301="Muy Alta",O301="Mayor")),"Alto",IF(OR(AND(K301="Muy Baja",O301="Catastrófico"),AND(K301="Baja",O301="Catastrófico"),AND(K301="Media",O301="Catastrófico"),AND(K301="Alta",O301="Catastrófico"),AND(K301="Muy Alta",O301="Catastrófico")),"Extremo",""))))</f>
        <v>Alto</v>
      </c>
      <c r="R301" s="261">
        <v>1</v>
      </c>
      <c r="S301" s="334" t="s">
        <v>1009</v>
      </c>
      <c r="T301" s="272" t="s">
        <v>293</v>
      </c>
      <c r="U301" s="262" t="str">
        <f>IF(OR(V301="Preventivo",V301="Detectivo"),"Probabilidad",IF(V301="Correctivo","Impacto",""))</f>
        <v>Probabilidad</v>
      </c>
      <c r="V301" s="263" t="s">
        <v>13</v>
      </c>
      <c r="W301" s="263" t="s">
        <v>8</v>
      </c>
      <c r="X301" s="264" t="str">
        <f t="shared" si="47"/>
        <v>40%</v>
      </c>
      <c r="Y301" s="263" t="s">
        <v>18</v>
      </c>
      <c r="Z301" s="263" t="s">
        <v>21</v>
      </c>
      <c r="AA301" s="263" t="s">
        <v>103</v>
      </c>
      <c r="AB301" s="265">
        <f t="shared" ref="AB301" si="570">IFERROR(IF(U301="Probabilidad",(L301-(+L301*X301)),IF(U301="Impacto",L301,"")),"")</f>
        <v>0.6</v>
      </c>
      <c r="AC301" s="266" t="str">
        <f>IFERROR(IF(AB301="","",IF(AB301&lt;=0.2,"Muy Baja",IF(AB301&lt;=0.4,"Baja",IF(AB301&lt;=0.6,"Media",IF(AB301&lt;=0.8,"Alta","Muy Alta"))))),"")</f>
        <v>Media</v>
      </c>
      <c r="AD301" s="264">
        <f>+AB301</f>
        <v>0.6</v>
      </c>
      <c r="AE301" s="266" t="str">
        <f ca="1">IFERROR(IF(AF301="","",IF(AF301&lt;=0.2,"Leve",IF(AF301&lt;=0.4,"Menor",IF(AF301&lt;=0.6,"Moderado",IF(AF301&lt;=0.8,"Mayor","Catastrófico"))))),"")</f>
        <v>Moderado</v>
      </c>
      <c r="AF301" s="264">
        <f ca="1">IFERROR(IF(U301="Impacto",(P301-(+P301*X301)),IF(U301="Probabilidad",P301,"")),"")</f>
        <v>0.6</v>
      </c>
      <c r="AG301" s="267" t="str">
        <f ca="1">IFERROR(IF(OR(AND(AC301="Muy Baja",AE301="Leve"),AND(AC301="Muy Baja",AE301="Menor"),AND(AC301="Baja",AE301="Leve")),"Bajo",IF(OR(AND(AC301="Muy baja",AE301="Moderado"),AND(AC301="Baja",AE301="Menor"),AND(AC301="Baja",AE301="Moderado"),AND(AC301="Media",AE301="Leve"),AND(AC301="Media",AE301="Menor"),AND(AC301="Media",AE301="Moderado"),AND(AC301="Alta",AE301="Leve"),AND(AC301="Alta",AE301="Menor")),"Moderado",IF(OR(AND(AC301="Muy Baja",AE301="Mayor"),AND(AC301="Baja",AE301="Mayor"),AND(AC301="Media",AE301="Mayor"),AND(AC301="Alta",AE301="Moderado"),AND(AC301="Alta",AE301="Mayor"),AND(AC301="Muy Alta",AE301="Leve"),AND(AC301="Muy Alta",AE301="Menor"),AND(AC301="Muy Alta",AE301="Moderado"),AND(AC301="Muy Alta",AE301="Mayor")),"Alto",IF(OR(AND(AC301="Muy Baja",AE301="Catastrófico"),AND(AC301="Baja",AE301="Catastrófico"),AND(AC301="Media",AE301="Catastrófico"),AND(AC301="Alta",AE301="Catastrófico"),AND(AC301="Muy Alta",AE301="Catastrófico")),"Extremo","")))),"")</f>
        <v>Moderado</v>
      </c>
      <c r="AH301" s="263" t="s">
        <v>26</v>
      </c>
      <c r="AI301" s="273">
        <v>12</v>
      </c>
      <c r="AJ301" s="273">
        <v>3</v>
      </c>
      <c r="AK301" s="273">
        <v>3</v>
      </c>
      <c r="AL301" s="273">
        <v>3</v>
      </c>
      <c r="AM301" s="273">
        <v>3</v>
      </c>
      <c r="AN301" s="272"/>
      <c r="AO301" s="272"/>
      <c r="AP301" s="273"/>
      <c r="AQ301" s="274"/>
      <c r="AR301" s="274"/>
      <c r="AS301" s="323"/>
      <c r="AT301" s="323"/>
      <c r="AU301" s="323"/>
      <c r="AV301" s="323"/>
      <c r="AW301" s="323"/>
      <c r="AX301" s="323"/>
      <c r="AY301" s="323"/>
      <c r="AZ301" s="323"/>
      <c r="BA301" s="323"/>
      <c r="BB301" s="323"/>
      <c r="BC301" s="323"/>
      <c r="BD301" s="323"/>
      <c r="BE301" s="323"/>
      <c r="BF301" s="323"/>
      <c r="BG301" s="323"/>
      <c r="BH301" s="323"/>
      <c r="BI301" s="323"/>
      <c r="BJ301" s="323"/>
      <c r="BK301" s="323"/>
      <c r="BL301" s="323"/>
      <c r="BM301" s="323"/>
      <c r="BN301" s="323"/>
      <c r="BO301" s="323"/>
      <c r="BP301" s="323"/>
      <c r="BQ301" s="323"/>
      <c r="BR301" s="323"/>
      <c r="BS301" s="323"/>
      <c r="BT301" s="323"/>
      <c r="BU301" s="323"/>
      <c r="BV301" s="323"/>
      <c r="BW301" s="323"/>
      <c r="BX301" s="323"/>
      <c r="BY301" s="323"/>
    </row>
    <row r="302" spans="1:77" s="113" customFormat="1" ht="6.75" hidden="1" customHeight="1" x14ac:dyDescent="0.2">
      <c r="A302" s="437"/>
      <c r="B302" s="438"/>
      <c r="C302" s="434"/>
      <c r="D302" s="434"/>
      <c r="E302" s="434"/>
      <c r="F302" s="435"/>
      <c r="G302" s="436"/>
      <c r="H302" s="435"/>
      <c r="I302" s="435"/>
      <c r="J302" s="439"/>
      <c r="K302" s="430"/>
      <c r="L302" s="431"/>
      <c r="M302" s="432"/>
      <c r="N302" s="431">
        <f t="shared" ref="N302:N305" ca="1" si="571">IF(NOT(ISERROR(MATCH(M302,_xlfn.ANCHORARRAY(G313),0))),L315&amp;"Por favor no seleccionar los criterios de impacto",M302)</f>
        <v>0</v>
      </c>
      <c r="O302" s="430"/>
      <c r="P302" s="431"/>
      <c r="Q302" s="433"/>
      <c r="R302" s="316">
        <v>2</v>
      </c>
      <c r="S302" s="330"/>
      <c r="T302" s="312"/>
      <c r="U302" s="208" t="str">
        <f>IF(OR(V302="Preventivo",V302="Detectivo"),"Probabilidad",IF(V302="Correctivo","Impacto",""))</f>
        <v/>
      </c>
      <c r="V302" s="237"/>
      <c r="W302" s="237"/>
      <c r="X302" s="209" t="str">
        <f t="shared" si="47"/>
        <v/>
      </c>
      <c r="Y302" s="237"/>
      <c r="Z302" s="237"/>
      <c r="AA302" s="237"/>
      <c r="AB302" s="210" t="str">
        <f t="shared" ref="AB302" si="572">IFERROR(IF(AND(U301="Probabilidad",U302="Probabilidad"),(AD301-(+AD301*X302)),IF(U302="Probabilidad",(L301-(+L301*X302)),IF(U302="Impacto",AD301,""))),"")</f>
        <v/>
      </c>
      <c r="AC302" s="211" t="str">
        <f t="shared" ref="AC302:AC306" si="573">IFERROR(IF(AB302="","",IF(AB302&lt;=0.2,"Muy Baja",IF(AB302&lt;=0.4,"Baja",IF(AB302&lt;=0.6,"Media",IF(AB302&lt;=0.8,"Alta","Muy Alta"))))),"")</f>
        <v/>
      </c>
      <c r="AD302" s="209" t="str">
        <f t="shared" ref="AD302:AD306" si="574">+AB302</f>
        <v/>
      </c>
      <c r="AE302" s="211" t="str">
        <f t="shared" ref="AE302:AE306" si="575">IFERROR(IF(AF302="","",IF(AF302&lt;=0.2,"Leve",IF(AF302&lt;=0.4,"Menor",IF(AF302&lt;=0.6,"Moderado",IF(AF302&lt;=0.8,"Mayor","Catastrófico"))))),"")</f>
        <v/>
      </c>
      <c r="AF302" s="209" t="str">
        <f t="shared" ref="AF302:AF305" si="576">IFERROR(IF(AND(U301="Impacto",U302="Impacto"),(AF301-(+AF301*X302)),IF(U302="Impacto",($P$31-(+$P$31*X302)),IF(U302="Probabilidad",AF301,""))),"")</f>
        <v/>
      </c>
      <c r="AG302" s="212" t="str">
        <f t="shared" ref="AG302:AG303" si="577">IFERROR(IF(OR(AND(AC302="Muy Baja",AE302="Leve"),AND(AC302="Muy Baja",AE302="Menor"),AND(AC302="Baja",AE302="Leve")),"Bajo",IF(OR(AND(AC302="Muy baja",AE302="Moderado"),AND(AC302="Baja",AE302="Menor"),AND(AC302="Baja",AE302="Moderado"),AND(AC302="Media",AE302="Leve"),AND(AC302="Media",AE302="Menor"),AND(AC302="Media",AE302="Moderado"),AND(AC302="Alta",AE302="Leve"),AND(AC302="Alta",AE302="Menor")),"Moderado",IF(OR(AND(AC302="Muy Baja",AE302="Mayor"),AND(AC302="Baja",AE302="Mayor"),AND(AC302="Media",AE302="Mayor"),AND(AC302="Alta",AE302="Moderado"),AND(AC302="Alta",AE302="Mayor"),AND(AC302="Muy Alta",AE302="Leve"),AND(AC302="Muy Alta",AE302="Menor"),AND(AC302="Muy Alta",AE302="Moderado"),AND(AC302="Muy Alta",AE302="Mayor")),"Alto",IF(OR(AND(AC302="Muy Baja",AE302="Catastrófico"),AND(AC302="Baja",AE302="Catastrófico"),AND(AC302="Media",AE302="Catastrófico"),AND(AC302="Alta",AE302="Catastrófico"),AND(AC302="Muy Alta",AE302="Catastrófico")),"Extremo","")))),"")</f>
        <v/>
      </c>
      <c r="AH302" s="237"/>
      <c r="AI302" s="318"/>
      <c r="AJ302" s="318"/>
      <c r="AK302" s="318"/>
      <c r="AL302" s="318"/>
      <c r="AM302" s="318"/>
      <c r="AN302" s="312"/>
      <c r="AO302" s="312"/>
      <c r="AP302" s="309"/>
      <c r="AQ302" s="216"/>
      <c r="AR302" s="216"/>
      <c r="AS302" s="323"/>
      <c r="AT302" s="323"/>
      <c r="AU302" s="323"/>
      <c r="AV302" s="323"/>
      <c r="AW302" s="323"/>
      <c r="AX302" s="323"/>
      <c r="AY302" s="323"/>
      <c r="AZ302" s="323"/>
      <c r="BA302" s="323"/>
      <c r="BB302" s="323"/>
      <c r="BC302" s="323"/>
      <c r="BD302" s="323"/>
      <c r="BE302" s="323"/>
      <c r="BF302" s="323"/>
      <c r="BG302" s="323"/>
      <c r="BH302" s="323"/>
      <c r="BI302" s="323"/>
      <c r="BJ302" s="323"/>
      <c r="BK302" s="323"/>
      <c r="BL302" s="323"/>
      <c r="BM302" s="323"/>
      <c r="BN302" s="323"/>
      <c r="BO302" s="323"/>
      <c r="BP302" s="323"/>
      <c r="BQ302" s="323"/>
      <c r="BR302" s="323"/>
      <c r="BS302" s="323"/>
      <c r="BT302" s="323"/>
      <c r="BU302" s="323"/>
      <c r="BV302" s="323"/>
      <c r="BW302" s="323"/>
      <c r="BX302" s="323"/>
      <c r="BY302" s="323"/>
    </row>
    <row r="303" spans="1:77" s="113" customFormat="1" ht="6.75" hidden="1" customHeight="1" x14ac:dyDescent="0.2">
      <c r="A303" s="437"/>
      <c r="B303" s="438"/>
      <c r="C303" s="434"/>
      <c r="D303" s="434"/>
      <c r="E303" s="434"/>
      <c r="F303" s="435"/>
      <c r="G303" s="436"/>
      <c r="H303" s="435"/>
      <c r="I303" s="435"/>
      <c r="J303" s="439"/>
      <c r="K303" s="430"/>
      <c r="L303" s="431"/>
      <c r="M303" s="432"/>
      <c r="N303" s="431">
        <f t="shared" ca="1" si="571"/>
        <v>0</v>
      </c>
      <c r="O303" s="430"/>
      <c r="P303" s="431"/>
      <c r="Q303" s="433"/>
      <c r="R303" s="316">
        <v>3</v>
      </c>
      <c r="S303" s="330"/>
      <c r="T303" s="312"/>
      <c r="U303" s="208" t="str">
        <f>IF(OR(V303="Preventivo",V303="Detectivo"),"Probabilidad",IF(V303="Correctivo","Impacto",""))</f>
        <v/>
      </c>
      <c r="V303" s="237"/>
      <c r="W303" s="237"/>
      <c r="X303" s="209" t="str">
        <f t="shared" si="47"/>
        <v/>
      </c>
      <c r="Y303" s="237"/>
      <c r="Z303" s="237"/>
      <c r="AA303" s="237"/>
      <c r="AB303" s="210" t="str">
        <f t="shared" ref="AB303:AB306" si="578">IFERROR(IF(AND(U302="Probabilidad",U303="Probabilidad"),(AD302-(+AD302*X303)),IF(AND(U302="Impacto",U303="Probabilidad"),(AD301-(+AD301*X303)),IF(U303="Impacto",AD302,""))),"")</f>
        <v/>
      </c>
      <c r="AC303" s="211" t="str">
        <f t="shared" si="573"/>
        <v/>
      </c>
      <c r="AD303" s="209" t="str">
        <f t="shared" si="574"/>
        <v/>
      </c>
      <c r="AE303" s="211" t="str">
        <f t="shared" si="575"/>
        <v/>
      </c>
      <c r="AF303" s="209" t="str">
        <f t="shared" si="576"/>
        <v/>
      </c>
      <c r="AG303" s="212" t="str">
        <f t="shared" si="577"/>
        <v/>
      </c>
      <c r="AH303" s="237"/>
      <c r="AI303" s="318"/>
      <c r="AJ303" s="318"/>
      <c r="AK303" s="318"/>
      <c r="AL303" s="318"/>
      <c r="AM303" s="318"/>
      <c r="AN303" s="312"/>
      <c r="AO303" s="312"/>
      <c r="AP303" s="309"/>
      <c r="AQ303" s="216"/>
      <c r="AR303" s="216"/>
      <c r="AS303" s="323"/>
      <c r="AT303" s="323"/>
      <c r="AU303" s="323"/>
      <c r="AV303" s="323"/>
      <c r="AW303" s="323"/>
      <c r="AX303" s="323"/>
      <c r="AY303" s="323"/>
      <c r="AZ303" s="323"/>
      <c r="BA303" s="323"/>
      <c r="BB303" s="323"/>
      <c r="BC303" s="323"/>
      <c r="BD303" s="323"/>
      <c r="BE303" s="323"/>
      <c r="BF303" s="323"/>
      <c r="BG303" s="323"/>
      <c r="BH303" s="323"/>
      <c r="BI303" s="323"/>
      <c r="BJ303" s="323"/>
      <c r="BK303" s="323"/>
      <c r="BL303" s="323"/>
      <c r="BM303" s="323"/>
      <c r="BN303" s="323"/>
      <c r="BO303" s="323"/>
      <c r="BP303" s="323"/>
      <c r="BQ303" s="323"/>
      <c r="BR303" s="323"/>
      <c r="BS303" s="323"/>
      <c r="BT303" s="323"/>
      <c r="BU303" s="323"/>
      <c r="BV303" s="323"/>
      <c r="BW303" s="323"/>
      <c r="BX303" s="323"/>
      <c r="BY303" s="323"/>
    </row>
    <row r="304" spans="1:77" s="113" customFormat="1" ht="6.75" hidden="1" customHeight="1" x14ac:dyDescent="0.2">
      <c r="A304" s="437"/>
      <c r="B304" s="438"/>
      <c r="C304" s="434"/>
      <c r="D304" s="434"/>
      <c r="E304" s="434"/>
      <c r="F304" s="435"/>
      <c r="G304" s="436"/>
      <c r="H304" s="435"/>
      <c r="I304" s="435"/>
      <c r="J304" s="439"/>
      <c r="K304" s="430"/>
      <c r="L304" s="431"/>
      <c r="M304" s="432"/>
      <c r="N304" s="431">
        <f t="shared" ca="1" si="571"/>
        <v>0</v>
      </c>
      <c r="O304" s="430"/>
      <c r="P304" s="431"/>
      <c r="Q304" s="433"/>
      <c r="R304" s="316">
        <v>4</v>
      </c>
      <c r="S304" s="330"/>
      <c r="T304" s="312"/>
      <c r="U304" s="208" t="str">
        <f t="shared" ref="U304:U306" si="579">IF(OR(V304="Preventivo",V304="Detectivo"),"Probabilidad",IF(V304="Correctivo","Impacto",""))</f>
        <v/>
      </c>
      <c r="V304" s="237"/>
      <c r="W304" s="237"/>
      <c r="X304" s="209" t="str">
        <f t="shared" si="47"/>
        <v/>
      </c>
      <c r="Y304" s="237"/>
      <c r="Z304" s="237"/>
      <c r="AA304" s="237"/>
      <c r="AB304" s="210" t="str">
        <f t="shared" si="578"/>
        <v/>
      </c>
      <c r="AC304" s="211" t="str">
        <f t="shared" si="573"/>
        <v/>
      </c>
      <c r="AD304" s="209" t="str">
        <f t="shared" si="574"/>
        <v/>
      </c>
      <c r="AE304" s="211" t="str">
        <f t="shared" si="575"/>
        <v/>
      </c>
      <c r="AF304" s="209" t="str">
        <f t="shared" si="576"/>
        <v/>
      </c>
      <c r="AG304" s="212" t="str">
        <f>IFERROR(IF(OR(AND(AC304="Muy Baja",AE304="Leve"),AND(AC304="Muy Baja",AE304="Menor"),AND(AC304="Baja",AE304="Leve")),"Bajo",IF(OR(AND(AC304="Muy baja",AE304="Moderado"),AND(AC304="Baja",AE304="Menor"),AND(AC304="Baja",AE304="Moderado"),AND(AC304="Media",AE304="Leve"),AND(AC304="Media",AE304="Menor"),AND(AC304="Media",AE304="Moderado"),AND(AC304="Alta",AE304="Leve"),AND(AC304="Alta",AE304="Menor")),"Moderado",IF(OR(AND(AC304="Muy Baja",AE304="Mayor"),AND(AC304="Baja",AE304="Mayor"),AND(AC304="Media",AE304="Mayor"),AND(AC304="Alta",AE304="Moderado"),AND(AC304="Alta",AE304="Mayor"),AND(AC304="Muy Alta",AE304="Leve"),AND(AC304="Muy Alta",AE304="Menor"),AND(AC304="Muy Alta",AE304="Moderado"),AND(AC304="Muy Alta",AE304="Mayor")),"Alto",IF(OR(AND(AC304="Muy Baja",AE304="Catastrófico"),AND(AC304="Baja",AE304="Catastrófico"),AND(AC304="Media",AE304="Catastrófico"),AND(AC304="Alta",AE304="Catastrófico"),AND(AC304="Muy Alta",AE304="Catastrófico")),"Extremo","")))),"")</f>
        <v/>
      </c>
      <c r="AH304" s="237"/>
      <c r="AI304" s="318"/>
      <c r="AJ304" s="318"/>
      <c r="AK304" s="318"/>
      <c r="AL304" s="318"/>
      <c r="AM304" s="318"/>
      <c r="AN304" s="312"/>
      <c r="AO304" s="312"/>
      <c r="AP304" s="309"/>
      <c r="AQ304" s="216"/>
      <c r="AR304" s="216"/>
      <c r="AS304" s="323"/>
      <c r="AT304" s="323"/>
      <c r="AU304" s="323"/>
      <c r="AV304" s="323"/>
      <c r="AW304" s="323"/>
      <c r="AX304" s="323"/>
      <c r="AY304" s="323"/>
      <c r="AZ304" s="323"/>
      <c r="BA304" s="323"/>
      <c r="BB304" s="323"/>
      <c r="BC304" s="323"/>
      <c r="BD304" s="323"/>
      <c r="BE304" s="323"/>
      <c r="BF304" s="323"/>
      <c r="BG304" s="323"/>
      <c r="BH304" s="323"/>
      <c r="BI304" s="323"/>
      <c r="BJ304" s="323"/>
      <c r="BK304" s="323"/>
      <c r="BL304" s="323"/>
      <c r="BM304" s="323"/>
      <c r="BN304" s="323"/>
      <c r="BO304" s="323"/>
      <c r="BP304" s="323"/>
      <c r="BQ304" s="323"/>
      <c r="BR304" s="323"/>
      <c r="BS304" s="323"/>
      <c r="BT304" s="323"/>
      <c r="BU304" s="323"/>
      <c r="BV304" s="323"/>
      <c r="BW304" s="323"/>
      <c r="BX304" s="323"/>
      <c r="BY304" s="323"/>
    </row>
    <row r="305" spans="1:77" s="113" customFormat="1" ht="6.75" hidden="1" customHeight="1" x14ac:dyDescent="0.2">
      <c r="A305" s="437"/>
      <c r="B305" s="438"/>
      <c r="C305" s="434"/>
      <c r="D305" s="434"/>
      <c r="E305" s="434"/>
      <c r="F305" s="435"/>
      <c r="G305" s="436"/>
      <c r="H305" s="435"/>
      <c r="I305" s="435"/>
      <c r="J305" s="439"/>
      <c r="K305" s="430"/>
      <c r="L305" s="431"/>
      <c r="M305" s="432"/>
      <c r="N305" s="431">
        <f t="shared" ca="1" si="571"/>
        <v>0</v>
      </c>
      <c r="O305" s="430"/>
      <c r="P305" s="431"/>
      <c r="Q305" s="433"/>
      <c r="R305" s="316">
        <v>5</v>
      </c>
      <c r="S305" s="330"/>
      <c r="T305" s="312"/>
      <c r="U305" s="208" t="str">
        <f t="shared" si="579"/>
        <v/>
      </c>
      <c r="V305" s="237"/>
      <c r="W305" s="237"/>
      <c r="X305" s="209" t="str">
        <f t="shared" si="47"/>
        <v/>
      </c>
      <c r="Y305" s="237"/>
      <c r="Z305" s="237"/>
      <c r="AA305" s="237"/>
      <c r="AB305" s="210" t="str">
        <f t="shared" si="578"/>
        <v/>
      </c>
      <c r="AC305" s="211" t="str">
        <f t="shared" si="573"/>
        <v/>
      </c>
      <c r="AD305" s="209" t="str">
        <f t="shared" si="574"/>
        <v/>
      </c>
      <c r="AE305" s="211" t="str">
        <f t="shared" si="575"/>
        <v/>
      </c>
      <c r="AF305" s="209" t="str">
        <f t="shared" si="576"/>
        <v/>
      </c>
      <c r="AG305" s="212" t="str">
        <f t="shared" ref="AG305:AG306" si="580">IFERROR(IF(OR(AND(AC305="Muy Baja",AE305="Leve"),AND(AC305="Muy Baja",AE305="Menor"),AND(AC305="Baja",AE305="Leve")),"Bajo",IF(OR(AND(AC305="Muy baja",AE305="Moderado"),AND(AC305="Baja",AE305="Menor"),AND(AC305="Baja",AE305="Moderado"),AND(AC305="Media",AE305="Leve"),AND(AC305="Media",AE305="Menor"),AND(AC305="Media",AE305="Moderado"),AND(AC305="Alta",AE305="Leve"),AND(AC305="Alta",AE305="Menor")),"Moderado",IF(OR(AND(AC305="Muy Baja",AE305="Mayor"),AND(AC305="Baja",AE305="Mayor"),AND(AC305="Media",AE305="Mayor"),AND(AC305="Alta",AE305="Moderado"),AND(AC305="Alta",AE305="Mayor"),AND(AC305="Muy Alta",AE305="Leve"),AND(AC305="Muy Alta",AE305="Menor"),AND(AC305="Muy Alta",AE305="Moderado"),AND(AC305="Muy Alta",AE305="Mayor")),"Alto",IF(OR(AND(AC305="Muy Baja",AE305="Catastrófico"),AND(AC305="Baja",AE305="Catastrófico"),AND(AC305="Media",AE305="Catastrófico"),AND(AC305="Alta",AE305="Catastrófico"),AND(AC305="Muy Alta",AE305="Catastrófico")),"Extremo","")))),"")</f>
        <v/>
      </c>
      <c r="AH305" s="237"/>
      <c r="AI305" s="318"/>
      <c r="AJ305" s="318"/>
      <c r="AK305" s="318"/>
      <c r="AL305" s="318"/>
      <c r="AM305" s="318"/>
      <c r="AN305" s="312"/>
      <c r="AO305" s="312"/>
      <c r="AP305" s="309"/>
      <c r="AQ305" s="216"/>
      <c r="AR305" s="216"/>
      <c r="AS305" s="323"/>
      <c r="AT305" s="323"/>
      <c r="AU305" s="323"/>
      <c r="AV305" s="323"/>
      <c r="AW305" s="323"/>
      <c r="AX305" s="323"/>
      <c r="AY305" s="323"/>
      <c r="AZ305" s="323"/>
      <c r="BA305" s="323"/>
      <c r="BB305" s="323"/>
      <c r="BC305" s="323"/>
      <c r="BD305" s="323"/>
      <c r="BE305" s="323"/>
      <c r="BF305" s="323"/>
      <c r="BG305" s="323"/>
      <c r="BH305" s="323"/>
      <c r="BI305" s="323"/>
      <c r="BJ305" s="323"/>
      <c r="BK305" s="323"/>
      <c r="BL305" s="323"/>
      <c r="BM305" s="323"/>
      <c r="BN305" s="323"/>
      <c r="BO305" s="323"/>
      <c r="BP305" s="323"/>
      <c r="BQ305" s="323"/>
      <c r="BR305" s="323"/>
      <c r="BS305" s="323"/>
      <c r="BT305" s="323"/>
      <c r="BU305" s="323"/>
      <c r="BV305" s="323"/>
      <c r="BW305" s="323"/>
      <c r="BX305" s="323"/>
      <c r="BY305" s="323"/>
    </row>
    <row r="306" spans="1:77" s="113" customFormat="1" ht="6.75" hidden="1" customHeight="1" x14ac:dyDescent="0.2">
      <c r="A306" s="437"/>
      <c r="B306" s="438"/>
      <c r="C306" s="434"/>
      <c r="D306" s="434"/>
      <c r="E306" s="434"/>
      <c r="F306" s="435"/>
      <c r="G306" s="436"/>
      <c r="H306" s="435"/>
      <c r="I306" s="435"/>
      <c r="J306" s="439"/>
      <c r="K306" s="430"/>
      <c r="L306" s="431"/>
      <c r="M306" s="432"/>
      <c r="N306" s="431">
        <f ca="1">IF(NOT(ISERROR(MATCH(M306,_xlfn.ANCHORARRAY(G317),0))),L331&amp;"Por favor no seleccionar los criterios de impacto",M306)</f>
        <v>0</v>
      </c>
      <c r="O306" s="430"/>
      <c r="P306" s="431"/>
      <c r="Q306" s="433"/>
      <c r="R306" s="316">
        <v>6</v>
      </c>
      <c r="S306" s="330"/>
      <c r="T306" s="312"/>
      <c r="U306" s="208" t="str">
        <f t="shared" si="579"/>
        <v/>
      </c>
      <c r="V306" s="237"/>
      <c r="W306" s="237"/>
      <c r="X306" s="209" t="str">
        <f t="shared" si="47"/>
        <v/>
      </c>
      <c r="Y306" s="237"/>
      <c r="Z306" s="237"/>
      <c r="AA306" s="237"/>
      <c r="AB306" s="210" t="str">
        <f t="shared" si="578"/>
        <v/>
      </c>
      <c r="AC306" s="211" t="str">
        <f t="shared" si="573"/>
        <v/>
      </c>
      <c r="AD306" s="209" t="str">
        <f t="shared" si="574"/>
        <v/>
      </c>
      <c r="AE306" s="211" t="str">
        <f t="shared" si="575"/>
        <v/>
      </c>
      <c r="AF306" s="209" t="str">
        <f>IFERROR(IF(AND(U305="Impacto",U306="Impacto"),(AF305-(+AF305*X306)),IF(U306="Impacto",($P$31-(+$P$31*X306)),IF(U306="Probabilidad",AF305,""))),"")</f>
        <v/>
      </c>
      <c r="AG306" s="212" t="str">
        <f t="shared" si="580"/>
        <v/>
      </c>
      <c r="AH306" s="237"/>
      <c r="AI306" s="318"/>
      <c r="AJ306" s="318"/>
      <c r="AK306" s="318"/>
      <c r="AL306" s="318"/>
      <c r="AM306" s="318"/>
      <c r="AN306" s="312"/>
      <c r="AO306" s="312"/>
      <c r="AP306" s="309"/>
      <c r="AQ306" s="216"/>
      <c r="AR306" s="216"/>
      <c r="AS306" s="323"/>
      <c r="AT306" s="323"/>
      <c r="AU306" s="323"/>
      <c r="AV306" s="323"/>
      <c r="AW306" s="323"/>
      <c r="AX306" s="323"/>
      <c r="AY306" s="323"/>
      <c r="AZ306" s="323"/>
      <c r="BA306" s="323"/>
      <c r="BB306" s="323"/>
      <c r="BC306" s="323"/>
      <c r="BD306" s="323"/>
      <c r="BE306" s="323"/>
      <c r="BF306" s="323"/>
      <c r="BG306" s="323"/>
      <c r="BH306" s="323"/>
      <c r="BI306" s="323"/>
      <c r="BJ306" s="323"/>
      <c r="BK306" s="323"/>
      <c r="BL306" s="323"/>
      <c r="BM306" s="323"/>
      <c r="BN306" s="323"/>
      <c r="BO306" s="323"/>
      <c r="BP306" s="323"/>
      <c r="BQ306" s="323"/>
      <c r="BR306" s="323"/>
      <c r="BS306" s="323"/>
      <c r="BT306" s="323"/>
      <c r="BU306" s="323"/>
      <c r="BV306" s="323"/>
      <c r="BW306" s="323"/>
      <c r="BX306" s="323"/>
      <c r="BY306" s="323"/>
    </row>
    <row r="307" spans="1:77" s="271" customFormat="1" ht="99.75" x14ac:dyDescent="0.2">
      <c r="A307" s="437" t="s">
        <v>1010</v>
      </c>
      <c r="B307" s="438" t="s">
        <v>613</v>
      </c>
      <c r="C307" s="434" t="s">
        <v>624</v>
      </c>
      <c r="D307" s="434" t="s">
        <v>107</v>
      </c>
      <c r="E307" s="434" t="s">
        <v>1012</v>
      </c>
      <c r="F307" s="435" t="s">
        <v>685</v>
      </c>
      <c r="G307" s="436" t="s">
        <v>1011</v>
      </c>
      <c r="H307" s="435" t="s">
        <v>655</v>
      </c>
      <c r="I307" s="435" t="s">
        <v>1100</v>
      </c>
      <c r="J307" s="439">
        <v>1500</v>
      </c>
      <c r="K307" s="430" t="str">
        <f t="shared" ref="K307" si="581">IF(J307&lt;=0,"",IF(J307&lt;=2,"Muy Baja",IF(J307&lt;=24,"Baja",IF(J307&lt;=500,"Media",IF(J307&lt;=5000,"Alta","Muy Alta")))))</f>
        <v>Alta</v>
      </c>
      <c r="L307" s="431">
        <f>IF(K307="","",IF(K307="Muy Baja",0.2,IF(K307="Baja",0.4,IF(K307="Media",0.6,IF(K307="Alta",0.8,IF(K307="Muy Alta",1,))))))</f>
        <v>0.8</v>
      </c>
      <c r="M307" s="432" t="s">
        <v>122</v>
      </c>
      <c r="N307" s="431" t="str">
        <f ca="1">IF(NOT(ISERROR(MATCH(M307,'Tabla Impacto'!$B$221:$B$223,0))),'Tabla Impacto'!$F$223&amp;"Por favor no seleccionar los criterios de impacto(Afectación Económica o presupuestal y Pérdida Reputacional)",M307)</f>
        <v xml:space="preserve">     El riesgo afecta la imagen de de la entidad con efecto publicitario sostenido a nivel de sector administrativo, nivel departamental o municipal</v>
      </c>
      <c r="O307" s="430" t="str">
        <f ca="1">IF(OR(N307='Tabla Impacto'!$C$11,N307='Tabla Impacto'!$D$11),"Leve",IF(OR(N307='Tabla Impacto'!$C$12,N307='Tabla Impacto'!$D$12),"Menor",IF(OR(N307='Tabla Impacto'!$C$13,N307='Tabla Impacto'!$D$13),"Moderado",IF(OR(N307='Tabla Impacto'!$C$14,N307='Tabla Impacto'!$D$14),"Mayor",IF(OR(N307='Tabla Impacto'!$C$15,N307='Tabla Impacto'!$D$15),"Catastrófico","")))))</f>
        <v>Mayor</v>
      </c>
      <c r="P307" s="431">
        <f ca="1">IF(O307="","",IF(O307="Leve",0.2,IF(O307="Menor",0.4,IF(O307="Moderado",0.6,IF(O307="Mayor",0.8,IF(O307="Catastrófico",1,))))))</f>
        <v>0.8</v>
      </c>
      <c r="Q307" s="433" t="str">
        <f ca="1">IF(OR(AND(K307="Muy Baja",O307="Leve"),AND(K307="Muy Baja",O307="Menor"),AND(K307="Baja",O307="Leve")),"Bajo",IF(OR(AND(K307="Muy baja",O307="Moderado"),AND(K307="Baja",O307="Menor"),AND(K307="Baja",O307="Moderado"),AND(K307="Media",O307="Leve"),AND(K307="Media",O307="Menor"),AND(K307="Media",O307="Moderado"),AND(K307="Alta",O307="Leve"),AND(K307="Alta",O307="Menor")),"Moderado",IF(OR(AND(K307="Muy Baja",O307="Mayor"),AND(K307="Baja",O307="Mayor"),AND(K307="Media",O307="Mayor"),AND(K307="Alta",O307="Moderado"),AND(K307="Alta",O307="Mayor"),AND(K307="Muy Alta",O307="Leve"),AND(K307="Muy Alta",O307="Menor"),AND(K307="Muy Alta",O307="Moderado"),AND(K307="Muy Alta",O307="Mayor")),"Alto",IF(OR(AND(K307="Muy Baja",O307="Catastrófico"),AND(K307="Baja",O307="Catastrófico"),AND(K307="Media",O307="Catastrófico"),AND(K307="Alta",O307="Catastrófico"),AND(K307="Muy Alta",O307="Catastrófico")),"Extremo",""))))</f>
        <v>Alto</v>
      </c>
      <c r="R307" s="261">
        <v>1</v>
      </c>
      <c r="S307" s="334" t="s">
        <v>1013</v>
      </c>
      <c r="T307" s="272" t="s">
        <v>293</v>
      </c>
      <c r="U307" s="262" t="str">
        <f>IF(OR(V307="Preventivo",V307="Detectivo"),"Probabilidad",IF(V307="Correctivo","Impacto",""))</f>
        <v>Probabilidad</v>
      </c>
      <c r="V307" s="263" t="s">
        <v>13</v>
      </c>
      <c r="W307" s="263" t="s">
        <v>8</v>
      </c>
      <c r="X307" s="264" t="str">
        <f t="shared" ref="X307:X312" si="582">IF(AND(V307="Preventivo",W307="Automático"),"50%",IF(AND(V307="Preventivo",W307="Manual"),"40%",IF(AND(V307="Detectivo",W307="Automático"),"40%",IF(AND(V307="Detectivo",W307="Manual"),"30%",IF(AND(V307="Correctivo",W307="Automático"),"35%",IF(AND(V307="Correctivo",W307="Manual"),"25%",""))))))</f>
        <v>40%</v>
      </c>
      <c r="Y307" s="263" t="s">
        <v>18</v>
      </c>
      <c r="Z307" s="263" t="s">
        <v>21</v>
      </c>
      <c r="AA307" s="263" t="s">
        <v>103</v>
      </c>
      <c r="AB307" s="265">
        <f t="shared" ref="AB307" si="583">IFERROR(IF(U307="Probabilidad",(L307-(+L307*X307)),IF(U307="Impacto",L307,"")),"")</f>
        <v>0.48</v>
      </c>
      <c r="AC307" s="266" t="str">
        <f>IFERROR(IF(AB307="","",IF(AB307&lt;=0.2,"Muy Baja",IF(AB307&lt;=0.4,"Baja",IF(AB307&lt;=0.6,"Media",IF(AB307&lt;=0.8,"Alta","Muy Alta"))))),"")</f>
        <v>Media</v>
      </c>
      <c r="AD307" s="264">
        <f>+AB307</f>
        <v>0.48</v>
      </c>
      <c r="AE307" s="266" t="str">
        <f ca="1">IFERROR(IF(AF307="","",IF(AF307&lt;=0.2,"Leve",IF(AF307&lt;=0.4,"Menor",IF(AF307&lt;=0.6,"Moderado",IF(AF307&lt;=0.8,"Mayor","Catastrófico"))))),"")</f>
        <v>Mayor</v>
      </c>
      <c r="AF307" s="264">
        <f ca="1">IFERROR(IF(U307="Impacto",(P307-(+P307*X307)),IF(U307="Probabilidad",P307,"")),"")</f>
        <v>0.8</v>
      </c>
      <c r="AG307" s="267" t="str">
        <f ca="1">IFERROR(IF(OR(AND(AC307="Muy Baja",AE307="Leve"),AND(AC307="Muy Baja",AE307="Menor"),AND(AC307="Baja",AE307="Leve")),"Bajo",IF(OR(AND(AC307="Muy baja",AE307="Moderado"),AND(AC307="Baja",AE307="Menor"),AND(AC307="Baja",AE307="Moderado"),AND(AC307="Media",AE307="Leve"),AND(AC307="Media",AE307="Menor"),AND(AC307="Media",AE307="Moderado"),AND(AC307="Alta",AE307="Leve"),AND(AC307="Alta",AE307="Menor")),"Moderado",IF(OR(AND(AC307="Muy Baja",AE307="Mayor"),AND(AC307="Baja",AE307="Mayor"),AND(AC307="Media",AE307="Mayor"),AND(AC307="Alta",AE307="Moderado"),AND(AC307="Alta",AE307="Mayor"),AND(AC307="Muy Alta",AE307="Leve"),AND(AC307="Muy Alta",AE307="Menor"),AND(AC307="Muy Alta",AE307="Moderado"),AND(AC307="Muy Alta",AE307="Mayor")),"Alto",IF(OR(AND(AC307="Muy Baja",AE307="Catastrófico"),AND(AC307="Baja",AE307="Catastrófico"),AND(AC307="Media",AE307="Catastrófico"),AND(AC307="Alta",AE307="Catastrófico"),AND(AC307="Muy Alta",AE307="Catastrófico")),"Extremo","")))),"")</f>
        <v>Alto</v>
      </c>
      <c r="AH307" s="263" t="s">
        <v>26</v>
      </c>
      <c r="AI307" s="273">
        <v>2</v>
      </c>
      <c r="AJ307" s="273">
        <v>0</v>
      </c>
      <c r="AK307" s="273">
        <v>1</v>
      </c>
      <c r="AL307" s="273">
        <v>0</v>
      </c>
      <c r="AM307" s="273">
        <v>1</v>
      </c>
      <c r="AN307" s="272"/>
      <c r="AO307" s="272"/>
      <c r="AP307" s="273"/>
      <c r="AQ307" s="274"/>
      <c r="AR307" s="274"/>
      <c r="AS307" s="323"/>
      <c r="AT307" s="323"/>
      <c r="AU307" s="323"/>
      <c r="AV307" s="323"/>
      <c r="AW307" s="323"/>
      <c r="AX307" s="323"/>
      <c r="AY307" s="323"/>
      <c r="AZ307" s="323"/>
      <c r="BA307" s="323"/>
      <c r="BB307" s="323"/>
      <c r="BC307" s="323"/>
      <c r="BD307" s="323"/>
      <c r="BE307" s="323"/>
      <c r="BF307" s="323"/>
      <c r="BG307" s="323"/>
      <c r="BH307" s="323"/>
      <c r="BI307" s="323"/>
      <c r="BJ307" s="323"/>
      <c r="BK307" s="323"/>
      <c r="BL307" s="323"/>
      <c r="BM307" s="323"/>
      <c r="BN307" s="323"/>
      <c r="BO307" s="323"/>
      <c r="BP307" s="323"/>
      <c r="BQ307" s="323"/>
      <c r="BR307" s="323"/>
      <c r="BS307" s="323"/>
      <c r="BT307" s="323"/>
      <c r="BU307" s="323"/>
      <c r="BV307" s="323"/>
      <c r="BW307" s="323"/>
      <c r="BX307" s="323"/>
      <c r="BY307" s="323"/>
    </row>
    <row r="308" spans="1:77" s="113" customFormat="1" ht="114" x14ac:dyDescent="0.2">
      <c r="A308" s="437"/>
      <c r="B308" s="438"/>
      <c r="C308" s="434"/>
      <c r="D308" s="434"/>
      <c r="E308" s="434"/>
      <c r="F308" s="435"/>
      <c r="G308" s="436"/>
      <c r="H308" s="435"/>
      <c r="I308" s="435"/>
      <c r="J308" s="439"/>
      <c r="K308" s="430"/>
      <c r="L308" s="431"/>
      <c r="M308" s="432"/>
      <c r="N308" s="431">
        <f t="shared" ref="N308:N311" ca="1" si="584">IF(NOT(ISERROR(MATCH(M308,_xlfn.ANCHORARRAY(G319),0))),L321&amp;"Por favor no seleccionar los criterios de impacto",M308)</f>
        <v>0</v>
      </c>
      <c r="O308" s="430"/>
      <c r="P308" s="431"/>
      <c r="Q308" s="433"/>
      <c r="R308" s="316">
        <v>2</v>
      </c>
      <c r="S308" s="330" t="s">
        <v>1014</v>
      </c>
      <c r="T308" s="312" t="s">
        <v>293</v>
      </c>
      <c r="U308" s="208" t="str">
        <f>IF(OR(V308="Preventivo",V308="Detectivo"),"Probabilidad",IF(V308="Correctivo","Impacto",""))</f>
        <v>Probabilidad</v>
      </c>
      <c r="V308" s="237" t="s">
        <v>13</v>
      </c>
      <c r="W308" s="237" t="s">
        <v>8</v>
      </c>
      <c r="X308" s="209" t="str">
        <f t="shared" si="582"/>
        <v>40%</v>
      </c>
      <c r="Y308" s="237" t="s">
        <v>18</v>
      </c>
      <c r="Z308" s="237" t="s">
        <v>21</v>
      </c>
      <c r="AA308" s="237" t="s">
        <v>103</v>
      </c>
      <c r="AB308" s="210">
        <f t="shared" ref="AB308" si="585">IFERROR(IF(AND(U307="Probabilidad",U308="Probabilidad"),(AD307-(+AD307*X308)),IF(U308="Probabilidad",(L307-(+L307*X308)),IF(U308="Impacto",AD307,""))),"")</f>
        <v>0.28799999999999998</v>
      </c>
      <c r="AC308" s="211" t="str">
        <f t="shared" ref="AC308:AC312" si="586">IFERROR(IF(AB308="","",IF(AB308&lt;=0.2,"Muy Baja",IF(AB308&lt;=0.4,"Baja",IF(AB308&lt;=0.6,"Media",IF(AB308&lt;=0.8,"Alta","Muy Alta"))))),"")</f>
        <v>Baja</v>
      </c>
      <c r="AD308" s="209">
        <f t="shared" ref="AD308:AD312" si="587">+AB308</f>
        <v>0.28799999999999998</v>
      </c>
      <c r="AE308" s="211" t="str">
        <f t="shared" ref="AE308:AE312" ca="1" si="588">IFERROR(IF(AF308="","",IF(AF308&lt;=0.2,"Leve",IF(AF308&lt;=0.4,"Menor",IF(AF308&lt;=0.6,"Moderado",IF(AF308&lt;=0.8,"Mayor","Catastrófico"))))),"")</f>
        <v>Mayor</v>
      </c>
      <c r="AF308" s="209">
        <f t="shared" ref="AF308:AF311" ca="1" si="589">IFERROR(IF(AND(U307="Impacto",U308="Impacto"),(AF307-(+AF307*X308)),IF(U308="Impacto",($P$31-(+$P$31*X308)),IF(U308="Probabilidad",AF307,""))),"")</f>
        <v>0.8</v>
      </c>
      <c r="AG308" s="212" t="str">
        <f t="shared" ref="AG308:AG309" ca="1" si="590">IFERROR(IF(OR(AND(AC308="Muy Baja",AE308="Leve"),AND(AC308="Muy Baja",AE308="Menor"),AND(AC308="Baja",AE308="Leve")),"Bajo",IF(OR(AND(AC308="Muy baja",AE308="Moderado"),AND(AC308="Baja",AE308="Menor"),AND(AC308="Baja",AE308="Moderado"),AND(AC308="Media",AE308="Leve"),AND(AC308="Media",AE308="Menor"),AND(AC308="Media",AE308="Moderado"),AND(AC308="Alta",AE308="Leve"),AND(AC308="Alta",AE308="Menor")),"Moderado",IF(OR(AND(AC308="Muy Baja",AE308="Mayor"),AND(AC308="Baja",AE308="Mayor"),AND(AC308="Media",AE308="Mayor"),AND(AC308="Alta",AE308="Moderado"),AND(AC308="Alta",AE308="Mayor"),AND(AC308="Muy Alta",AE308="Leve"),AND(AC308="Muy Alta",AE308="Menor"),AND(AC308="Muy Alta",AE308="Moderado"),AND(AC308="Muy Alta",AE308="Mayor")),"Alto",IF(OR(AND(AC308="Muy Baja",AE308="Catastrófico"),AND(AC308="Baja",AE308="Catastrófico"),AND(AC308="Media",AE308="Catastrófico"),AND(AC308="Alta",AE308="Catastrófico"),AND(AC308="Muy Alta",AE308="Catastrófico")),"Extremo","")))),"")</f>
        <v>Alto</v>
      </c>
      <c r="AH308" s="237" t="s">
        <v>26</v>
      </c>
      <c r="AI308" s="318">
        <v>0</v>
      </c>
      <c r="AJ308" s="318">
        <v>0</v>
      </c>
      <c r="AK308" s="318">
        <v>0</v>
      </c>
      <c r="AL308" s="318">
        <v>0</v>
      </c>
      <c r="AM308" s="318">
        <v>0</v>
      </c>
      <c r="AN308" s="312"/>
      <c r="AO308" s="312"/>
      <c r="AP308" s="309"/>
      <c r="AQ308" s="216"/>
      <c r="AR308" s="216"/>
      <c r="AS308" s="323"/>
      <c r="AT308" s="323"/>
      <c r="AU308" s="323"/>
      <c r="AV308" s="323"/>
      <c r="AW308" s="323"/>
      <c r="AX308" s="323"/>
      <c r="AY308" s="323"/>
      <c r="AZ308" s="323"/>
      <c r="BA308" s="323"/>
      <c r="BB308" s="323"/>
      <c r="BC308" s="323"/>
      <c r="BD308" s="323"/>
      <c r="BE308" s="323"/>
      <c r="BF308" s="323"/>
      <c r="BG308" s="323"/>
      <c r="BH308" s="323"/>
      <c r="BI308" s="323"/>
      <c r="BJ308" s="323"/>
      <c r="BK308" s="323"/>
      <c r="BL308" s="323"/>
      <c r="BM308" s="323"/>
      <c r="BN308" s="323"/>
      <c r="BO308" s="323"/>
      <c r="BP308" s="323"/>
      <c r="BQ308" s="323"/>
      <c r="BR308" s="323"/>
      <c r="BS308" s="323"/>
      <c r="BT308" s="323"/>
      <c r="BU308" s="323"/>
      <c r="BV308" s="323"/>
      <c r="BW308" s="323"/>
      <c r="BX308" s="323"/>
      <c r="BY308" s="323"/>
    </row>
    <row r="309" spans="1:77" s="113" customFormat="1" ht="15" hidden="1" customHeight="1" x14ac:dyDescent="0.2">
      <c r="A309" s="437"/>
      <c r="B309" s="438"/>
      <c r="C309" s="434"/>
      <c r="D309" s="434"/>
      <c r="E309" s="434"/>
      <c r="F309" s="435"/>
      <c r="G309" s="436"/>
      <c r="H309" s="435"/>
      <c r="I309" s="435"/>
      <c r="J309" s="439"/>
      <c r="K309" s="430"/>
      <c r="L309" s="431"/>
      <c r="M309" s="432"/>
      <c r="N309" s="431">
        <f t="shared" ca="1" si="584"/>
        <v>0</v>
      </c>
      <c r="O309" s="430"/>
      <c r="P309" s="431"/>
      <c r="Q309" s="433"/>
      <c r="R309" s="316">
        <v>3</v>
      </c>
      <c r="S309" s="330"/>
      <c r="T309" s="312"/>
      <c r="U309" s="208" t="str">
        <f>IF(OR(V309="Preventivo",V309="Detectivo"),"Probabilidad",IF(V309="Correctivo","Impacto",""))</f>
        <v/>
      </c>
      <c r="V309" s="237"/>
      <c r="W309" s="237"/>
      <c r="X309" s="209" t="str">
        <f t="shared" si="582"/>
        <v/>
      </c>
      <c r="Y309" s="237"/>
      <c r="Z309" s="237"/>
      <c r="AA309" s="237"/>
      <c r="AB309" s="210" t="str">
        <f t="shared" ref="AB309:AB312" si="591">IFERROR(IF(AND(U308="Probabilidad",U309="Probabilidad"),(AD308-(+AD308*X309)),IF(AND(U308="Impacto",U309="Probabilidad"),(AD307-(+AD307*X309)),IF(U309="Impacto",AD308,""))),"")</f>
        <v/>
      </c>
      <c r="AC309" s="211" t="str">
        <f t="shared" si="586"/>
        <v/>
      </c>
      <c r="AD309" s="209" t="str">
        <f t="shared" si="587"/>
        <v/>
      </c>
      <c r="AE309" s="211" t="str">
        <f t="shared" si="588"/>
        <v/>
      </c>
      <c r="AF309" s="209" t="str">
        <f t="shared" si="589"/>
        <v/>
      </c>
      <c r="AG309" s="212" t="str">
        <f t="shared" si="590"/>
        <v/>
      </c>
      <c r="AH309" s="237"/>
      <c r="AI309" s="318"/>
      <c r="AJ309" s="318"/>
      <c r="AK309" s="318"/>
      <c r="AL309" s="318"/>
      <c r="AM309" s="318"/>
      <c r="AN309" s="312"/>
      <c r="AO309" s="312"/>
      <c r="AP309" s="309"/>
      <c r="AQ309" s="216"/>
      <c r="AR309" s="216"/>
      <c r="AS309" s="323"/>
      <c r="AT309" s="323"/>
      <c r="AU309" s="323"/>
      <c r="AV309" s="323"/>
      <c r="AW309" s="323"/>
      <c r="AX309" s="323"/>
      <c r="AY309" s="323"/>
      <c r="AZ309" s="323"/>
      <c r="BA309" s="323"/>
      <c r="BB309" s="323"/>
      <c r="BC309" s="323"/>
      <c r="BD309" s="323"/>
      <c r="BE309" s="323"/>
      <c r="BF309" s="323"/>
      <c r="BG309" s="323"/>
      <c r="BH309" s="323"/>
      <c r="BI309" s="323"/>
      <c r="BJ309" s="323"/>
      <c r="BK309" s="323"/>
      <c r="BL309" s="323"/>
      <c r="BM309" s="323"/>
      <c r="BN309" s="323"/>
      <c r="BO309" s="323"/>
      <c r="BP309" s="323"/>
      <c r="BQ309" s="323"/>
      <c r="BR309" s="323"/>
      <c r="BS309" s="323"/>
      <c r="BT309" s="323"/>
      <c r="BU309" s="323"/>
      <c r="BV309" s="323"/>
      <c r="BW309" s="323"/>
      <c r="BX309" s="323"/>
      <c r="BY309" s="323"/>
    </row>
    <row r="310" spans="1:77" s="113" customFormat="1" ht="15" hidden="1" customHeight="1" x14ac:dyDescent="0.2">
      <c r="A310" s="437"/>
      <c r="B310" s="438"/>
      <c r="C310" s="434"/>
      <c r="D310" s="434"/>
      <c r="E310" s="434"/>
      <c r="F310" s="435"/>
      <c r="G310" s="436"/>
      <c r="H310" s="435"/>
      <c r="I310" s="435"/>
      <c r="J310" s="439"/>
      <c r="K310" s="430"/>
      <c r="L310" s="431"/>
      <c r="M310" s="432"/>
      <c r="N310" s="431">
        <f t="shared" ca="1" si="584"/>
        <v>0</v>
      </c>
      <c r="O310" s="430"/>
      <c r="P310" s="431"/>
      <c r="Q310" s="433"/>
      <c r="R310" s="316">
        <v>4</v>
      </c>
      <c r="S310" s="330"/>
      <c r="T310" s="312"/>
      <c r="U310" s="208" t="str">
        <f t="shared" ref="U310:U312" si="592">IF(OR(V310="Preventivo",V310="Detectivo"),"Probabilidad",IF(V310="Correctivo","Impacto",""))</f>
        <v/>
      </c>
      <c r="V310" s="237"/>
      <c r="W310" s="237"/>
      <c r="X310" s="209" t="str">
        <f t="shared" si="582"/>
        <v/>
      </c>
      <c r="Y310" s="237"/>
      <c r="Z310" s="237"/>
      <c r="AA310" s="237"/>
      <c r="AB310" s="210" t="str">
        <f t="shared" si="591"/>
        <v/>
      </c>
      <c r="AC310" s="211" t="str">
        <f t="shared" si="586"/>
        <v/>
      </c>
      <c r="AD310" s="209" t="str">
        <f t="shared" si="587"/>
        <v/>
      </c>
      <c r="AE310" s="211" t="str">
        <f t="shared" si="588"/>
        <v/>
      </c>
      <c r="AF310" s="209" t="str">
        <f t="shared" si="589"/>
        <v/>
      </c>
      <c r="AG310" s="212" t="str">
        <f>IFERROR(IF(OR(AND(AC310="Muy Baja",AE310="Leve"),AND(AC310="Muy Baja",AE310="Menor"),AND(AC310="Baja",AE310="Leve")),"Bajo",IF(OR(AND(AC310="Muy baja",AE310="Moderado"),AND(AC310="Baja",AE310="Menor"),AND(AC310="Baja",AE310="Moderado"),AND(AC310="Media",AE310="Leve"),AND(AC310="Media",AE310="Menor"),AND(AC310="Media",AE310="Moderado"),AND(AC310="Alta",AE310="Leve"),AND(AC310="Alta",AE310="Menor")),"Moderado",IF(OR(AND(AC310="Muy Baja",AE310="Mayor"),AND(AC310="Baja",AE310="Mayor"),AND(AC310="Media",AE310="Mayor"),AND(AC310="Alta",AE310="Moderado"),AND(AC310="Alta",AE310="Mayor"),AND(AC310="Muy Alta",AE310="Leve"),AND(AC310="Muy Alta",AE310="Menor"),AND(AC310="Muy Alta",AE310="Moderado"),AND(AC310="Muy Alta",AE310="Mayor")),"Alto",IF(OR(AND(AC310="Muy Baja",AE310="Catastrófico"),AND(AC310="Baja",AE310="Catastrófico"),AND(AC310="Media",AE310="Catastrófico"),AND(AC310="Alta",AE310="Catastrófico"),AND(AC310="Muy Alta",AE310="Catastrófico")),"Extremo","")))),"")</f>
        <v/>
      </c>
      <c r="AH310" s="237"/>
      <c r="AI310" s="318"/>
      <c r="AJ310" s="318"/>
      <c r="AK310" s="318"/>
      <c r="AL310" s="318"/>
      <c r="AM310" s="318"/>
      <c r="AN310" s="312"/>
      <c r="AO310" s="312"/>
      <c r="AP310" s="309"/>
      <c r="AQ310" s="216"/>
      <c r="AR310" s="216"/>
      <c r="AS310" s="323"/>
      <c r="AT310" s="323"/>
      <c r="AU310" s="323"/>
      <c r="AV310" s="323"/>
      <c r="AW310" s="323"/>
      <c r="AX310" s="323"/>
      <c r="AY310" s="323"/>
      <c r="AZ310" s="323"/>
      <c r="BA310" s="323"/>
      <c r="BB310" s="323"/>
      <c r="BC310" s="323"/>
      <c r="BD310" s="323"/>
      <c r="BE310" s="323"/>
      <c r="BF310" s="323"/>
      <c r="BG310" s="323"/>
      <c r="BH310" s="323"/>
      <c r="BI310" s="323"/>
      <c r="BJ310" s="323"/>
      <c r="BK310" s="323"/>
      <c r="BL310" s="323"/>
      <c r="BM310" s="323"/>
      <c r="BN310" s="323"/>
      <c r="BO310" s="323"/>
      <c r="BP310" s="323"/>
      <c r="BQ310" s="323"/>
      <c r="BR310" s="323"/>
      <c r="BS310" s="323"/>
      <c r="BT310" s="323"/>
      <c r="BU310" s="323"/>
      <c r="BV310" s="323"/>
      <c r="BW310" s="323"/>
      <c r="BX310" s="323"/>
      <c r="BY310" s="323"/>
    </row>
    <row r="311" spans="1:77" s="113" customFormat="1" ht="15" hidden="1" customHeight="1" x14ac:dyDescent="0.2">
      <c r="A311" s="437"/>
      <c r="B311" s="438"/>
      <c r="C311" s="434"/>
      <c r="D311" s="434"/>
      <c r="E311" s="434"/>
      <c r="F311" s="435"/>
      <c r="G311" s="436"/>
      <c r="H311" s="435"/>
      <c r="I311" s="435"/>
      <c r="J311" s="439"/>
      <c r="K311" s="430"/>
      <c r="L311" s="431"/>
      <c r="M311" s="432"/>
      <c r="N311" s="431">
        <f t="shared" ca="1" si="584"/>
        <v>0</v>
      </c>
      <c r="O311" s="430"/>
      <c r="P311" s="431"/>
      <c r="Q311" s="433"/>
      <c r="R311" s="316">
        <v>5</v>
      </c>
      <c r="S311" s="330"/>
      <c r="T311" s="312"/>
      <c r="U311" s="208" t="str">
        <f t="shared" si="592"/>
        <v/>
      </c>
      <c r="V311" s="237"/>
      <c r="W311" s="237"/>
      <c r="X311" s="209" t="str">
        <f t="shared" si="582"/>
        <v/>
      </c>
      <c r="Y311" s="237"/>
      <c r="Z311" s="237"/>
      <c r="AA311" s="237"/>
      <c r="AB311" s="210" t="str">
        <f t="shared" si="591"/>
        <v/>
      </c>
      <c r="AC311" s="211" t="str">
        <f t="shared" si="586"/>
        <v/>
      </c>
      <c r="AD311" s="209" t="str">
        <f t="shared" si="587"/>
        <v/>
      </c>
      <c r="AE311" s="211" t="str">
        <f t="shared" si="588"/>
        <v/>
      </c>
      <c r="AF311" s="209" t="str">
        <f t="shared" si="589"/>
        <v/>
      </c>
      <c r="AG311" s="212" t="str">
        <f t="shared" ref="AG311:AG312" si="593">IFERROR(IF(OR(AND(AC311="Muy Baja",AE311="Leve"),AND(AC311="Muy Baja",AE311="Menor"),AND(AC311="Baja",AE311="Leve")),"Bajo",IF(OR(AND(AC311="Muy baja",AE311="Moderado"),AND(AC311="Baja",AE311="Menor"),AND(AC311="Baja",AE311="Moderado"),AND(AC311="Media",AE311="Leve"),AND(AC311="Media",AE311="Menor"),AND(AC311="Media",AE311="Moderado"),AND(AC311="Alta",AE311="Leve"),AND(AC311="Alta",AE311="Menor")),"Moderado",IF(OR(AND(AC311="Muy Baja",AE311="Mayor"),AND(AC311="Baja",AE311="Mayor"),AND(AC311="Media",AE311="Mayor"),AND(AC311="Alta",AE311="Moderado"),AND(AC311="Alta",AE311="Mayor"),AND(AC311="Muy Alta",AE311="Leve"),AND(AC311="Muy Alta",AE311="Menor"),AND(AC311="Muy Alta",AE311="Moderado"),AND(AC311="Muy Alta",AE311="Mayor")),"Alto",IF(OR(AND(AC311="Muy Baja",AE311="Catastrófico"),AND(AC311="Baja",AE311="Catastrófico"),AND(AC311="Media",AE311="Catastrófico"),AND(AC311="Alta",AE311="Catastrófico"),AND(AC311="Muy Alta",AE311="Catastrófico")),"Extremo","")))),"")</f>
        <v/>
      </c>
      <c r="AH311" s="237"/>
      <c r="AI311" s="318"/>
      <c r="AJ311" s="318"/>
      <c r="AK311" s="318"/>
      <c r="AL311" s="318"/>
      <c r="AM311" s="318"/>
      <c r="AN311" s="312"/>
      <c r="AO311" s="312"/>
      <c r="AP311" s="309"/>
      <c r="AQ311" s="216"/>
      <c r="AR311" s="216"/>
      <c r="AS311" s="323"/>
      <c r="AT311" s="323"/>
      <c r="AU311" s="323"/>
      <c r="AV311" s="323"/>
      <c r="AW311" s="323"/>
      <c r="AX311" s="323"/>
      <c r="AY311" s="323"/>
      <c r="AZ311" s="323"/>
      <c r="BA311" s="323"/>
      <c r="BB311" s="323"/>
      <c r="BC311" s="323"/>
      <c r="BD311" s="323"/>
      <c r="BE311" s="323"/>
      <c r="BF311" s="323"/>
      <c r="BG311" s="323"/>
      <c r="BH311" s="323"/>
      <c r="BI311" s="323"/>
      <c r="BJ311" s="323"/>
      <c r="BK311" s="323"/>
      <c r="BL311" s="323"/>
      <c r="BM311" s="323"/>
      <c r="BN311" s="323"/>
      <c r="BO311" s="323"/>
      <c r="BP311" s="323"/>
      <c r="BQ311" s="323"/>
      <c r="BR311" s="323"/>
      <c r="BS311" s="323"/>
      <c r="BT311" s="323"/>
      <c r="BU311" s="323"/>
      <c r="BV311" s="323"/>
      <c r="BW311" s="323"/>
      <c r="BX311" s="323"/>
      <c r="BY311" s="323"/>
    </row>
    <row r="312" spans="1:77" s="113" customFormat="1" ht="15" hidden="1" customHeight="1" x14ac:dyDescent="0.2">
      <c r="A312" s="437"/>
      <c r="B312" s="438"/>
      <c r="C312" s="434"/>
      <c r="D312" s="434"/>
      <c r="E312" s="434"/>
      <c r="F312" s="435"/>
      <c r="G312" s="436"/>
      <c r="H312" s="435"/>
      <c r="I312" s="435"/>
      <c r="J312" s="439"/>
      <c r="K312" s="430"/>
      <c r="L312" s="431"/>
      <c r="M312" s="432"/>
      <c r="N312" s="431">
        <f ca="1">IF(NOT(ISERROR(MATCH(M312,_xlfn.ANCHORARRAY(G323),0))),#REF!&amp;"Por favor no seleccionar los criterios de impacto",M312)</f>
        <v>0</v>
      </c>
      <c r="O312" s="430"/>
      <c r="P312" s="431"/>
      <c r="Q312" s="433"/>
      <c r="R312" s="316">
        <v>6</v>
      </c>
      <c r="S312" s="330"/>
      <c r="T312" s="312"/>
      <c r="U312" s="208" t="str">
        <f t="shared" si="592"/>
        <v/>
      </c>
      <c r="V312" s="237"/>
      <c r="W312" s="237"/>
      <c r="X312" s="209" t="str">
        <f t="shared" si="582"/>
        <v/>
      </c>
      <c r="Y312" s="237"/>
      <c r="Z312" s="237"/>
      <c r="AA312" s="237"/>
      <c r="AB312" s="210" t="str">
        <f t="shared" si="591"/>
        <v/>
      </c>
      <c r="AC312" s="211" t="str">
        <f t="shared" si="586"/>
        <v/>
      </c>
      <c r="AD312" s="209" t="str">
        <f t="shared" si="587"/>
        <v/>
      </c>
      <c r="AE312" s="211" t="str">
        <f t="shared" si="588"/>
        <v/>
      </c>
      <c r="AF312" s="209" t="str">
        <f>IFERROR(IF(AND(U311="Impacto",U312="Impacto"),(AF311-(+AF311*X312)),IF(U312="Impacto",($P$31-(+$P$31*X312)),IF(U312="Probabilidad",AF311,""))),"")</f>
        <v/>
      </c>
      <c r="AG312" s="212" t="str">
        <f t="shared" si="593"/>
        <v/>
      </c>
      <c r="AH312" s="237"/>
      <c r="AI312" s="318"/>
      <c r="AJ312" s="318"/>
      <c r="AK312" s="318"/>
      <c r="AL312" s="318"/>
      <c r="AM312" s="318"/>
      <c r="AN312" s="312"/>
      <c r="AO312" s="312"/>
      <c r="AP312" s="309"/>
      <c r="AQ312" s="216"/>
      <c r="AR312" s="216"/>
      <c r="AS312" s="323"/>
      <c r="AT312" s="323"/>
      <c r="AU312" s="323"/>
      <c r="AV312" s="323"/>
      <c r="AW312" s="323"/>
      <c r="AX312" s="323"/>
      <c r="AY312" s="323"/>
      <c r="AZ312" s="323"/>
      <c r="BA312" s="323"/>
      <c r="BB312" s="323"/>
      <c r="BC312" s="323"/>
      <c r="BD312" s="323"/>
      <c r="BE312" s="323"/>
      <c r="BF312" s="323"/>
      <c r="BG312" s="323"/>
      <c r="BH312" s="323"/>
      <c r="BI312" s="323"/>
      <c r="BJ312" s="323"/>
      <c r="BK312" s="323"/>
      <c r="BL312" s="323"/>
      <c r="BM312" s="323"/>
      <c r="BN312" s="323"/>
      <c r="BO312" s="323"/>
      <c r="BP312" s="323"/>
      <c r="BQ312" s="323"/>
      <c r="BR312" s="323"/>
      <c r="BS312" s="323"/>
      <c r="BT312" s="323"/>
      <c r="BU312" s="323"/>
      <c r="BV312" s="323"/>
      <c r="BW312" s="323"/>
      <c r="BX312" s="323"/>
      <c r="BY312" s="323"/>
    </row>
    <row r="313" spans="1:77" s="271" customFormat="1" ht="171" x14ac:dyDescent="0.2">
      <c r="A313" s="437" t="s">
        <v>1027</v>
      </c>
      <c r="B313" s="438" t="s">
        <v>286</v>
      </c>
      <c r="C313" s="434" t="s">
        <v>619</v>
      </c>
      <c r="D313" s="434" t="s">
        <v>107</v>
      </c>
      <c r="E313" s="434" t="s">
        <v>1029</v>
      </c>
      <c r="F313" s="435" t="s">
        <v>685</v>
      </c>
      <c r="G313" s="436" t="s">
        <v>1028</v>
      </c>
      <c r="H313" s="435" t="s">
        <v>655</v>
      </c>
      <c r="I313" s="435" t="s">
        <v>1030</v>
      </c>
      <c r="J313" s="439">
        <v>468</v>
      </c>
      <c r="K313" s="430" t="str">
        <f t="shared" ref="K313" si="594">IF(J313&lt;=0,"",IF(J313&lt;=2,"Muy Baja",IF(J313&lt;=24,"Baja",IF(J313&lt;=500,"Media",IF(J313&lt;=5000,"Alta","Muy Alta")))))</f>
        <v>Media</v>
      </c>
      <c r="L313" s="431">
        <f>IF(K313="","",IF(K313="Muy Baja",0.2,IF(K313="Baja",0.4,IF(K313="Media",0.6,IF(K313="Alta",0.8,IF(K313="Muy Alta",1,))))))</f>
        <v>0.6</v>
      </c>
      <c r="M313" s="432" t="s">
        <v>122</v>
      </c>
      <c r="N313" s="431" t="str">
        <f ca="1">IF(NOT(ISERROR(MATCH(M313,'Tabla Impacto'!$B$221:$B$223,0))),'Tabla Impacto'!$F$223&amp;"Por favor no seleccionar los criterios de impacto(Afectación Económica o presupuestal y Pérdida Reputacional)",M313)</f>
        <v xml:space="preserve">     El riesgo afecta la imagen de de la entidad con efecto publicitario sostenido a nivel de sector administrativo, nivel departamental o municipal</v>
      </c>
      <c r="O313" s="430" t="str">
        <f ca="1">IF(OR(N313='Tabla Impacto'!$C$11,N313='Tabla Impacto'!$D$11),"Leve",IF(OR(N313='Tabla Impacto'!$C$12,N313='Tabla Impacto'!$D$12),"Menor",IF(OR(N313='Tabla Impacto'!$C$13,N313='Tabla Impacto'!$D$13),"Moderado",IF(OR(N313='Tabla Impacto'!$C$14,N313='Tabla Impacto'!$D$14),"Mayor",IF(OR(N313='Tabla Impacto'!$C$15,N313='Tabla Impacto'!$D$15),"Catastrófico","")))))</f>
        <v>Mayor</v>
      </c>
      <c r="P313" s="431">
        <f ca="1">IF(O313="","",IF(O313="Leve",0.2,IF(O313="Menor",0.4,IF(O313="Moderado",0.6,IF(O313="Mayor",0.8,IF(O313="Catastrófico",1,))))))</f>
        <v>0.8</v>
      </c>
      <c r="Q313" s="433" t="str">
        <f ca="1">IF(OR(AND(K313="Muy Baja",O313="Leve"),AND(K313="Muy Baja",O313="Menor"),AND(K313="Baja",O313="Leve")),"Bajo",IF(OR(AND(K313="Muy baja",O313="Moderado"),AND(K313="Baja",O313="Menor"),AND(K313="Baja",O313="Moderado"),AND(K313="Media",O313="Leve"),AND(K313="Media",O313="Menor"),AND(K313="Media",O313="Moderado"),AND(K313="Alta",O313="Leve"),AND(K313="Alta",O313="Menor")),"Moderado",IF(OR(AND(K313="Muy Baja",O313="Mayor"),AND(K313="Baja",O313="Mayor"),AND(K313="Media",O313="Mayor"),AND(K313="Alta",O313="Moderado"),AND(K313="Alta",O313="Mayor"),AND(K313="Muy Alta",O313="Leve"),AND(K313="Muy Alta",O313="Menor"),AND(K313="Muy Alta",O313="Moderado"),AND(K313="Muy Alta",O313="Mayor")),"Alto",IF(OR(AND(K313="Muy Baja",O313="Catastrófico"),AND(K313="Baja",O313="Catastrófico"),AND(K313="Media",O313="Catastrófico"),AND(K313="Alta",O313="Catastrófico"),AND(K313="Muy Alta",O313="Catastrófico")),"Extremo",""))))</f>
        <v>Alto</v>
      </c>
      <c r="R313" s="261">
        <v>1</v>
      </c>
      <c r="S313" s="334" t="s">
        <v>1031</v>
      </c>
      <c r="T313" s="272" t="s">
        <v>293</v>
      </c>
      <c r="U313" s="262" t="str">
        <f>IF(OR(V313="Preventivo",V313="Detectivo"),"Probabilidad",IF(V313="Correctivo","Impacto",""))</f>
        <v>Probabilidad</v>
      </c>
      <c r="V313" s="263" t="s">
        <v>14</v>
      </c>
      <c r="W313" s="263" t="s">
        <v>8</v>
      </c>
      <c r="X313" s="264" t="str">
        <f t="shared" ref="X313:X318" si="595">IF(AND(V313="Preventivo",W313="Automático"),"50%",IF(AND(V313="Preventivo",W313="Manual"),"40%",IF(AND(V313="Detectivo",W313="Automático"),"40%",IF(AND(V313="Detectivo",W313="Manual"),"30%",IF(AND(V313="Correctivo",W313="Automático"),"35%",IF(AND(V313="Correctivo",W313="Manual"),"25%",""))))))</f>
        <v>30%</v>
      </c>
      <c r="Y313" s="263" t="s">
        <v>18</v>
      </c>
      <c r="Z313" s="263" t="s">
        <v>21</v>
      </c>
      <c r="AA313" s="263" t="s">
        <v>103</v>
      </c>
      <c r="AB313" s="265">
        <f t="shared" ref="AB313" si="596">IFERROR(IF(U313="Probabilidad",(L313-(+L313*X313)),IF(U313="Impacto",L313,"")),"")</f>
        <v>0.42</v>
      </c>
      <c r="AC313" s="266" t="str">
        <f>IFERROR(IF(AB313="","",IF(AB313&lt;=0.2,"Muy Baja",IF(AB313&lt;=0.4,"Baja",IF(AB313&lt;=0.6,"Media",IF(AB313&lt;=0.8,"Alta","Muy Alta"))))),"")</f>
        <v>Media</v>
      </c>
      <c r="AD313" s="264">
        <f>+AB313</f>
        <v>0.42</v>
      </c>
      <c r="AE313" s="266" t="str">
        <f ca="1">IFERROR(IF(AF313="","",IF(AF313&lt;=0.2,"Leve",IF(AF313&lt;=0.4,"Menor",IF(AF313&lt;=0.6,"Moderado",IF(AF313&lt;=0.8,"Mayor","Catastrófico"))))),"")</f>
        <v>Mayor</v>
      </c>
      <c r="AF313" s="264">
        <f ca="1">IFERROR(IF(U313="Impacto",(P313-(+P313*X313)),IF(U313="Probabilidad",P313,"")),"")</f>
        <v>0.8</v>
      </c>
      <c r="AG313" s="267" t="str">
        <f ca="1">IFERROR(IF(OR(AND(AC313="Muy Baja",AE313="Leve"),AND(AC313="Muy Baja",AE313="Menor"),AND(AC313="Baja",AE313="Leve")),"Bajo",IF(OR(AND(AC313="Muy baja",AE313="Moderado"),AND(AC313="Baja",AE313="Menor"),AND(AC313="Baja",AE313="Moderado"),AND(AC313="Media",AE313="Leve"),AND(AC313="Media",AE313="Menor"),AND(AC313="Media",AE313="Moderado"),AND(AC313="Alta",AE313="Leve"),AND(AC313="Alta",AE313="Menor")),"Moderado",IF(OR(AND(AC313="Muy Baja",AE313="Mayor"),AND(AC313="Baja",AE313="Mayor"),AND(AC313="Media",AE313="Mayor"),AND(AC313="Alta",AE313="Moderado"),AND(AC313="Alta",AE313="Mayor"),AND(AC313="Muy Alta",AE313="Leve"),AND(AC313="Muy Alta",AE313="Menor"),AND(AC313="Muy Alta",AE313="Moderado"),AND(AC313="Muy Alta",AE313="Mayor")),"Alto",IF(OR(AND(AC313="Muy Baja",AE313="Catastrófico"),AND(AC313="Baja",AE313="Catastrófico"),AND(AC313="Media",AE313="Catastrófico"),AND(AC313="Alta",AE313="Catastrófico"),AND(AC313="Muy Alta",AE313="Catastrófico")),"Extremo","")))),"")</f>
        <v>Alto</v>
      </c>
      <c r="AH313" s="263" t="s">
        <v>26</v>
      </c>
      <c r="AI313" s="273">
        <v>12</v>
      </c>
      <c r="AJ313" s="273">
        <v>3</v>
      </c>
      <c r="AK313" s="273">
        <v>3</v>
      </c>
      <c r="AL313" s="273">
        <v>3</v>
      </c>
      <c r="AM313" s="273">
        <v>3</v>
      </c>
      <c r="AN313" s="272"/>
      <c r="AO313" s="272"/>
      <c r="AP313" s="273"/>
      <c r="AQ313" s="274"/>
      <c r="AR313" s="274"/>
      <c r="AS313" s="323"/>
      <c r="AT313" s="323"/>
      <c r="AU313" s="323"/>
      <c r="AV313" s="323"/>
      <c r="AW313" s="323"/>
      <c r="AX313" s="323"/>
      <c r="AY313" s="323"/>
      <c r="AZ313" s="323"/>
      <c r="BA313" s="323"/>
      <c r="BB313" s="323"/>
      <c r="BC313" s="323"/>
      <c r="BD313" s="323"/>
      <c r="BE313" s="323"/>
      <c r="BF313" s="323"/>
      <c r="BG313" s="323"/>
      <c r="BH313" s="323"/>
      <c r="BI313" s="323"/>
      <c r="BJ313" s="323"/>
      <c r="BK313" s="323"/>
      <c r="BL313" s="323"/>
      <c r="BM313" s="323"/>
      <c r="BN313" s="323"/>
      <c r="BO313" s="323"/>
      <c r="BP313" s="323"/>
      <c r="BQ313" s="323"/>
      <c r="BR313" s="323"/>
      <c r="BS313" s="323"/>
      <c r="BT313" s="323"/>
      <c r="BU313" s="323"/>
      <c r="BV313" s="323"/>
      <c r="BW313" s="323"/>
      <c r="BX313" s="323"/>
      <c r="BY313" s="323"/>
    </row>
    <row r="314" spans="1:77" s="113" customFormat="1" ht="128.25" x14ac:dyDescent="0.2">
      <c r="A314" s="437"/>
      <c r="B314" s="438"/>
      <c r="C314" s="434"/>
      <c r="D314" s="434"/>
      <c r="E314" s="434"/>
      <c r="F314" s="435"/>
      <c r="G314" s="436"/>
      <c r="H314" s="435"/>
      <c r="I314" s="435"/>
      <c r="J314" s="439"/>
      <c r="K314" s="430"/>
      <c r="L314" s="431"/>
      <c r="M314" s="432"/>
      <c r="N314" s="431">
        <f t="shared" ref="N314:N317" ca="1" si="597">IF(NOT(ISERROR(MATCH(M314,_xlfn.ANCHORARRAY(G325),0))),L327&amp;"Por favor no seleccionar los criterios de impacto",M314)</f>
        <v>0</v>
      </c>
      <c r="O314" s="430"/>
      <c r="P314" s="431"/>
      <c r="Q314" s="433"/>
      <c r="R314" s="316">
        <v>2</v>
      </c>
      <c r="S314" s="325" t="s">
        <v>1101</v>
      </c>
      <c r="T314" s="312" t="s">
        <v>293</v>
      </c>
      <c r="U314" s="208" t="str">
        <f>IF(OR(V314="Preventivo",V314="Detectivo"),"Probabilidad",IF(V314="Correctivo","Impacto",""))</f>
        <v>Probabilidad</v>
      </c>
      <c r="V314" s="237" t="s">
        <v>13</v>
      </c>
      <c r="W314" s="237" t="s">
        <v>8</v>
      </c>
      <c r="X314" s="209" t="str">
        <f t="shared" si="595"/>
        <v>40%</v>
      </c>
      <c r="Y314" s="237" t="s">
        <v>18</v>
      </c>
      <c r="Z314" s="237" t="s">
        <v>21</v>
      </c>
      <c r="AA314" s="237" t="s">
        <v>103</v>
      </c>
      <c r="AB314" s="210">
        <f t="shared" ref="AB314" si="598">IFERROR(IF(AND(U313="Probabilidad",U314="Probabilidad"),(AD313-(+AD313*X314)),IF(U314="Probabilidad",(L313-(+L313*X314)),IF(U314="Impacto",AD313,""))),"")</f>
        <v>0.252</v>
      </c>
      <c r="AC314" s="211" t="str">
        <f t="shared" ref="AC314:AC318" si="599">IFERROR(IF(AB314="","",IF(AB314&lt;=0.2,"Muy Baja",IF(AB314&lt;=0.4,"Baja",IF(AB314&lt;=0.6,"Media",IF(AB314&lt;=0.8,"Alta","Muy Alta"))))),"")</f>
        <v>Baja</v>
      </c>
      <c r="AD314" s="209">
        <f>+AB314</f>
        <v>0.252</v>
      </c>
      <c r="AE314" s="211" t="str">
        <f t="shared" ref="AE314:AE318" ca="1" si="600">IFERROR(IF(AF314="","",IF(AF314&lt;=0.2,"Leve",IF(AF314&lt;=0.4,"Menor",IF(AF314&lt;=0.6,"Moderado",IF(AF314&lt;=0.8,"Mayor","Catastrófico"))))),"")</f>
        <v>Mayor</v>
      </c>
      <c r="AF314" s="209">
        <f ca="1">IFERROR(IF(AND(U313="Impacto",U314="Impacto"),(AF313-(+AF313*X314)),IF(U314="Impacto",($P$313-(+$P$313*X314)),IF(U314="Probabilidad",AF313,""))),"")</f>
        <v>0.8</v>
      </c>
      <c r="AG314" s="212" t="str">
        <f t="shared" ref="AG314:AG315" ca="1" si="601">IFERROR(IF(OR(AND(AC314="Muy Baja",AE314="Leve"),AND(AC314="Muy Baja",AE314="Menor"),AND(AC314="Baja",AE314="Leve")),"Bajo",IF(OR(AND(AC314="Muy baja",AE314="Moderado"),AND(AC314="Baja",AE314="Menor"),AND(AC314="Baja",AE314="Moderado"),AND(AC314="Media",AE314="Leve"),AND(AC314="Media",AE314="Menor"),AND(AC314="Media",AE314="Moderado"),AND(AC314="Alta",AE314="Leve"),AND(AC314="Alta",AE314="Menor")),"Moderado",IF(OR(AND(AC314="Muy Baja",AE314="Mayor"),AND(AC314="Baja",AE314="Mayor"),AND(AC314="Media",AE314="Mayor"),AND(AC314="Alta",AE314="Moderado"),AND(AC314="Alta",AE314="Mayor"),AND(AC314="Muy Alta",AE314="Leve"),AND(AC314="Muy Alta",AE314="Menor"),AND(AC314="Muy Alta",AE314="Moderado"),AND(AC314="Muy Alta",AE314="Mayor")),"Alto",IF(OR(AND(AC314="Muy Baja",AE314="Catastrófico"),AND(AC314="Baja",AE314="Catastrófico"),AND(AC314="Media",AE314="Catastrófico"),AND(AC314="Alta",AE314="Catastrófico"),AND(AC314="Muy Alta",AE314="Catastrófico")),"Extremo","")))),"")</f>
        <v>Alto</v>
      </c>
      <c r="AH314" s="237" t="s">
        <v>26</v>
      </c>
      <c r="AI314" s="318">
        <v>2</v>
      </c>
      <c r="AJ314" s="318">
        <v>0</v>
      </c>
      <c r="AK314" s="318">
        <v>1</v>
      </c>
      <c r="AL314" s="318">
        <v>0</v>
      </c>
      <c r="AM314" s="318">
        <v>1</v>
      </c>
      <c r="AN314" s="312"/>
      <c r="AO314" s="312"/>
      <c r="AP314" s="309"/>
      <c r="AQ314" s="216"/>
      <c r="AR314" s="216"/>
      <c r="AS314" s="323"/>
      <c r="AT314" s="323"/>
      <c r="AU314" s="323"/>
      <c r="AV314" s="323"/>
      <c r="AW314" s="323"/>
      <c r="AX314" s="323"/>
      <c r="AY314" s="323"/>
      <c r="AZ314" s="323"/>
      <c r="BA314" s="323"/>
      <c r="BB314" s="323"/>
      <c r="BC314" s="323"/>
      <c r="BD314" s="323"/>
      <c r="BE314" s="323"/>
      <c r="BF314" s="323"/>
      <c r="BG314" s="323"/>
      <c r="BH314" s="323"/>
      <c r="BI314" s="323"/>
      <c r="BJ314" s="323"/>
      <c r="BK314" s="323"/>
      <c r="BL314" s="323"/>
      <c r="BM314" s="323"/>
      <c r="BN314" s="323"/>
      <c r="BO314" s="323"/>
      <c r="BP314" s="323"/>
      <c r="BQ314" s="323"/>
      <c r="BR314" s="323"/>
      <c r="BS314" s="323"/>
      <c r="BT314" s="323"/>
      <c r="BU314" s="323"/>
      <c r="BV314" s="323"/>
      <c r="BW314" s="323"/>
      <c r="BX314" s="323"/>
      <c r="BY314" s="323"/>
    </row>
    <row r="315" spans="1:77" s="113" customFormat="1" ht="7.5" hidden="1" customHeight="1" x14ac:dyDescent="0.2">
      <c r="A315" s="437"/>
      <c r="B315" s="438"/>
      <c r="C315" s="434"/>
      <c r="D315" s="434"/>
      <c r="E315" s="434"/>
      <c r="F315" s="435"/>
      <c r="G315" s="436"/>
      <c r="H315" s="435"/>
      <c r="I315" s="435"/>
      <c r="J315" s="439"/>
      <c r="K315" s="430"/>
      <c r="L315" s="431"/>
      <c r="M315" s="432"/>
      <c r="N315" s="431">
        <f t="shared" ca="1" si="597"/>
        <v>0</v>
      </c>
      <c r="O315" s="430"/>
      <c r="P315" s="431"/>
      <c r="Q315" s="433"/>
      <c r="R315" s="316">
        <v>3</v>
      </c>
      <c r="S315" s="330"/>
      <c r="T315" s="312"/>
      <c r="U315" s="208" t="str">
        <f>IF(OR(V315="Preventivo",V315="Detectivo"),"Probabilidad",IF(V315="Correctivo","Impacto",""))</f>
        <v/>
      </c>
      <c r="V315" s="237"/>
      <c r="W315" s="237"/>
      <c r="X315" s="209" t="str">
        <f t="shared" si="595"/>
        <v/>
      </c>
      <c r="Y315" s="237"/>
      <c r="Z315" s="237"/>
      <c r="AA315" s="237"/>
      <c r="AB315" s="210" t="str">
        <f t="shared" ref="AB315:AB318" si="602">IFERROR(IF(AND(U314="Probabilidad",U315="Probabilidad"),(AD314-(+AD314*X315)),IF(AND(U314="Impacto",U315="Probabilidad"),(AD313-(+AD313*X315)),IF(U315="Impacto",AD314,""))),"")</f>
        <v/>
      </c>
      <c r="AC315" s="211" t="str">
        <f t="shared" si="599"/>
        <v/>
      </c>
      <c r="AD315" s="209" t="str">
        <f t="shared" ref="AD315:AD318" si="603">+AB315</f>
        <v/>
      </c>
      <c r="AE315" s="211" t="str">
        <f t="shared" si="600"/>
        <v/>
      </c>
      <c r="AF315" s="209" t="str">
        <f t="shared" ref="AF315:AF317" si="604">IFERROR(IF(AND(U314="Impacto",U315="Impacto"),(AF314-(+AF314*X315)),IF(U315="Impacto",($P$31-(+$P$31*X315)),IF(U315="Probabilidad",AF314,""))),"")</f>
        <v/>
      </c>
      <c r="AG315" s="212" t="str">
        <f t="shared" si="601"/>
        <v/>
      </c>
      <c r="AH315" s="237"/>
      <c r="AI315" s="318"/>
      <c r="AJ315" s="318"/>
      <c r="AK315" s="318"/>
      <c r="AL315" s="318"/>
      <c r="AM315" s="318"/>
      <c r="AN315" s="312"/>
      <c r="AO315" s="312"/>
      <c r="AP315" s="309"/>
      <c r="AQ315" s="216"/>
      <c r="AR315" s="216"/>
      <c r="AS315" s="323"/>
      <c r="AT315" s="323"/>
      <c r="AU315" s="323"/>
      <c r="AV315" s="323"/>
      <c r="AW315" s="323"/>
      <c r="AX315" s="323"/>
      <c r="AY315" s="323"/>
      <c r="AZ315" s="323"/>
      <c r="BA315" s="323"/>
      <c r="BB315" s="323"/>
      <c r="BC315" s="323"/>
      <c r="BD315" s="323"/>
      <c r="BE315" s="323"/>
      <c r="BF315" s="323"/>
      <c r="BG315" s="323"/>
      <c r="BH315" s="323"/>
      <c r="BI315" s="323"/>
      <c r="BJ315" s="323"/>
      <c r="BK315" s="323"/>
      <c r="BL315" s="323"/>
      <c r="BM315" s="323"/>
      <c r="BN315" s="323"/>
      <c r="BO315" s="323"/>
      <c r="BP315" s="323"/>
      <c r="BQ315" s="323"/>
      <c r="BR315" s="323"/>
      <c r="BS315" s="323"/>
      <c r="BT315" s="323"/>
      <c r="BU315" s="323"/>
      <c r="BV315" s="323"/>
      <c r="BW315" s="323"/>
      <c r="BX315" s="323"/>
      <c r="BY315" s="323"/>
    </row>
    <row r="316" spans="1:77" s="113" customFormat="1" ht="7.5" hidden="1" customHeight="1" x14ac:dyDescent="0.2">
      <c r="A316" s="437"/>
      <c r="B316" s="438"/>
      <c r="C316" s="434"/>
      <c r="D316" s="434"/>
      <c r="E316" s="434"/>
      <c r="F316" s="435"/>
      <c r="G316" s="436"/>
      <c r="H316" s="435"/>
      <c r="I316" s="435"/>
      <c r="J316" s="439"/>
      <c r="K316" s="430"/>
      <c r="L316" s="431"/>
      <c r="M316" s="432"/>
      <c r="N316" s="431">
        <f t="shared" ca="1" si="597"/>
        <v>0</v>
      </c>
      <c r="O316" s="430"/>
      <c r="P316" s="431"/>
      <c r="Q316" s="433"/>
      <c r="R316" s="316">
        <v>4</v>
      </c>
      <c r="S316" s="330"/>
      <c r="T316" s="312"/>
      <c r="U316" s="208" t="str">
        <f t="shared" ref="U316:U318" si="605">IF(OR(V316="Preventivo",V316="Detectivo"),"Probabilidad",IF(V316="Correctivo","Impacto",""))</f>
        <v/>
      </c>
      <c r="V316" s="237"/>
      <c r="W316" s="237"/>
      <c r="X316" s="209" t="str">
        <f t="shared" si="595"/>
        <v/>
      </c>
      <c r="Y316" s="237"/>
      <c r="Z316" s="237"/>
      <c r="AA316" s="237"/>
      <c r="AB316" s="210" t="str">
        <f t="shared" si="602"/>
        <v/>
      </c>
      <c r="AC316" s="211" t="str">
        <f t="shared" si="599"/>
        <v/>
      </c>
      <c r="AD316" s="209" t="str">
        <f t="shared" si="603"/>
        <v/>
      </c>
      <c r="AE316" s="211" t="str">
        <f t="shared" si="600"/>
        <v/>
      </c>
      <c r="AF316" s="209" t="str">
        <f t="shared" si="604"/>
        <v/>
      </c>
      <c r="AG316" s="212" t="str">
        <f>IFERROR(IF(OR(AND(AC316="Muy Baja",AE316="Leve"),AND(AC316="Muy Baja",AE316="Menor"),AND(AC316="Baja",AE316="Leve")),"Bajo",IF(OR(AND(AC316="Muy baja",AE316="Moderado"),AND(AC316="Baja",AE316="Menor"),AND(AC316="Baja",AE316="Moderado"),AND(AC316="Media",AE316="Leve"),AND(AC316="Media",AE316="Menor"),AND(AC316="Media",AE316="Moderado"),AND(AC316="Alta",AE316="Leve"),AND(AC316="Alta",AE316="Menor")),"Moderado",IF(OR(AND(AC316="Muy Baja",AE316="Mayor"),AND(AC316="Baja",AE316="Mayor"),AND(AC316="Media",AE316="Mayor"),AND(AC316="Alta",AE316="Moderado"),AND(AC316="Alta",AE316="Mayor"),AND(AC316="Muy Alta",AE316="Leve"),AND(AC316="Muy Alta",AE316="Menor"),AND(AC316="Muy Alta",AE316="Moderado"),AND(AC316="Muy Alta",AE316="Mayor")),"Alto",IF(OR(AND(AC316="Muy Baja",AE316="Catastrófico"),AND(AC316="Baja",AE316="Catastrófico"),AND(AC316="Media",AE316="Catastrófico"),AND(AC316="Alta",AE316="Catastrófico"),AND(AC316="Muy Alta",AE316="Catastrófico")),"Extremo","")))),"")</f>
        <v/>
      </c>
      <c r="AH316" s="237"/>
      <c r="AI316" s="318"/>
      <c r="AJ316" s="318"/>
      <c r="AK316" s="318"/>
      <c r="AL316" s="318"/>
      <c r="AM316" s="318"/>
      <c r="AN316" s="312"/>
      <c r="AO316" s="312"/>
      <c r="AP316" s="309"/>
      <c r="AQ316" s="216"/>
      <c r="AR316" s="216"/>
      <c r="AS316" s="323"/>
      <c r="AT316" s="323"/>
      <c r="AU316" s="323"/>
      <c r="AV316" s="323"/>
      <c r="AW316" s="323"/>
      <c r="AX316" s="323"/>
      <c r="AY316" s="323"/>
      <c r="AZ316" s="323"/>
      <c r="BA316" s="323"/>
      <c r="BB316" s="323"/>
      <c r="BC316" s="323"/>
      <c r="BD316" s="323"/>
      <c r="BE316" s="323"/>
      <c r="BF316" s="323"/>
      <c r="BG316" s="323"/>
      <c r="BH316" s="323"/>
      <c r="BI316" s="323"/>
      <c r="BJ316" s="323"/>
      <c r="BK316" s="323"/>
      <c r="BL316" s="323"/>
      <c r="BM316" s="323"/>
      <c r="BN316" s="323"/>
      <c r="BO316" s="323"/>
      <c r="BP316" s="323"/>
      <c r="BQ316" s="323"/>
      <c r="BR316" s="323"/>
      <c r="BS316" s="323"/>
      <c r="BT316" s="323"/>
      <c r="BU316" s="323"/>
      <c r="BV316" s="323"/>
      <c r="BW316" s="323"/>
      <c r="BX316" s="323"/>
      <c r="BY316" s="323"/>
    </row>
    <row r="317" spans="1:77" s="113" customFormat="1" ht="7.5" hidden="1" customHeight="1" x14ac:dyDescent="0.2">
      <c r="A317" s="437"/>
      <c r="B317" s="438"/>
      <c r="C317" s="434"/>
      <c r="D317" s="434"/>
      <c r="E317" s="434"/>
      <c r="F317" s="435"/>
      <c r="G317" s="436"/>
      <c r="H317" s="435"/>
      <c r="I317" s="435"/>
      <c r="J317" s="439"/>
      <c r="K317" s="430"/>
      <c r="L317" s="431"/>
      <c r="M317" s="432"/>
      <c r="N317" s="431">
        <f t="shared" ca="1" si="597"/>
        <v>0</v>
      </c>
      <c r="O317" s="430"/>
      <c r="P317" s="431"/>
      <c r="Q317" s="433"/>
      <c r="R317" s="316">
        <v>5</v>
      </c>
      <c r="S317" s="330"/>
      <c r="T317" s="312"/>
      <c r="U317" s="208" t="str">
        <f t="shared" si="605"/>
        <v/>
      </c>
      <c r="V317" s="237"/>
      <c r="W317" s="237"/>
      <c r="X317" s="209" t="str">
        <f t="shared" si="595"/>
        <v/>
      </c>
      <c r="Y317" s="237"/>
      <c r="Z317" s="237"/>
      <c r="AA317" s="237"/>
      <c r="AB317" s="210" t="str">
        <f t="shared" si="602"/>
        <v/>
      </c>
      <c r="AC317" s="211" t="str">
        <f t="shared" si="599"/>
        <v/>
      </c>
      <c r="AD317" s="209" t="str">
        <f t="shared" si="603"/>
        <v/>
      </c>
      <c r="AE317" s="211" t="str">
        <f t="shared" si="600"/>
        <v/>
      </c>
      <c r="AF317" s="209" t="str">
        <f t="shared" si="604"/>
        <v/>
      </c>
      <c r="AG317" s="212" t="str">
        <f t="shared" ref="AG317:AG318" si="606">IFERROR(IF(OR(AND(AC317="Muy Baja",AE317="Leve"),AND(AC317="Muy Baja",AE317="Menor"),AND(AC317="Baja",AE317="Leve")),"Bajo",IF(OR(AND(AC317="Muy baja",AE317="Moderado"),AND(AC317="Baja",AE317="Menor"),AND(AC317="Baja",AE317="Moderado"),AND(AC317="Media",AE317="Leve"),AND(AC317="Media",AE317="Menor"),AND(AC317="Media",AE317="Moderado"),AND(AC317="Alta",AE317="Leve"),AND(AC317="Alta",AE317="Menor")),"Moderado",IF(OR(AND(AC317="Muy Baja",AE317="Mayor"),AND(AC317="Baja",AE317="Mayor"),AND(AC317="Media",AE317="Mayor"),AND(AC317="Alta",AE317="Moderado"),AND(AC317="Alta",AE317="Mayor"),AND(AC317="Muy Alta",AE317="Leve"),AND(AC317="Muy Alta",AE317="Menor"),AND(AC317="Muy Alta",AE317="Moderado"),AND(AC317="Muy Alta",AE317="Mayor")),"Alto",IF(OR(AND(AC317="Muy Baja",AE317="Catastrófico"),AND(AC317="Baja",AE317="Catastrófico"),AND(AC317="Media",AE317="Catastrófico"),AND(AC317="Alta",AE317="Catastrófico"),AND(AC317="Muy Alta",AE317="Catastrófico")),"Extremo","")))),"")</f>
        <v/>
      </c>
      <c r="AH317" s="237"/>
      <c r="AI317" s="318"/>
      <c r="AJ317" s="318"/>
      <c r="AK317" s="318"/>
      <c r="AL317" s="318"/>
      <c r="AM317" s="318"/>
      <c r="AN317" s="312"/>
      <c r="AO317" s="312"/>
      <c r="AP317" s="309"/>
      <c r="AQ317" s="216"/>
      <c r="AR317" s="216"/>
      <c r="AS317" s="323"/>
      <c r="AT317" s="323"/>
      <c r="AU317" s="323"/>
      <c r="AV317" s="323"/>
      <c r="AW317" s="323"/>
      <c r="AX317" s="323"/>
      <c r="AY317" s="323"/>
      <c r="AZ317" s="323"/>
      <c r="BA317" s="323"/>
      <c r="BB317" s="323"/>
      <c r="BC317" s="323"/>
      <c r="BD317" s="323"/>
      <c r="BE317" s="323"/>
      <c r="BF317" s="323"/>
      <c r="BG317" s="323"/>
      <c r="BH317" s="323"/>
      <c r="BI317" s="323"/>
      <c r="BJ317" s="323"/>
      <c r="BK317" s="323"/>
      <c r="BL317" s="323"/>
      <c r="BM317" s="323"/>
      <c r="BN317" s="323"/>
      <c r="BO317" s="323"/>
      <c r="BP317" s="323"/>
      <c r="BQ317" s="323"/>
      <c r="BR317" s="323"/>
      <c r="BS317" s="323"/>
      <c r="BT317" s="323"/>
      <c r="BU317" s="323"/>
      <c r="BV317" s="323"/>
      <c r="BW317" s="323"/>
      <c r="BX317" s="323"/>
      <c r="BY317" s="323"/>
    </row>
    <row r="318" spans="1:77" s="113" customFormat="1" ht="7.5" hidden="1" customHeight="1" x14ac:dyDescent="0.2">
      <c r="A318" s="437"/>
      <c r="B318" s="438"/>
      <c r="C318" s="434"/>
      <c r="D318" s="434"/>
      <c r="E318" s="434"/>
      <c r="F318" s="435"/>
      <c r="G318" s="436"/>
      <c r="H318" s="435"/>
      <c r="I318" s="435"/>
      <c r="J318" s="439"/>
      <c r="K318" s="430"/>
      <c r="L318" s="431"/>
      <c r="M318" s="432"/>
      <c r="N318" s="431">
        <f ca="1">IF(NOT(ISERROR(MATCH(M318,_xlfn.ANCHORARRAY(G329),0))),#REF!&amp;"Por favor no seleccionar los criterios de impacto",M318)</f>
        <v>0</v>
      </c>
      <c r="O318" s="430"/>
      <c r="P318" s="431"/>
      <c r="Q318" s="433"/>
      <c r="R318" s="316">
        <v>6</v>
      </c>
      <c r="S318" s="330"/>
      <c r="T318" s="312"/>
      <c r="U318" s="208" t="str">
        <f t="shared" si="605"/>
        <v/>
      </c>
      <c r="V318" s="237"/>
      <c r="W318" s="237"/>
      <c r="X318" s="209" t="str">
        <f t="shared" si="595"/>
        <v/>
      </c>
      <c r="Y318" s="237"/>
      <c r="Z318" s="237"/>
      <c r="AA318" s="237"/>
      <c r="AB318" s="210" t="str">
        <f t="shared" si="602"/>
        <v/>
      </c>
      <c r="AC318" s="211" t="str">
        <f t="shared" si="599"/>
        <v/>
      </c>
      <c r="AD318" s="209" t="str">
        <f t="shared" si="603"/>
        <v/>
      </c>
      <c r="AE318" s="211" t="str">
        <f t="shared" si="600"/>
        <v/>
      </c>
      <c r="AF318" s="209" t="str">
        <f>IFERROR(IF(AND(U317="Impacto",U318="Impacto"),(AF317-(+AF317*X318)),IF(U318="Impacto",($P$31-(+$P$31*X318)),IF(U318="Probabilidad",AF317,""))),"")</f>
        <v/>
      </c>
      <c r="AG318" s="212" t="str">
        <f t="shared" si="606"/>
        <v/>
      </c>
      <c r="AH318" s="237"/>
      <c r="AI318" s="318"/>
      <c r="AJ318" s="318"/>
      <c r="AK318" s="318"/>
      <c r="AL318" s="318"/>
      <c r="AM318" s="318"/>
      <c r="AN318" s="312"/>
      <c r="AO318" s="312"/>
      <c r="AP318" s="309"/>
      <c r="AQ318" s="216"/>
      <c r="AR318" s="216"/>
      <c r="AS318" s="323"/>
      <c r="AT318" s="323"/>
      <c r="AU318" s="323"/>
      <c r="AV318" s="323"/>
      <c r="AW318" s="323"/>
      <c r="AX318" s="323"/>
      <c r="AY318" s="323"/>
      <c r="AZ318" s="323"/>
      <c r="BA318" s="323"/>
      <c r="BB318" s="323"/>
      <c r="BC318" s="323"/>
      <c r="BD318" s="323"/>
      <c r="BE318" s="323"/>
      <c r="BF318" s="323"/>
      <c r="BG318" s="323"/>
      <c r="BH318" s="323"/>
      <c r="BI318" s="323"/>
      <c r="BJ318" s="323"/>
      <c r="BK318" s="323"/>
      <c r="BL318" s="323"/>
      <c r="BM318" s="323"/>
      <c r="BN318" s="323"/>
      <c r="BO318" s="323"/>
      <c r="BP318" s="323"/>
      <c r="BQ318" s="323"/>
      <c r="BR318" s="323"/>
      <c r="BS318" s="323"/>
      <c r="BT318" s="323"/>
      <c r="BU318" s="323"/>
      <c r="BV318" s="323"/>
      <c r="BW318" s="323"/>
      <c r="BX318" s="323"/>
      <c r="BY318" s="323"/>
    </row>
    <row r="319" spans="1:77" s="271" customFormat="1" ht="85.5" x14ac:dyDescent="0.2">
      <c r="A319" s="437" t="s">
        <v>1034</v>
      </c>
      <c r="B319" s="438" t="s">
        <v>614</v>
      </c>
      <c r="C319" s="434" t="s">
        <v>620</v>
      </c>
      <c r="D319" s="434" t="s">
        <v>109</v>
      </c>
      <c r="E319" s="434" t="s">
        <v>1036</v>
      </c>
      <c r="F319" s="435" t="s">
        <v>685</v>
      </c>
      <c r="G319" s="436" t="s">
        <v>1035</v>
      </c>
      <c r="H319" s="435" t="s">
        <v>655</v>
      </c>
      <c r="I319" s="435" t="s">
        <v>1100</v>
      </c>
      <c r="J319" s="439">
        <v>500</v>
      </c>
      <c r="K319" s="430" t="str">
        <f t="shared" ref="K319" si="607">IF(J319&lt;=0,"",IF(J319&lt;=2,"Muy Baja",IF(J319&lt;=24,"Baja",IF(J319&lt;=500,"Media",IF(J319&lt;=5000,"Alta","Muy Alta")))))</f>
        <v>Media</v>
      </c>
      <c r="L319" s="431">
        <f>IF(K319="","",IF(K319="Muy Baja",0.2,IF(K319="Baja",0.4,IF(K319="Media",0.6,IF(K319="Alta",0.8,IF(K319="Muy Alta",1,))))))</f>
        <v>0.6</v>
      </c>
      <c r="M319" s="432" t="s">
        <v>122</v>
      </c>
      <c r="N319" s="431" t="str">
        <f ca="1">IF(NOT(ISERROR(MATCH(M319,'Tabla Impacto'!$B$221:$B$223,0))),'Tabla Impacto'!$F$223&amp;"Por favor no seleccionar los criterios de impacto(Afectación Económica o presupuestal y Pérdida Reputacional)",M319)</f>
        <v xml:space="preserve">     El riesgo afecta la imagen de de la entidad con efecto publicitario sostenido a nivel de sector administrativo, nivel departamental o municipal</v>
      </c>
      <c r="O319" s="430" t="str">
        <f ca="1">IF(OR(N319='Tabla Impacto'!$C$11,N319='Tabla Impacto'!$D$11),"Leve",IF(OR(N319='Tabla Impacto'!$C$12,N319='Tabla Impacto'!$D$12),"Menor",IF(OR(N319='Tabla Impacto'!$C$13,N319='Tabla Impacto'!$D$13),"Moderado",IF(OR(N319='Tabla Impacto'!$C$14,N319='Tabla Impacto'!$D$14),"Mayor",IF(OR(N319='Tabla Impacto'!$C$15,N319='Tabla Impacto'!$D$15),"Catastrófico","")))))</f>
        <v>Mayor</v>
      </c>
      <c r="P319" s="431">
        <f ca="1">IF(O319="","",IF(O319="Leve",0.2,IF(O319="Menor",0.4,IF(O319="Moderado",0.6,IF(O319="Mayor",0.8,IF(O319="Catastrófico",1,))))))</f>
        <v>0.8</v>
      </c>
      <c r="Q319" s="433" t="str">
        <f ca="1">IF(OR(AND(K319="Muy Baja",O319="Leve"),AND(K319="Muy Baja",O319="Menor"),AND(K319="Baja",O319="Leve")),"Bajo",IF(OR(AND(K319="Muy baja",O319="Moderado"),AND(K319="Baja",O319="Menor"),AND(K319="Baja",O319="Moderado"),AND(K319="Media",O319="Leve"),AND(K319="Media",O319="Menor"),AND(K319="Media",O319="Moderado"),AND(K319="Alta",O319="Leve"),AND(K319="Alta",O319="Menor")),"Moderado",IF(OR(AND(K319="Muy Baja",O319="Mayor"),AND(K319="Baja",O319="Mayor"),AND(K319="Media",O319="Mayor"),AND(K319="Alta",O319="Moderado"),AND(K319="Alta",O319="Mayor"),AND(K319="Muy Alta",O319="Leve"),AND(K319="Muy Alta",O319="Menor"),AND(K319="Muy Alta",O319="Moderado"),AND(K319="Muy Alta",O319="Mayor")),"Alto",IF(OR(AND(K319="Muy Baja",O319="Catastrófico"),AND(K319="Baja",O319="Catastrófico"),AND(K319="Media",O319="Catastrófico"),AND(K319="Alta",O319="Catastrófico"),AND(K319="Muy Alta",O319="Catastrófico")),"Extremo",""))))</f>
        <v>Alto</v>
      </c>
      <c r="R319" s="261">
        <v>1</v>
      </c>
      <c r="S319" s="334" t="s">
        <v>1037</v>
      </c>
      <c r="T319" s="272" t="s">
        <v>293</v>
      </c>
      <c r="U319" s="262" t="str">
        <f>IF(OR(V319="Preventivo",V319="Detectivo"),"Probabilidad",IF(V319="Correctivo","Impacto",""))</f>
        <v>Probabilidad</v>
      </c>
      <c r="V319" s="263" t="s">
        <v>13</v>
      </c>
      <c r="W319" s="263" t="s">
        <v>8</v>
      </c>
      <c r="X319" s="264" t="str">
        <f t="shared" ref="X319:X324" si="608">IF(AND(V319="Preventivo",W319="Automático"),"50%",IF(AND(V319="Preventivo",W319="Manual"),"40%",IF(AND(V319="Detectivo",W319="Automático"),"40%",IF(AND(V319="Detectivo",W319="Manual"),"30%",IF(AND(V319="Correctivo",W319="Automático"),"35%",IF(AND(V319="Correctivo",W319="Manual"),"25%",""))))))</f>
        <v>40%</v>
      </c>
      <c r="Y319" s="263" t="s">
        <v>18</v>
      </c>
      <c r="Z319" s="263" t="s">
        <v>21</v>
      </c>
      <c r="AA319" s="263" t="s">
        <v>103</v>
      </c>
      <c r="AB319" s="265">
        <f t="shared" ref="AB319" si="609">IFERROR(IF(U319="Probabilidad",(L319-(+L319*X319)),IF(U319="Impacto",L319,"")),"")</f>
        <v>0.36</v>
      </c>
      <c r="AC319" s="266" t="str">
        <f>IFERROR(IF(AB319="","",IF(AB319&lt;=0.2,"Muy Baja",IF(AB319&lt;=0.4,"Baja",IF(AB319&lt;=0.6,"Media",IF(AB319&lt;=0.8,"Alta","Muy Alta"))))),"")</f>
        <v>Baja</v>
      </c>
      <c r="AD319" s="264">
        <f>+AB319</f>
        <v>0.36</v>
      </c>
      <c r="AE319" s="266" t="str">
        <f ca="1">IFERROR(IF(AF319="","",IF(AF319&lt;=0.2,"Leve",IF(AF319&lt;=0.4,"Menor",IF(AF319&lt;=0.6,"Moderado",IF(AF319&lt;=0.8,"Mayor","Catastrófico"))))),"")</f>
        <v>Mayor</v>
      </c>
      <c r="AF319" s="264">
        <f ca="1">IFERROR(IF(U319="Impacto",(P319-(+P319*X319)),IF(U319="Probabilidad",P319,"")),"")</f>
        <v>0.8</v>
      </c>
      <c r="AG319" s="267" t="str">
        <f ca="1">IFERROR(IF(OR(AND(AC319="Muy Baja",AE319="Leve"),AND(AC319="Muy Baja",AE319="Menor"),AND(AC319="Baja",AE319="Leve")),"Bajo",IF(OR(AND(AC319="Muy baja",AE319="Moderado"),AND(AC319="Baja",AE319="Menor"),AND(AC319="Baja",AE319="Moderado"),AND(AC319="Media",AE319="Leve"),AND(AC319="Media",AE319="Menor"),AND(AC319="Media",AE319="Moderado"),AND(AC319="Alta",AE319="Leve"),AND(AC319="Alta",AE319="Menor")),"Moderado",IF(OR(AND(AC319="Muy Baja",AE319="Mayor"),AND(AC319="Baja",AE319="Mayor"),AND(AC319="Media",AE319="Mayor"),AND(AC319="Alta",AE319="Moderado"),AND(AC319="Alta",AE319="Mayor"),AND(AC319="Muy Alta",AE319="Leve"),AND(AC319="Muy Alta",AE319="Menor"),AND(AC319="Muy Alta",AE319="Moderado"),AND(AC319="Muy Alta",AE319="Mayor")),"Alto",IF(OR(AND(AC319="Muy Baja",AE319="Catastrófico"),AND(AC319="Baja",AE319="Catastrófico"),AND(AC319="Media",AE319="Catastrófico"),AND(AC319="Alta",AE319="Catastrófico"),AND(AC319="Muy Alta",AE319="Catastrófico")),"Extremo","")))),"")</f>
        <v>Alto</v>
      </c>
      <c r="AH319" s="263" t="s">
        <v>26</v>
      </c>
      <c r="AI319" s="273">
        <v>12</v>
      </c>
      <c r="AJ319" s="273">
        <v>3</v>
      </c>
      <c r="AK319" s="273">
        <v>3</v>
      </c>
      <c r="AL319" s="273">
        <v>3</v>
      </c>
      <c r="AM319" s="273">
        <v>3</v>
      </c>
      <c r="AN319" s="272"/>
      <c r="AO319" s="272"/>
      <c r="AP319" s="273"/>
      <c r="AQ319" s="274"/>
      <c r="AR319" s="274"/>
      <c r="AS319" s="323"/>
      <c r="AT319" s="323"/>
      <c r="AU319" s="323"/>
      <c r="AV319" s="323"/>
      <c r="AW319" s="323"/>
      <c r="AX319" s="323"/>
      <c r="AY319" s="323"/>
      <c r="AZ319" s="323"/>
      <c r="BA319" s="323"/>
      <c r="BB319" s="323"/>
      <c r="BC319" s="323"/>
      <c r="BD319" s="323"/>
      <c r="BE319" s="323"/>
      <c r="BF319" s="323"/>
      <c r="BG319" s="323"/>
      <c r="BH319" s="323"/>
      <c r="BI319" s="323"/>
      <c r="BJ319" s="323"/>
      <c r="BK319" s="323"/>
      <c r="BL319" s="323"/>
      <c r="BM319" s="323"/>
      <c r="BN319" s="323"/>
      <c r="BO319" s="323"/>
      <c r="BP319" s="323"/>
      <c r="BQ319" s="323"/>
      <c r="BR319" s="323"/>
      <c r="BS319" s="323"/>
      <c r="BT319" s="323"/>
      <c r="BU319" s="323"/>
      <c r="BV319" s="323"/>
      <c r="BW319" s="323"/>
      <c r="BX319" s="323"/>
      <c r="BY319" s="323"/>
    </row>
    <row r="320" spans="1:77" s="113" customFormat="1" ht="100.15" customHeight="1" x14ac:dyDescent="0.2">
      <c r="A320" s="437"/>
      <c r="B320" s="438"/>
      <c r="C320" s="434"/>
      <c r="D320" s="434"/>
      <c r="E320" s="434"/>
      <c r="F320" s="435"/>
      <c r="G320" s="436"/>
      <c r="H320" s="435"/>
      <c r="I320" s="435"/>
      <c r="J320" s="439"/>
      <c r="K320" s="430"/>
      <c r="L320" s="431"/>
      <c r="M320" s="432"/>
      <c r="N320" s="431">
        <f t="shared" ref="N320:N323" ca="1" si="610">IF(NOT(ISERROR(MATCH(M320,_xlfn.ANCHORARRAY(G331),0))),L333&amp;"Por favor no seleccionar los criterios de impacto",M320)</f>
        <v>0</v>
      </c>
      <c r="O320" s="430"/>
      <c r="P320" s="431"/>
      <c r="Q320" s="433"/>
      <c r="R320" s="316">
        <v>2</v>
      </c>
      <c r="S320" s="330" t="s">
        <v>1038</v>
      </c>
      <c r="T320" s="312" t="s">
        <v>293</v>
      </c>
      <c r="U320" s="208" t="str">
        <f>IF(OR(V320="Preventivo",V320="Detectivo"),"Probabilidad",IF(V320="Correctivo","Impacto",""))</f>
        <v>Probabilidad</v>
      </c>
      <c r="V320" s="237" t="s">
        <v>13</v>
      </c>
      <c r="W320" s="237" t="s">
        <v>8</v>
      </c>
      <c r="X320" s="209" t="str">
        <f t="shared" si="608"/>
        <v>40%</v>
      </c>
      <c r="Y320" s="237" t="s">
        <v>18</v>
      </c>
      <c r="Z320" s="237" t="s">
        <v>21</v>
      </c>
      <c r="AA320" s="237" t="s">
        <v>103</v>
      </c>
      <c r="AB320" s="210">
        <f t="shared" ref="AB320" si="611">IFERROR(IF(AND(U319="Probabilidad",U320="Probabilidad"),(AD319-(+AD319*X320)),IF(U320="Probabilidad",(L319-(+L319*X320)),IF(U320="Impacto",AD319,""))),"")</f>
        <v>0.216</v>
      </c>
      <c r="AC320" s="211" t="str">
        <f t="shared" ref="AC320:AC324" si="612">IFERROR(IF(AB320="","",IF(AB320&lt;=0.2,"Muy Baja",IF(AB320&lt;=0.4,"Baja",IF(AB320&lt;=0.6,"Media",IF(AB320&lt;=0.8,"Alta","Muy Alta"))))),"")</f>
        <v>Baja</v>
      </c>
      <c r="AD320" s="209">
        <f t="shared" ref="AD320:AD324" si="613">+AB320</f>
        <v>0.216</v>
      </c>
      <c r="AE320" s="211" t="str">
        <f t="shared" ref="AE320:AE324" ca="1" si="614">IFERROR(IF(AF320="","",IF(AF320&lt;=0.2,"Leve",IF(AF320&lt;=0.4,"Menor",IF(AF320&lt;=0.6,"Moderado",IF(AF320&lt;=0.8,"Mayor","Catastrófico"))))),"")</f>
        <v>Mayor</v>
      </c>
      <c r="AF320" s="209">
        <f t="shared" ref="AF320:AF323" ca="1" si="615">IFERROR(IF(AND(U319="Impacto",U320="Impacto"),(AF319-(+AF319*X320)),IF(U320="Impacto",($P$31-(+$P$31*X320)),IF(U320="Probabilidad",AF319,""))),"")</f>
        <v>0.8</v>
      </c>
      <c r="AG320" s="212" t="str">
        <f t="shared" ref="AG320:AG321" ca="1" si="616">IFERROR(IF(OR(AND(AC320="Muy Baja",AE320="Leve"),AND(AC320="Muy Baja",AE320="Menor"),AND(AC320="Baja",AE320="Leve")),"Bajo",IF(OR(AND(AC320="Muy baja",AE320="Moderado"),AND(AC320="Baja",AE320="Menor"),AND(AC320="Baja",AE320="Moderado"),AND(AC320="Media",AE320="Leve"),AND(AC320="Media",AE320="Menor"),AND(AC320="Media",AE320="Moderado"),AND(AC320="Alta",AE320="Leve"),AND(AC320="Alta",AE320="Menor")),"Moderado",IF(OR(AND(AC320="Muy Baja",AE320="Mayor"),AND(AC320="Baja",AE320="Mayor"),AND(AC320="Media",AE320="Mayor"),AND(AC320="Alta",AE320="Moderado"),AND(AC320="Alta",AE320="Mayor"),AND(AC320="Muy Alta",AE320="Leve"),AND(AC320="Muy Alta",AE320="Menor"),AND(AC320="Muy Alta",AE320="Moderado"),AND(AC320="Muy Alta",AE320="Mayor")),"Alto",IF(OR(AND(AC320="Muy Baja",AE320="Catastrófico"),AND(AC320="Baja",AE320="Catastrófico"),AND(AC320="Media",AE320="Catastrófico"),AND(AC320="Alta",AE320="Catastrófico"),AND(AC320="Muy Alta",AE320="Catastrófico")),"Extremo","")))),"")</f>
        <v>Alto</v>
      </c>
      <c r="AH320" s="237" t="s">
        <v>26</v>
      </c>
      <c r="AI320" s="318">
        <v>2</v>
      </c>
      <c r="AJ320" s="318">
        <v>0</v>
      </c>
      <c r="AK320" s="318">
        <v>1</v>
      </c>
      <c r="AL320" s="318">
        <v>0</v>
      </c>
      <c r="AM320" s="318">
        <v>1</v>
      </c>
      <c r="AN320" s="312"/>
      <c r="AO320" s="312"/>
      <c r="AP320" s="309"/>
      <c r="AQ320" s="216"/>
      <c r="AR320" s="216"/>
      <c r="AS320" s="323"/>
      <c r="AT320" s="323"/>
      <c r="AU320" s="323"/>
      <c r="AV320" s="323"/>
      <c r="AW320" s="323"/>
      <c r="AX320" s="323"/>
      <c r="AY320" s="323"/>
      <c r="AZ320" s="323"/>
      <c r="BA320" s="323"/>
      <c r="BB320" s="323"/>
      <c r="BC320" s="323"/>
      <c r="BD320" s="323"/>
      <c r="BE320" s="323"/>
      <c r="BF320" s="323"/>
      <c r="BG320" s="323"/>
      <c r="BH320" s="323"/>
      <c r="BI320" s="323"/>
      <c r="BJ320" s="323"/>
      <c r="BK320" s="323"/>
      <c r="BL320" s="323"/>
      <c r="BM320" s="323"/>
      <c r="BN320" s="323"/>
      <c r="BO320" s="323"/>
      <c r="BP320" s="323"/>
      <c r="BQ320" s="323"/>
      <c r="BR320" s="323"/>
      <c r="BS320" s="323"/>
      <c r="BT320" s="323"/>
      <c r="BU320" s="323"/>
      <c r="BV320" s="323"/>
      <c r="BW320" s="323"/>
      <c r="BX320" s="323"/>
      <c r="BY320" s="323"/>
    </row>
    <row r="321" spans="1:77" s="113" customFormat="1" ht="13.5" hidden="1" customHeight="1" x14ac:dyDescent="0.2">
      <c r="A321" s="437"/>
      <c r="B321" s="438"/>
      <c r="C321" s="434"/>
      <c r="D321" s="434"/>
      <c r="E321" s="434"/>
      <c r="F321" s="435"/>
      <c r="G321" s="436"/>
      <c r="H321" s="435"/>
      <c r="I321" s="435"/>
      <c r="J321" s="439"/>
      <c r="K321" s="430"/>
      <c r="L321" s="431"/>
      <c r="M321" s="432"/>
      <c r="N321" s="431">
        <f t="shared" ca="1" si="610"/>
        <v>0</v>
      </c>
      <c r="O321" s="430"/>
      <c r="P321" s="431"/>
      <c r="Q321" s="433"/>
      <c r="R321" s="316">
        <v>3</v>
      </c>
      <c r="S321" s="330"/>
      <c r="T321" s="312"/>
      <c r="U321" s="208" t="str">
        <f>IF(OR(V321="Preventivo",V321="Detectivo"),"Probabilidad",IF(V321="Correctivo","Impacto",""))</f>
        <v/>
      </c>
      <c r="V321" s="237"/>
      <c r="W321" s="237"/>
      <c r="X321" s="209" t="str">
        <f t="shared" si="608"/>
        <v/>
      </c>
      <c r="Y321" s="237"/>
      <c r="Z321" s="237"/>
      <c r="AA321" s="237"/>
      <c r="AB321" s="210" t="str">
        <f t="shared" ref="AB321:AB324" si="617">IFERROR(IF(AND(U320="Probabilidad",U321="Probabilidad"),(AD320-(+AD320*X321)),IF(AND(U320="Impacto",U321="Probabilidad"),(AD319-(+AD319*X321)),IF(U321="Impacto",AD320,""))),"")</f>
        <v/>
      </c>
      <c r="AC321" s="211" t="str">
        <f t="shared" si="612"/>
        <v/>
      </c>
      <c r="AD321" s="209" t="str">
        <f t="shared" si="613"/>
        <v/>
      </c>
      <c r="AE321" s="211" t="str">
        <f t="shared" si="614"/>
        <v/>
      </c>
      <c r="AF321" s="209" t="str">
        <f t="shared" si="615"/>
        <v/>
      </c>
      <c r="AG321" s="212" t="str">
        <f t="shared" si="616"/>
        <v/>
      </c>
      <c r="AH321" s="237"/>
      <c r="AI321" s="318"/>
      <c r="AJ321" s="318"/>
      <c r="AK321" s="318"/>
      <c r="AL321" s="318"/>
      <c r="AM321" s="318"/>
      <c r="AN321" s="312"/>
      <c r="AO321" s="312"/>
      <c r="AP321" s="309"/>
      <c r="AQ321" s="216"/>
      <c r="AR321" s="216"/>
      <c r="AS321" s="323"/>
      <c r="AT321" s="323"/>
      <c r="AU321" s="323"/>
      <c r="AV321" s="323"/>
      <c r="AW321" s="323"/>
      <c r="AX321" s="323"/>
      <c r="AY321" s="323"/>
      <c r="AZ321" s="323"/>
      <c r="BA321" s="323"/>
      <c r="BB321" s="323"/>
      <c r="BC321" s="323"/>
      <c r="BD321" s="323"/>
      <c r="BE321" s="323"/>
      <c r="BF321" s="323"/>
      <c r="BG321" s="323"/>
      <c r="BH321" s="323"/>
      <c r="BI321" s="323"/>
      <c r="BJ321" s="323"/>
      <c r="BK321" s="323"/>
      <c r="BL321" s="323"/>
      <c r="BM321" s="323"/>
      <c r="BN321" s="323"/>
      <c r="BO321" s="323"/>
      <c r="BP321" s="323"/>
      <c r="BQ321" s="323"/>
      <c r="BR321" s="323"/>
      <c r="BS321" s="323"/>
      <c r="BT321" s="323"/>
      <c r="BU321" s="323"/>
      <c r="BV321" s="323"/>
      <c r="BW321" s="323"/>
      <c r="BX321" s="323"/>
      <c r="BY321" s="323"/>
    </row>
    <row r="322" spans="1:77" s="113" customFormat="1" ht="13.5" hidden="1" customHeight="1" x14ac:dyDescent="0.2">
      <c r="A322" s="437"/>
      <c r="B322" s="438"/>
      <c r="C322" s="434"/>
      <c r="D322" s="434"/>
      <c r="E322" s="434"/>
      <c r="F322" s="435"/>
      <c r="G322" s="436"/>
      <c r="H322" s="435"/>
      <c r="I322" s="435"/>
      <c r="J322" s="439"/>
      <c r="K322" s="430"/>
      <c r="L322" s="431"/>
      <c r="M322" s="432"/>
      <c r="N322" s="431">
        <f t="shared" ca="1" si="610"/>
        <v>0</v>
      </c>
      <c r="O322" s="430"/>
      <c r="P322" s="431"/>
      <c r="Q322" s="433"/>
      <c r="R322" s="316">
        <v>4</v>
      </c>
      <c r="S322" s="330"/>
      <c r="T322" s="312"/>
      <c r="U322" s="208" t="str">
        <f t="shared" ref="U322:U324" si="618">IF(OR(V322="Preventivo",V322="Detectivo"),"Probabilidad",IF(V322="Correctivo","Impacto",""))</f>
        <v/>
      </c>
      <c r="V322" s="237"/>
      <c r="W322" s="237"/>
      <c r="X322" s="209" t="str">
        <f t="shared" si="608"/>
        <v/>
      </c>
      <c r="Y322" s="237"/>
      <c r="Z322" s="237"/>
      <c r="AA322" s="237"/>
      <c r="AB322" s="210" t="str">
        <f t="shared" si="617"/>
        <v/>
      </c>
      <c r="AC322" s="211" t="str">
        <f t="shared" si="612"/>
        <v/>
      </c>
      <c r="AD322" s="209" t="str">
        <f t="shared" si="613"/>
        <v/>
      </c>
      <c r="AE322" s="211" t="str">
        <f t="shared" si="614"/>
        <v/>
      </c>
      <c r="AF322" s="209" t="str">
        <f t="shared" si="615"/>
        <v/>
      </c>
      <c r="AG322" s="212" t="str">
        <f>IFERROR(IF(OR(AND(AC322="Muy Baja",AE322="Leve"),AND(AC322="Muy Baja",AE322="Menor"),AND(AC322="Baja",AE322="Leve")),"Bajo",IF(OR(AND(AC322="Muy baja",AE322="Moderado"),AND(AC322="Baja",AE322="Menor"),AND(AC322="Baja",AE322="Moderado"),AND(AC322="Media",AE322="Leve"),AND(AC322="Media",AE322="Menor"),AND(AC322="Media",AE322="Moderado"),AND(AC322="Alta",AE322="Leve"),AND(AC322="Alta",AE322="Menor")),"Moderado",IF(OR(AND(AC322="Muy Baja",AE322="Mayor"),AND(AC322="Baja",AE322="Mayor"),AND(AC322="Media",AE322="Mayor"),AND(AC322="Alta",AE322="Moderado"),AND(AC322="Alta",AE322="Mayor"),AND(AC322="Muy Alta",AE322="Leve"),AND(AC322="Muy Alta",AE322="Menor"),AND(AC322="Muy Alta",AE322="Moderado"),AND(AC322="Muy Alta",AE322="Mayor")),"Alto",IF(OR(AND(AC322="Muy Baja",AE322="Catastrófico"),AND(AC322="Baja",AE322="Catastrófico"),AND(AC322="Media",AE322="Catastrófico"),AND(AC322="Alta",AE322="Catastrófico"),AND(AC322="Muy Alta",AE322="Catastrófico")),"Extremo","")))),"")</f>
        <v/>
      </c>
      <c r="AH322" s="237"/>
      <c r="AI322" s="318"/>
      <c r="AJ322" s="318"/>
      <c r="AK322" s="318"/>
      <c r="AL322" s="318"/>
      <c r="AM322" s="318"/>
      <c r="AN322" s="312"/>
      <c r="AO322" s="312"/>
      <c r="AP322" s="309"/>
      <c r="AQ322" s="216"/>
      <c r="AR322" s="216"/>
      <c r="AS322" s="323"/>
      <c r="AT322" s="323"/>
      <c r="AU322" s="323"/>
      <c r="AV322" s="323"/>
      <c r="AW322" s="323"/>
      <c r="AX322" s="323"/>
      <c r="AY322" s="323"/>
      <c r="AZ322" s="323"/>
      <c r="BA322" s="323"/>
      <c r="BB322" s="323"/>
      <c r="BC322" s="323"/>
      <c r="BD322" s="323"/>
      <c r="BE322" s="323"/>
      <c r="BF322" s="323"/>
      <c r="BG322" s="323"/>
      <c r="BH322" s="323"/>
      <c r="BI322" s="323"/>
      <c r="BJ322" s="323"/>
      <c r="BK322" s="323"/>
      <c r="BL322" s="323"/>
      <c r="BM322" s="323"/>
      <c r="BN322" s="323"/>
      <c r="BO322" s="323"/>
      <c r="BP322" s="323"/>
      <c r="BQ322" s="323"/>
      <c r="BR322" s="323"/>
      <c r="BS322" s="323"/>
      <c r="BT322" s="323"/>
      <c r="BU322" s="323"/>
      <c r="BV322" s="323"/>
      <c r="BW322" s="323"/>
      <c r="BX322" s="323"/>
      <c r="BY322" s="323"/>
    </row>
    <row r="323" spans="1:77" s="113" customFormat="1" ht="13.5" hidden="1" customHeight="1" x14ac:dyDescent="0.2">
      <c r="A323" s="437"/>
      <c r="B323" s="438"/>
      <c r="C323" s="434"/>
      <c r="D323" s="434"/>
      <c r="E323" s="434"/>
      <c r="F323" s="435"/>
      <c r="G323" s="436"/>
      <c r="H323" s="435"/>
      <c r="I323" s="435"/>
      <c r="J323" s="439"/>
      <c r="K323" s="430"/>
      <c r="L323" s="431"/>
      <c r="M323" s="432"/>
      <c r="N323" s="431">
        <f t="shared" ca="1" si="610"/>
        <v>0</v>
      </c>
      <c r="O323" s="430"/>
      <c r="P323" s="431"/>
      <c r="Q323" s="433"/>
      <c r="R323" s="316">
        <v>5</v>
      </c>
      <c r="S323" s="330"/>
      <c r="T323" s="312"/>
      <c r="U323" s="208" t="str">
        <f t="shared" si="618"/>
        <v/>
      </c>
      <c r="V323" s="237"/>
      <c r="W323" s="237"/>
      <c r="X323" s="209" t="str">
        <f t="shared" si="608"/>
        <v/>
      </c>
      <c r="Y323" s="237"/>
      <c r="Z323" s="237"/>
      <c r="AA323" s="237"/>
      <c r="AB323" s="210" t="str">
        <f t="shared" si="617"/>
        <v/>
      </c>
      <c r="AC323" s="211" t="str">
        <f t="shared" si="612"/>
        <v/>
      </c>
      <c r="AD323" s="209" t="str">
        <f t="shared" si="613"/>
        <v/>
      </c>
      <c r="AE323" s="211" t="str">
        <f t="shared" si="614"/>
        <v/>
      </c>
      <c r="AF323" s="209" t="str">
        <f t="shared" si="615"/>
        <v/>
      </c>
      <c r="AG323" s="212" t="str">
        <f t="shared" ref="AG323:AG324" si="619">IFERROR(IF(OR(AND(AC323="Muy Baja",AE323="Leve"),AND(AC323="Muy Baja",AE323="Menor"),AND(AC323="Baja",AE323="Leve")),"Bajo",IF(OR(AND(AC323="Muy baja",AE323="Moderado"),AND(AC323="Baja",AE323="Menor"),AND(AC323="Baja",AE323="Moderado"),AND(AC323="Media",AE323="Leve"),AND(AC323="Media",AE323="Menor"),AND(AC323="Media",AE323="Moderado"),AND(AC323="Alta",AE323="Leve"),AND(AC323="Alta",AE323="Menor")),"Moderado",IF(OR(AND(AC323="Muy Baja",AE323="Mayor"),AND(AC323="Baja",AE323="Mayor"),AND(AC323="Media",AE323="Mayor"),AND(AC323="Alta",AE323="Moderado"),AND(AC323="Alta",AE323="Mayor"),AND(AC323="Muy Alta",AE323="Leve"),AND(AC323="Muy Alta",AE323="Menor"),AND(AC323="Muy Alta",AE323="Moderado"),AND(AC323="Muy Alta",AE323="Mayor")),"Alto",IF(OR(AND(AC323="Muy Baja",AE323="Catastrófico"),AND(AC323="Baja",AE323="Catastrófico"),AND(AC323="Media",AE323="Catastrófico"),AND(AC323="Alta",AE323="Catastrófico"),AND(AC323="Muy Alta",AE323="Catastrófico")),"Extremo","")))),"")</f>
        <v/>
      </c>
      <c r="AH323" s="237"/>
      <c r="AI323" s="318"/>
      <c r="AJ323" s="318"/>
      <c r="AK323" s="318"/>
      <c r="AL323" s="318"/>
      <c r="AM323" s="318"/>
      <c r="AN323" s="312"/>
      <c r="AO323" s="312"/>
      <c r="AP323" s="309"/>
      <c r="AQ323" s="216"/>
      <c r="AR323" s="216"/>
      <c r="AS323" s="323"/>
      <c r="AT323" s="323"/>
      <c r="AU323" s="323"/>
      <c r="AV323" s="323"/>
      <c r="AW323" s="323"/>
      <c r="AX323" s="323"/>
      <c r="AY323" s="323"/>
      <c r="AZ323" s="323"/>
      <c r="BA323" s="323"/>
      <c r="BB323" s="323"/>
      <c r="BC323" s="323"/>
      <c r="BD323" s="323"/>
      <c r="BE323" s="323"/>
      <c r="BF323" s="323"/>
      <c r="BG323" s="323"/>
      <c r="BH323" s="323"/>
      <c r="BI323" s="323"/>
      <c r="BJ323" s="323"/>
      <c r="BK323" s="323"/>
      <c r="BL323" s="323"/>
      <c r="BM323" s="323"/>
      <c r="BN323" s="323"/>
      <c r="BO323" s="323"/>
      <c r="BP323" s="323"/>
      <c r="BQ323" s="323"/>
      <c r="BR323" s="323"/>
      <c r="BS323" s="323"/>
      <c r="BT323" s="323"/>
      <c r="BU323" s="323"/>
      <c r="BV323" s="323"/>
      <c r="BW323" s="323"/>
      <c r="BX323" s="323"/>
      <c r="BY323" s="323"/>
    </row>
    <row r="324" spans="1:77" s="113" customFormat="1" ht="13.5" hidden="1" customHeight="1" x14ac:dyDescent="0.2">
      <c r="A324" s="437"/>
      <c r="B324" s="438"/>
      <c r="C324" s="434"/>
      <c r="D324" s="434"/>
      <c r="E324" s="434"/>
      <c r="F324" s="435"/>
      <c r="G324" s="436"/>
      <c r="H324" s="435"/>
      <c r="I324" s="435"/>
      <c r="J324" s="439"/>
      <c r="K324" s="430"/>
      <c r="L324" s="431"/>
      <c r="M324" s="432"/>
      <c r="N324" s="431">
        <f ca="1">IF(NOT(ISERROR(MATCH(M324,_xlfn.ANCHORARRAY(G335),0))),L259&amp;"Por favor no seleccionar los criterios de impacto",M324)</f>
        <v>0</v>
      </c>
      <c r="O324" s="430"/>
      <c r="P324" s="431"/>
      <c r="Q324" s="433"/>
      <c r="R324" s="316">
        <v>6</v>
      </c>
      <c r="S324" s="330"/>
      <c r="T324" s="312"/>
      <c r="U324" s="208" t="str">
        <f t="shared" si="618"/>
        <v/>
      </c>
      <c r="V324" s="237"/>
      <c r="W324" s="237"/>
      <c r="X324" s="209" t="str">
        <f t="shared" si="608"/>
        <v/>
      </c>
      <c r="Y324" s="237"/>
      <c r="Z324" s="237"/>
      <c r="AA324" s="237"/>
      <c r="AB324" s="210" t="str">
        <f t="shared" si="617"/>
        <v/>
      </c>
      <c r="AC324" s="211" t="str">
        <f t="shared" si="612"/>
        <v/>
      </c>
      <c r="AD324" s="209" t="str">
        <f t="shared" si="613"/>
        <v/>
      </c>
      <c r="AE324" s="211" t="str">
        <f t="shared" si="614"/>
        <v/>
      </c>
      <c r="AF324" s="209" t="str">
        <f>IFERROR(IF(AND(U323="Impacto",U324="Impacto"),(AF323-(+AF323*X324)),IF(U324="Impacto",($P$31-(+$P$31*X324)),IF(U324="Probabilidad",AF323,""))),"")</f>
        <v/>
      </c>
      <c r="AG324" s="212" t="str">
        <f t="shared" si="619"/>
        <v/>
      </c>
      <c r="AH324" s="237"/>
      <c r="AI324" s="318"/>
      <c r="AJ324" s="318"/>
      <c r="AK324" s="318"/>
      <c r="AL324" s="318"/>
      <c r="AM324" s="318"/>
      <c r="AN324" s="312"/>
      <c r="AO324" s="312"/>
      <c r="AP324" s="309"/>
      <c r="AQ324" s="216"/>
      <c r="AR324" s="216"/>
      <c r="AS324" s="323"/>
      <c r="AT324" s="323"/>
      <c r="AU324" s="323"/>
      <c r="AV324" s="323"/>
      <c r="AW324" s="323"/>
      <c r="AX324" s="323"/>
      <c r="AY324" s="323"/>
      <c r="AZ324" s="323"/>
      <c r="BA324" s="323"/>
      <c r="BB324" s="323"/>
      <c r="BC324" s="323"/>
      <c r="BD324" s="323"/>
      <c r="BE324" s="323"/>
      <c r="BF324" s="323"/>
      <c r="BG324" s="323"/>
      <c r="BH324" s="323"/>
      <c r="BI324" s="323"/>
      <c r="BJ324" s="323"/>
      <c r="BK324" s="323"/>
      <c r="BL324" s="323"/>
      <c r="BM324" s="323"/>
      <c r="BN324" s="323"/>
      <c r="BO324" s="323"/>
      <c r="BP324" s="323"/>
      <c r="BQ324" s="323"/>
      <c r="BR324" s="323"/>
      <c r="BS324" s="323"/>
      <c r="BT324" s="323"/>
      <c r="BU324" s="323"/>
      <c r="BV324" s="323"/>
      <c r="BW324" s="323"/>
      <c r="BX324" s="323"/>
      <c r="BY324" s="323"/>
    </row>
    <row r="325" spans="1:77" s="271" customFormat="1" ht="96.75" customHeight="1" x14ac:dyDescent="0.2">
      <c r="A325" s="437" t="s">
        <v>1039</v>
      </c>
      <c r="B325" s="438" t="s">
        <v>614</v>
      </c>
      <c r="C325" s="434" t="s">
        <v>620</v>
      </c>
      <c r="D325" s="434" t="s">
        <v>107</v>
      </c>
      <c r="E325" s="434" t="s">
        <v>1041</v>
      </c>
      <c r="F325" s="435" t="s">
        <v>685</v>
      </c>
      <c r="G325" s="436" t="s">
        <v>1040</v>
      </c>
      <c r="H325" s="435" t="s">
        <v>655</v>
      </c>
      <c r="I325" s="435" t="s">
        <v>1100</v>
      </c>
      <c r="J325" s="439">
        <v>1</v>
      </c>
      <c r="K325" s="430" t="str">
        <f t="shared" si="553"/>
        <v>Muy Baja</v>
      </c>
      <c r="L325" s="431">
        <f>IF(K325="","",IF(K325="Muy Baja",0.2,IF(K325="Baja",0.4,IF(K325="Media",0.6,IF(K325="Alta",0.8,IF(K325="Muy Alta",1,))))))</f>
        <v>0.2</v>
      </c>
      <c r="M325" s="432" t="s">
        <v>121</v>
      </c>
      <c r="N325" s="431" t="str">
        <f ca="1">IF(NOT(ISERROR(MATCH(M325,'Tabla Impacto'!$B$221:$B$223,0))),'Tabla Impacto'!$F$223&amp;"Por favor no seleccionar los criterios de impacto(Afectación Económica o presupuestal y Pérdida Reputacional)",M325)</f>
        <v xml:space="preserve">     El riesgo afecta la imagen de la entidad con algunos usuarios de relevancia frente al logro de los objetivos</v>
      </c>
      <c r="O325" s="430" t="str">
        <f ca="1">IF(OR(N325='Tabla Impacto'!$C$11,N325='Tabla Impacto'!$D$11),"Leve",IF(OR(N325='Tabla Impacto'!$C$12,N325='Tabla Impacto'!$D$12),"Menor",IF(OR(N325='Tabla Impacto'!$C$13,N325='Tabla Impacto'!$D$13),"Moderado",IF(OR(N325='Tabla Impacto'!$C$14,N325='Tabla Impacto'!$D$14),"Mayor",IF(OR(N325='Tabla Impacto'!$C$15,N325='Tabla Impacto'!$D$15),"Catastrófico","")))))</f>
        <v>Moderado</v>
      </c>
      <c r="P325" s="431">
        <f ca="1">IF(O325="","",IF(O325="Leve",0.2,IF(O325="Menor",0.4,IF(O325="Moderado",0.6,IF(O325="Mayor",0.8,IF(O325="Catastrófico",1,))))))</f>
        <v>0.6</v>
      </c>
      <c r="Q325" s="433" t="str">
        <f ca="1">IF(OR(AND(K325="Muy Baja",O325="Leve"),AND(K325="Muy Baja",O325="Menor"),AND(K325="Baja",O325="Leve")),"Bajo",IF(OR(AND(K325="Muy baja",O325="Moderado"),AND(K325="Baja",O325="Menor"),AND(K325="Baja",O325="Moderado"),AND(K325="Media",O325="Leve"),AND(K325="Media",O325="Menor"),AND(K325="Media",O325="Moderado"),AND(K325="Alta",O325="Leve"),AND(K325="Alta",O325="Menor")),"Moderado",IF(OR(AND(K325="Muy Baja",O325="Mayor"),AND(K325="Baja",O325="Mayor"),AND(K325="Media",O325="Mayor"),AND(K325="Alta",O325="Moderado"),AND(K325="Alta",O325="Mayor"),AND(K325="Muy Alta",O325="Leve"),AND(K325="Muy Alta",O325="Menor"),AND(K325="Muy Alta",O325="Moderado"),AND(K325="Muy Alta",O325="Mayor")),"Alto",IF(OR(AND(K325="Muy Baja",O325="Catastrófico"),AND(K325="Baja",O325="Catastrófico"),AND(K325="Media",O325="Catastrófico"),AND(K325="Alta",O325="Catastrófico"),AND(K325="Muy Alta",O325="Catastrófico")),"Extremo",""))))</f>
        <v>Moderado</v>
      </c>
      <c r="R325" s="261">
        <v>1</v>
      </c>
      <c r="S325" s="334" t="s">
        <v>1042</v>
      </c>
      <c r="T325" s="272" t="s">
        <v>293</v>
      </c>
      <c r="U325" s="262" t="str">
        <f>IF(OR(V325="Preventivo",V325="Detectivo"),"Probabilidad",IF(V325="Correctivo","Impacto",""))</f>
        <v>Probabilidad</v>
      </c>
      <c r="V325" s="263" t="s">
        <v>13</v>
      </c>
      <c r="W325" s="263" t="s">
        <v>8</v>
      </c>
      <c r="X325" s="264" t="str">
        <f t="shared" si="47"/>
        <v>40%</v>
      </c>
      <c r="Y325" s="263" t="s">
        <v>18</v>
      </c>
      <c r="Z325" s="263" t="s">
        <v>21</v>
      </c>
      <c r="AA325" s="263" t="s">
        <v>103</v>
      </c>
      <c r="AB325" s="265">
        <f t="shared" ref="AB325" si="620">IFERROR(IF(U325="Probabilidad",(L325-(+L325*X325)),IF(U325="Impacto",L325,"")),"")</f>
        <v>0.12</v>
      </c>
      <c r="AC325" s="266" t="str">
        <f>IFERROR(IF(AB325="","",IF(AB325&lt;=0.2,"Muy Baja",IF(AB325&lt;=0.4,"Baja",IF(AB325&lt;=0.6,"Media",IF(AB325&lt;=0.8,"Alta","Muy Alta"))))),"")</f>
        <v>Muy Baja</v>
      </c>
      <c r="AD325" s="264">
        <f>+AB325</f>
        <v>0.12</v>
      </c>
      <c r="AE325" s="266" t="str">
        <f ca="1">IFERROR(IF(AF325="","",IF(AF325&lt;=0.2,"Leve",IF(AF325&lt;=0.4,"Menor",IF(AF325&lt;=0.6,"Moderado",IF(AF325&lt;=0.8,"Mayor","Catastrófico"))))),"")</f>
        <v>Moderado</v>
      </c>
      <c r="AF325" s="264">
        <f ca="1">IFERROR(IF(U325="Impacto",(P325-(+P325*X325)),IF(U325="Probabilidad",P325,"")),"")</f>
        <v>0.6</v>
      </c>
      <c r="AG325" s="267" t="str">
        <f ca="1">IFERROR(IF(OR(AND(AC325="Muy Baja",AE325="Leve"),AND(AC325="Muy Baja",AE325="Menor"),AND(AC325="Baja",AE325="Leve")),"Bajo",IF(OR(AND(AC325="Muy baja",AE325="Moderado"),AND(AC325="Baja",AE325="Menor"),AND(AC325="Baja",AE325="Moderado"),AND(AC325="Media",AE325="Leve"),AND(AC325="Media",AE325="Menor"),AND(AC325="Media",AE325="Moderado"),AND(AC325="Alta",AE325="Leve"),AND(AC325="Alta",AE325="Menor")),"Moderado",IF(OR(AND(AC325="Muy Baja",AE325="Mayor"),AND(AC325="Baja",AE325="Mayor"),AND(AC325="Media",AE325="Mayor"),AND(AC325="Alta",AE325="Moderado"),AND(AC325="Alta",AE325="Mayor"),AND(AC325="Muy Alta",AE325="Leve"),AND(AC325="Muy Alta",AE325="Menor"),AND(AC325="Muy Alta",AE325="Moderado"),AND(AC325="Muy Alta",AE325="Mayor")),"Alto",IF(OR(AND(AC325="Muy Baja",AE325="Catastrófico"),AND(AC325="Baja",AE325="Catastrófico"),AND(AC325="Media",AE325="Catastrófico"),AND(AC325="Alta",AE325="Catastrófico"),AND(AC325="Muy Alta",AE325="Catastrófico")),"Extremo","")))),"")</f>
        <v>Moderado</v>
      </c>
      <c r="AH325" s="263" t="s">
        <v>26</v>
      </c>
      <c r="AI325" s="273">
        <v>20</v>
      </c>
      <c r="AJ325" s="273">
        <v>2</v>
      </c>
      <c r="AK325" s="273">
        <v>10</v>
      </c>
      <c r="AL325" s="273">
        <v>4</v>
      </c>
      <c r="AM325" s="273">
        <v>4</v>
      </c>
      <c r="AN325" s="272"/>
      <c r="AO325" s="272"/>
      <c r="AP325" s="273"/>
      <c r="AQ325" s="274"/>
      <c r="AR325" s="274"/>
      <c r="AS325" s="323"/>
      <c r="AT325" s="323"/>
      <c r="AU325" s="323"/>
      <c r="AV325" s="323"/>
      <c r="AW325" s="323"/>
      <c r="AX325" s="323"/>
      <c r="AY325" s="323"/>
      <c r="AZ325" s="323"/>
      <c r="BA325" s="323"/>
      <c r="BB325" s="323"/>
      <c r="BC325" s="323"/>
      <c r="BD325" s="323"/>
      <c r="BE325" s="323"/>
      <c r="BF325" s="323"/>
      <c r="BG325" s="323"/>
      <c r="BH325" s="323"/>
      <c r="BI325" s="323"/>
      <c r="BJ325" s="323"/>
      <c r="BK325" s="323"/>
      <c r="BL325" s="323"/>
      <c r="BM325" s="323"/>
      <c r="BN325" s="323"/>
      <c r="BO325" s="323"/>
      <c r="BP325" s="323"/>
      <c r="BQ325" s="323"/>
      <c r="BR325" s="323"/>
      <c r="BS325" s="323"/>
      <c r="BT325" s="323"/>
      <c r="BU325" s="323"/>
      <c r="BV325" s="323"/>
      <c r="BW325" s="323"/>
      <c r="BX325" s="323"/>
      <c r="BY325" s="323"/>
    </row>
    <row r="326" spans="1:77" s="113" customFormat="1" ht="9.75" hidden="1" customHeight="1" x14ac:dyDescent="0.2">
      <c r="A326" s="437"/>
      <c r="B326" s="438"/>
      <c r="C326" s="434"/>
      <c r="D326" s="434"/>
      <c r="E326" s="434"/>
      <c r="F326" s="435"/>
      <c r="G326" s="436"/>
      <c r="H326" s="435"/>
      <c r="I326" s="435"/>
      <c r="J326" s="439"/>
      <c r="K326" s="430"/>
      <c r="L326" s="431"/>
      <c r="M326" s="432"/>
      <c r="N326" s="431">
        <f ca="1">IF(NOT(ISERROR(MATCH(M326,_xlfn.ANCHORARRAY(#REF!),0))),#REF!&amp;"Por favor no seleccionar los criterios de impacto",M326)</f>
        <v>0</v>
      </c>
      <c r="O326" s="430"/>
      <c r="P326" s="431"/>
      <c r="Q326" s="433"/>
      <c r="R326" s="316">
        <v>2</v>
      </c>
      <c r="S326" s="330"/>
      <c r="T326" s="312"/>
      <c r="U326" s="208" t="str">
        <f>IF(OR(V326="Preventivo",V326="Detectivo"),"Probabilidad",IF(V326="Correctivo","Impacto",""))</f>
        <v/>
      </c>
      <c r="V326" s="237"/>
      <c r="W326" s="237"/>
      <c r="X326" s="209" t="str">
        <f t="shared" si="47"/>
        <v/>
      </c>
      <c r="Y326" s="237"/>
      <c r="Z326" s="237"/>
      <c r="AA326" s="237"/>
      <c r="AB326" s="210" t="str">
        <f t="shared" ref="AB326" si="621">IFERROR(IF(AND(U325="Probabilidad",U326="Probabilidad"),(AD325-(+AD325*X326)),IF(U326="Probabilidad",(L325-(+L325*X326)),IF(U326="Impacto",AD325,""))),"")</f>
        <v/>
      </c>
      <c r="AC326" s="211" t="str">
        <f t="shared" si="48"/>
        <v/>
      </c>
      <c r="AD326" s="209" t="str">
        <f t="shared" ref="AD326:AD330" si="622">+AB326</f>
        <v/>
      </c>
      <c r="AE326" s="211" t="str">
        <f t="shared" si="50"/>
        <v/>
      </c>
      <c r="AF326" s="209" t="str">
        <f t="shared" si="559"/>
        <v/>
      </c>
      <c r="AG326" s="212" t="str">
        <f t="shared" ref="AG326:AG327" si="623">IFERROR(IF(OR(AND(AC326="Muy Baja",AE326="Leve"),AND(AC326="Muy Baja",AE326="Menor"),AND(AC326="Baja",AE326="Leve")),"Bajo",IF(OR(AND(AC326="Muy baja",AE326="Moderado"),AND(AC326="Baja",AE326="Menor"),AND(AC326="Baja",AE326="Moderado"),AND(AC326="Media",AE326="Leve"),AND(AC326="Media",AE326="Menor"),AND(AC326="Media",AE326="Moderado"),AND(AC326="Alta",AE326="Leve"),AND(AC326="Alta",AE326="Menor")),"Moderado",IF(OR(AND(AC326="Muy Baja",AE326="Mayor"),AND(AC326="Baja",AE326="Mayor"),AND(AC326="Media",AE326="Mayor"),AND(AC326="Alta",AE326="Moderado"),AND(AC326="Alta",AE326="Mayor"),AND(AC326="Muy Alta",AE326="Leve"),AND(AC326="Muy Alta",AE326="Menor"),AND(AC326="Muy Alta",AE326="Moderado"),AND(AC326="Muy Alta",AE326="Mayor")),"Alto",IF(OR(AND(AC326="Muy Baja",AE326="Catastrófico"),AND(AC326="Baja",AE326="Catastrófico"),AND(AC326="Media",AE326="Catastrófico"),AND(AC326="Alta",AE326="Catastrófico"),AND(AC326="Muy Alta",AE326="Catastrófico")),"Extremo","")))),"")</f>
        <v/>
      </c>
      <c r="AH326" s="237"/>
      <c r="AI326" s="318"/>
      <c r="AJ326" s="318"/>
      <c r="AK326" s="318"/>
      <c r="AL326" s="318"/>
      <c r="AM326" s="318"/>
      <c r="AN326" s="222"/>
      <c r="AO326" s="238"/>
      <c r="AP326" s="217"/>
      <c r="AQ326" s="216"/>
      <c r="AR326" s="216"/>
      <c r="AS326" s="323"/>
      <c r="AT326" s="323"/>
      <c r="AU326" s="323"/>
      <c r="AV326" s="323"/>
      <c r="AW326" s="323"/>
      <c r="AX326" s="323"/>
      <c r="AY326" s="323"/>
      <c r="AZ326" s="323"/>
      <c r="BA326" s="323"/>
      <c r="BB326" s="323"/>
      <c r="BC326" s="323"/>
      <c r="BD326" s="323"/>
      <c r="BE326" s="323"/>
      <c r="BF326" s="323"/>
      <c r="BG326" s="323"/>
      <c r="BH326" s="323"/>
      <c r="BI326" s="323"/>
      <c r="BJ326" s="323"/>
      <c r="BK326" s="323"/>
      <c r="BL326" s="323"/>
      <c r="BM326" s="323"/>
      <c r="BN326" s="323"/>
      <c r="BO326" s="323"/>
      <c r="BP326" s="323"/>
      <c r="BQ326" s="323"/>
      <c r="BR326" s="323"/>
      <c r="BS326" s="323"/>
      <c r="BT326" s="323"/>
      <c r="BU326" s="323"/>
      <c r="BV326" s="323"/>
      <c r="BW326" s="323"/>
      <c r="BX326" s="323"/>
      <c r="BY326" s="323"/>
    </row>
    <row r="327" spans="1:77" s="113" customFormat="1" ht="9.75" hidden="1" customHeight="1" x14ac:dyDescent="0.2">
      <c r="A327" s="437"/>
      <c r="B327" s="438"/>
      <c r="C327" s="434"/>
      <c r="D327" s="434"/>
      <c r="E327" s="434"/>
      <c r="F327" s="435"/>
      <c r="G327" s="436"/>
      <c r="H327" s="435"/>
      <c r="I327" s="435"/>
      <c r="J327" s="439"/>
      <c r="K327" s="430"/>
      <c r="L327" s="431"/>
      <c r="M327" s="432"/>
      <c r="N327" s="431">
        <f ca="1">IF(NOT(ISERROR(MATCH(M327,_xlfn.ANCHORARRAY(#REF!),0))),#REF!&amp;"Por favor no seleccionar los criterios de impacto",M327)</f>
        <v>0</v>
      </c>
      <c r="O327" s="430"/>
      <c r="P327" s="431"/>
      <c r="Q327" s="433"/>
      <c r="R327" s="316">
        <v>3</v>
      </c>
      <c r="S327" s="330"/>
      <c r="T327" s="312"/>
      <c r="U327" s="208" t="str">
        <f>IF(OR(V327="Preventivo",V327="Detectivo"),"Probabilidad",IF(V327="Correctivo","Impacto",""))</f>
        <v/>
      </c>
      <c r="V327" s="237"/>
      <c r="W327" s="237"/>
      <c r="X327" s="209" t="str">
        <f t="shared" si="47"/>
        <v/>
      </c>
      <c r="Y327" s="237"/>
      <c r="Z327" s="237"/>
      <c r="AA327" s="237"/>
      <c r="AB327" s="210" t="str">
        <f t="shared" ref="AB327" si="624">IFERROR(IF(AND(U326="Probabilidad",U327="Probabilidad"),(AD326-(+AD326*X327)),IF(AND(U326="Impacto",U327="Probabilidad"),(AD325-(+AD325*X327)),IF(U327="Impacto",AD326,""))),"")</f>
        <v/>
      </c>
      <c r="AC327" s="211" t="str">
        <f t="shared" si="48"/>
        <v/>
      </c>
      <c r="AD327" s="209" t="str">
        <f t="shared" si="622"/>
        <v/>
      </c>
      <c r="AE327" s="211" t="str">
        <f t="shared" si="50"/>
        <v/>
      </c>
      <c r="AF327" s="209" t="str">
        <f t="shared" si="559"/>
        <v/>
      </c>
      <c r="AG327" s="212" t="str">
        <f t="shared" si="623"/>
        <v/>
      </c>
      <c r="AH327" s="237"/>
      <c r="AI327" s="318"/>
      <c r="AJ327" s="318"/>
      <c r="AK327" s="318"/>
      <c r="AL327" s="318"/>
      <c r="AM327" s="318"/>
      <c r="AN327" s="222"/>
      <c r="AO327" s="238"/>
      <c r="AP327" s="217"/>
      <c r="AQ327" s="216"/>
      <c r="AR327" s="216"/>
      <c r="AS327" s="323"/>
      <c r="AT327" s="323"/>
      <c r="AU327" s="323"/>
      <c r="AV327" s="323"/>
      <c r="AW327" s="323"/>
      <c r="AX327" s="323"/>
      <c r="AY327" s="323"/>
      <c r="AZ327" s="323"/>
      <c r="BA327" s="323"/>
      <c r="BB327" s="323"/>
      <c r="BC327" s="323"/>
      <c r="BD327" s="323"/>
      <c r="BE327" s="323"/>
      <c r="BF327" s="323"/>
      <c r="BG327" s="323"/>
      <c r="BH327" s="323"/>
      <c r="BI327" s="323"/>
      <c r="BJ327" s="323"/>
      <c r="BK327" s="323"/>
      <c r="BL327" s="323"/>
      <c r="BM327" s="323"/>
      <c r="BN327" s="323"/>
      <c r="BO327" s="323"/>
      <c r="BP327" s="323"/>
      <c r="BQ327" s="323"/>
      <c r="BR327" s="323"/>
      <c r="BS327" s="323"/>
      <c r="BT327" s="323"/>
      <c r="BU327" s="323"/>
      <c r="BV327" s="323"/>
      <c r="BW327" s="323"/>
      <c r="BX327" s="323"/>
      <c r="BY327" s="323"/>
    </row>
    <row r="328" spans="1:77" s="113" customFormat="1" ht="9.75" hidden="1" customHeight="1" x14ac:dyDescent="0.2">
      <c r="A328" s="437"/>
      <c r="B328" s="438"/>
      <c r="C328" s="434"/>
      <c r="D328" s="434"/>
      <c r="E328" s="434"/>
      <c r="F328" s="435"/>
      <c r="G328" s="436"/>
      <c r="H328" s="435"/>
      <c r="I328" s="435"/>
      <c r="J328" s="439"/>
      <c r="K328" s="430"/>
      <c r="L328" s="431"/>
      <c r="M328" s="432"/>
      <c r="N328" s="431">
        <f ca="1">IF(NOT(ISERROR(MATCH(M328,_xlfn.ANCHORARRAY(#REF!),0))),#REF!&amp;"Por favor no seleccionar los criterios de impacto",M328)</f>
        <v>0</v>
      </c>
      <c r="O328" s="430"/>
      <c r="P328" s="431"/>
      <c r="Q328" s="433"/>
      <c r="R328" s="316">
        <v>4</v>
      </c>
      <c r="S328" s="330"/>
      <c r="T328" s="312"/>
      <c r="U328" s="208" t="str">
        <f t="shared" ref="U328:U336" si="625">IF(OR(V328="Preventivo",V328="Detectivo"),"Probabilidad",IF(V328="Correctivo","Impacto",""))</f>
        <v/>
      </c>
      <c r="V328" s="237"/>
      <c r="W328" s="237"/>
      <c r="X328" s="209" t="str">
        <f t="shared" si="47"/>
        <v/>
      </c>
      <c r="Y328" s="237"/>
      <c r="Z328" s="237"/>
      <c r="AA328" s="237"/>
      <c r="AB328" s="210" t="str">
        <f t="shared" si="525"/>
        <v/>
      </c>
      <c r="AC328" s="211" t="str">
        <f t="shared" si="48"/>
        <v/>
      </c>
      <c r="AD328" s="209" t="str">
        <f t="shared" si="622"/>
        <v/>
      </c>
      <c r="AE328" s="211" t="str">
        <f t="shared" si="50"/>
        <v/>
      </c>
      <c r="AF328" s="209" t="str">
        <f t="shared" si="559"/>
        <v/>
      </c>
      <c r="AG328" s="212" t="str">
        <f>IFERROR(IF(OR(AND(AC328="Muy Baja",AE328="Leve"),AND(AC328="Muy Baja",AE328="Menor"),AND(AC328="Baja",AE328="Leve")),"Bajo",IF(OR(AND(AC328="Muy baja",AE328="Moderado"),AND(AC328="Baja",AE328="Menor"),AND(AC328="Baja",AE328="Moderado"),AND(AC328="Media",AE328="Leve"),AND(AC328="Media",AE328="Menor"),AND(AC328="Media",AE328="Moderado"),AND(AC328="Alta",AE328="Leve"),AND(AC328="Alta",AE328="Menor")),"Moderado",IF(OR(AND(AC328="Muy Baja",AE328="Mayor"),AND(AC328="Baja",AE328="Mayor"),AND(AC328="Media",AE328="Mayor"),AND(AC328="Alta",AE328="Moderado"),AND(AC328="Alta",AE328="Mayor"),AND(AC328="Muy Alta",AE328="Leve"),AND(AC328="Muy Alta",AE328="Menor"),AND(AC328="Muy Alta",AE328="Moderado"),AND(AC328="Muy Alta",AE328="Mayor")),"Alto",IF(OR(AND(AC328="Muy Baja",AE328="Catastrófico"),AND(AC328="Baja",AE328="Catastrófico"),AND(AC328="Media",AE328="Catastrófico"),AND(AC328="Alta",AE328="Catastrófico"),AND(AC328="Muy Alta",AE328="Catastrófico")),"Extremo","")))),"")</f>
        <v/>
      </c>
      <c r="AH328" s="237"/>
      <c r="AI328" s="318"/>
      <c r="AJ328" s="318"/>
      <c r="AK328" s="318"/>
      <c r="AL328" s="318"/>
      <c r="AM328" s="318"/>
      <c r="AN328" s="222"/>
      <c r="AO328" s="238"/>
      <c r="AP328" s="217"/>
      <c r="AQ328" s="216"/>
      <c r="AR328" s="216"/>
      <c r="AS328" s="323"/>
      <c r="AT328" s="323"/>
      <c r="AU328" s="323"/>
      <c r="AV328" s="323"/>
      <c r="AW328" s="323"/>
      <c r="AX328" s="323"/>
      <c r="AY328" s="323"/>
      <c r="AZ328" s="323"/>
      <c r="BA328" s="323"/>
      <c r="BB328" s="323"/>
      <c r="BC328" s="323"/>
      <c r="BD328" s="323"/>
      <c r="BE328" s="323"/>
      <c r="BF328" s="323"/>
      <c r="BG328" s="323"/>
      <c r="BH328" s="323"/>
      <c r="BI328" s="323"/>
      <c r="BJ328" s="323"/>
      <c r="BK328" s="323"/>
      <c r="BL328" s="323"/>
      <c r="BM328" s="323"/>
      <c r="BN328" s="323"/>
      <c r="BO328" s="323"/>
      <c r="BP328" s="323"/>
      <c r="BQ328" s="323"/>
      <c r="BR328" s="323"/>
      <c r="BS328" s="323"/>
      <c r="BT328" s="323"/>
      <c r="BU328" s="323"/>
      <c r="BV328" s="323"/>
      <c r="BW328" s="323"/>
      <c r="BX328" s="323"/>
      <c r="BY328" s="323"/>
    </row>
    <row r="329" spans="1:77" s="113" customFormat="1" ht="9.75" hidden="1" customHeight="1" x14ac:dyDescent="0.2">
      <c r="A329" s="437"/>
      <c r="B329" s="438"/>
      <c r="C329" s="434"/>
      <c r="D329" s="434"/>
      <c r="E329" s="434"/>
      <c r="F329" s="435"/>
      <c r="G329" s="436"/>
      <c r="H329" s="435"/>
      <c r="I329" s="435"/>
      <c r="J329" s="439"/>
      <c r="K329" s="430"/>
      <c r="L329" s="431"/>
      <c r="M329" s="432"/>
      <c r="N329" s="431">
        <f ca="1">IF(NOT(ISERROR(MATCH(M329,_xlfn.ANCHORARRAY(#REF!),0))),#REF!&amp;"Por favor no seleccionar los criterios de impacto",M329)</f>
        <v>0</v>
      </c>
      <c r="O329" s="430"/>
      <c r="P329" s="431"/>
      <c r="Q329" s="433"/>
      <c r="R329" s="316">
        <v>5</v>
      </c>
      <c r="S329" s="330"/>
      <c r="T329" s="312"/>
      <c r="U329" s="208" t="str">
        <f t="shared" si="625"/>
        <v/>
      </c>
      <c r="V329" s="237"/>
      <c r="W329" s="237"/>
      <c r="X329" s="209" t="str">
        <f t="shared" si="47"/>
        <v/>
      </c>
      <c r="Y329" s="237"/>
      <c r="Z329" s="237"/>
      <c r="AA329" s="237"/>
      <c r="AB329" s="210" t="str">
        <f t="shared" si="525"/>
        <v/>
      </c>
      <c r="AC329" s="211" t="str">
        <f t="shared" si="48"/>
        <v/>
      </c>
      <c r="AD329" s="209" t="str">
        <f t="shared" si="622"/>
        <v/>
      </c>
      <c r="AE329" s="211" t="str">
        <f t="shared" si="50"/>
        <v/>
      </c>
      <c r="AF329" s="209" t="str">
        <f t="shared" si="559"/>
        <v/>
      </c>
      <c r="AG329" s="212" t="str">
        <f t="shared" ref="AG329:AG330" si="626">IFERROR(IF(OR(AND(AC329="Muy Baja",AE329="Leve"),AND(AC329="Muy Baja",AE329="Menor"),AND(AC329="Baja",AE329="Leve")),"Bajo",IF(OR(AND(AC329="Muy baja",AE329="Moderado"),AND(AC329="Baja",AE329="Menor"),AND(AC329="Baja",AE329="Moderado"),AND(AC329="Media",AE329="Leve"),AND(AC329="Media",AE329="Menor"),AND(AC329="Media",AE329="Moderado"),AND(AC329="Alta",AE329="Leve"),AND(AC329="Alta",AE329="Menor")),"Moderado",IF(OR(AND(AC329="Muy Baja",AE329="Mayor"),AND(AC329="Baja",AE329="Mayor"),AND(AC329="Media",AE329="Mayor"),AND(AC329="Alta",AE329="Moderado"),AND(AC329="Alta",AE329="Mayor"),AND(AC329="Muy Alta",AE329="Leve"),AND(AC329="Muy Alta",AE329="Menor"),AND(AC329="Muy Alta",AE329="Moderado"),AND(AC329="Muy Alta",AE329="Mayor")),"Alto",IF(OR(AND(AC329="Muy Baja",AE329="Catastrófico"),AND(AC329="Baja",AE329="Catastrófico"),AND(AC329="Media",AE329="Catastrófico"),AND(AC329="Alta",AE329="Catastrófico"),AND(AC329="Muy Alta",AE329="Catastrófico")),"Extremo","")))),"")</f>
        <v/>
      </c>
      <c r="AH329" s="237"/>
      <c r="AI329" s="318"/>
      <c r="AJ329" s="318"/>
      <c r="AK329" s="318"/>
      <c r="AL329" s="318"/>
      <c r="AM329" s="318"/>
      <c r="AN329" s="222"/>
      <c r="AO329" s="238"/>
      <c r="AP329" s="217"/>
      <c r="AQ329" s="216"/>
      <c r="AR329" s="216"/>
      <c r="AS329" s="323"/>
      <c r="AT329" s="323"/>
      <c r="AU329" s="323"/>
      <c r="AV329" s="323"/>
      <c r="AW329" s="323"/>
      <c r="AX329" s="323"/>
      <c r="AY329" s="323"/>
      <c r="AZ329" s="323"/>
      <c r="BA329" s="323"/>
      <c r="BB329" s="323"/>
      <c r="BC329" s="323"/>
      <c r="BD329" s="323"/>
      <c r="BE329" s="323"/>
      <c r="BF329" s="323"/>
      <c r="BG329" s="323"/>
      <c r="BH329" s="323"/>
      <c r="BI329" s="323"/>
      <c r="BJ329" s="323"/>
      <c r="BK329" s="323"/>
      <c r="BL329" s="323"/>
      <c r="BM329" s="323"/>
      <c r="BN329" s="323"/>
      <c r="BO329" s="323"/>
      <c r="BP329" s="323"/>
      <c r="BQ329" s="323"/>
      <c r="BR329" s="323"/>
      <c r="BS329" s="323"/>
      <c r="BT329" s="323"/>
      <c r="BU329" s="323"/>
      <c r="BV329" s="323"/>
      <c r="BW329" s="323"/>
      <c r="BX329" s="323"/>
      <c r="BY329" s="323"/>
    </row>
    <row r="330" spans="1:77" s="113" customFormat="1" ht="9.75" hidden="1" customHeight="1" x14ac:dyDescent="0.2">
      <c r="A330" s="437"/>
      <c r="B330" s="438"/>
      <c r="C330" s="434"/>
      <c r="D330" s="434"/>
      <c r="E330" s="434"/>
      <c r="F330" s="435"/>
      <c r="G330" s="436"/>
      <c r="H330" s="435"/>
      <c r="I330" s="435"/>
      <c r="J330" s="439"/>
      <c r="K330" s="430"/>
      <c r="L330" s="431"/>
      <c r="M330" s="432"/>
      <c r="N330" s="431">
        <f ca="1">IF(NOT(ISERROR(MATCH(M330,_xlfn.ANCHORARRAY(#REF!),0))),#REF!&amp;"Por favor no seleccionar los criterios de impacto",M330)</f>
        <v>0</v>
      </c>
      <c r="O330" s="430"/>
      <c r="P330" s="431"/>
      <c r="Q330" s="433"/>
      <c r="R330" s="316">
        <v>6</v>
      </c>
      <c r="S330" s="330"/>
      <c r="T330" s="312"/>
      <c r="U330" s="208" t="str">
        <f t="shared" si="625"/>
        <v/>
      </c>
      <c r="V330" s="237"/>
      <c r="W330" s="237"/>
      <c r="X330" s="209" t="str">
        <f t="shared" si="47"/>
        <v/>
      </c>
      <c r="Y330" s="237"/>
      <c r="Z330" s="237"/>
      <c r="AA330" s="237"/>
      <c r="AB330" s="210" t="str">
        <f t="shared" si="525"/>
        <v/>
      </c>
      <c r="AC330" s="211" t="str">
        <f t="shared" si="48"/>
        <v/>
      </c>
      <c r="AD330" s="209" t="str">
        <f t="shared" si="622"/>
        <v/>
      </c>
      <c r="AE330" s="211" t="str">
        <f t="shared" si="50"/>
        <v/>
      </c>
      <c r="AF330" s="209" t="str">
        <f>IFERROR(IF(AND(U329="Impacto",U330="Impacto"),(AF329-(+AF329*X330)),IF(U330="Impacto",($P$31-(+$P$31*X330)),IF(U330="Probabilidad",AF329,""))),"")</f>
        <v/>
      </c>
      <c r="AG330" s="212" t="str">
        <f t="shared" si="626"/>
        <v/>
      </c>
      <c r="AH330" s="237"/>
      <c r="AI330" s="318"/>
      <c r="AJ330" s="318"/>
      <c r="AK330" s="318"/>
      <c r="AL330" s="318"/>
      <c r="AM330" s="318"/>
      <c r="AN330" s="222"/>
      <c r="AO330" s="238"/>
      <c r="AP330" s="217"/>
      <c r="AQ330" s="216"/>
      <c r="AR330" s="216"/>
      <c r="AS330" s="323"/>
      <c r="AT330" s="323"/>
      <c r="AU330" s="323"/>
      <c r="AV330" s="323"/>
      <c r="AW330" s="323"/>
      <c r="AX330" s="323"/>
      <c r="AY330" s="323"/>
      <c r="AZ330" s="323"/>
      <c r="BA330" s="323"/>
      <c r="BB330" s="323"/>
      <c r="BC330" s="323"/>
      <c r="BD330" s="323"/>
      <c r="BE330" s="323"/>
      <c r="BF330" s="323"/>
      <c r="BG330" s="323"/>
      <c r="BH330" s="323"/>
      <c r="BI330" s="323"/>
      <c r="BJ330" s="323"/>
      <c r="BK330" s="323"/>
      <c r="BL330" s="323"/>
      <c r="BM330" s="323"/>
      <c r="BN330" s="323"/>
      <c r="BO330" s="323"/>
      <c r="BP330" s="323"/>
      <c r="BQ330" s="323"/>
      <c r="BR330" s="323"/>
      <c r="BS330" s="323"/>
      <c r="BT330" s="323"/>
      <c r="BU330" s="323"/>
      <c r="BV330" s="323"/>
      <c r="BW330" s="323"/>
      <c r="BX330" s="323"/>
      <c r="BY330" s="323"/>
    </row>
    <row r="331" spans="1:77" s="271" customFormat="1" ht="120.75" customHeight="1" x14ac:dyDescent="0.2">
      <c r="A331" s="437" t="s">
        <v>1043</v>
      </c>
      <c r="B331" s="438" t="s">
        <v>614</v>
      </c>
      <c r="C331" s="434" t="s">
        <v>620</v>
      </c>
      <c r="D331" s="434" t="s">
        <v>107</v>
      </c>
      <c r="E331" s="434" t="s">
        <v>1045</v>
      </c>
      <c r="F331" s="435" t="s">
        <v>685</v>
      </c>
      <c r="G331" s="436" t="s">
        <v>1044</v>
      </c>
      <c r="H331" s="435" t="s">
        <v>655</v>
      </c>
      <c r="I331" s="435" t="s">
        <v>1100</v>
      </c>
      <c r="J331" s="439">
        <v>500</v>
      </c>
      <c r="K331" s="430" t="str">
        <f t="shared" si="553"/>
        <v>Media</v>
      </c>
      <c r="L331" s="431">
        <f>IF(K331="","",IF(K331="Muy Baja",0.2,IF(K331="Baja",0.4,IF(K331="Media",0.6,IF(K331="Alta",0.8,IF(K331="Muy Alta",1,))))))</f>
        <v>0.6</v>
      </c>
      <c r="M331" s="432" t="s">
        <v>122</v>
      </c>
      <c r="N331" s="431" t="str">
        <f ca="1">IF(NOT(ISERROR(MATCH(M331,'Tabla Impacto'!$B$221:$B$223,0))),'Tabla Impacto'!$F$223&amp;"Por favor no seleccionar los criterios de impacto(Afectación Económica o presupuestal y Pérdida Reputacional)",M331)</f>
        <v xml:space="preserve">     El riesgo afecta la imagen de de la entidad con efecto publicitario sostenido a nivel de sector administrativo, nivel departamental o municipal</v>
      </c>
      <c r="O331" s="430" t="str">
        <f ca="1">IF(OR(N331='Tabla Impacto'!$C$11,N331='Tabla Impacto'!$D$11),"Leve",IF(OR(N331='Tabla Impacto'!$C$12,N331='Tabla Impacto'!$D$12),"Menor",IF(OR(N331='Tabla Impacto'!$C$13,N331='Tabla Impacto'!$D$13),"Moderado",IF(OR(N331='Tabla Impacto'!$C$14,N331='Tabla Impacto'!$D$14),"Mayor",IF(OR(N331='Tabla Impacto'!$C$15,N331='Tabla Impacto'!$D$15),"Catastrófico","")))))</f>
        <v>Mayor</v>
      </c>
      <c r="P331" s="431">
        <f ca="1">IF(O331="","",IF(O331="Leve",0.2,IF(O331="Menor",0.4,IF(O331="Moderado",0.6,IF(O331="Mayor",0.8,IF(O331="Catastrófico",1,))))))</f>
        <v>0.8</v>
      </c>
      <c r="Q331" s="433" t="str">
        <f ca="1">IF(OR(AND(K331="Muy Baja",O331="Leve"),AND(K331="Muy Baja",O331="Menor"),AND(K331="Baja",O331="Leve")),"Bajo",IF(OR(AND(K331="Muy baja",O331="Moderado"),AND(K331="Baja",O331="Menor"),AND(K331="Baja",O331="Moderado"),AND(K331="Media",O331="Leve"),AND(K331="Media",O331="Menor"),AND(K331="Media",O331="Moderado"),AND(K331="Alta",O331="Leve"),AND(K331="Alta",O331="Menor")),"Moderado",IF(OR(AND(K331="Muy Baja",O331="Mayor"),AND(K331="Baja",O331="Mayor"),AND(K331="Media",O331="Mayor"),AND(K331="Alta",O331="Moderado"),AND(K331="Alta",O331="Mayor"),AND(K331="Muy Alta",O331="Leve"),AND(K331="Muy Alta",O331="Menor"),AND(K331="Muy Alta",O331="Moderado"),AND(K331="Muy Alta",O331="Mayor")),"Alto",IF(OR(AND(K331="Muy Baja",O331="Catastrófico"),AND(K331="Baja",O331="Catastrófico"),AND(K331="Media",O331="Catastrófico"),AND(K331="Alta",O331="Catastrófico"),AND(K331="Muy Alta",O331="Catastrófico")),"Extremo",""))))</f>
        <v>Alto</v>
      </c>
      <c r="R331" s="261">
        <v>1</v>
      </c>
      <c r="S331" s="334" t="s">
        <v>1038</v>
      </c>
      <c r="T331" s="272" t="s">
        <v>293</v>
      </c>
      <c r="U331" s="262" t="str">
        <f t="shared" si="625"/>
        <v>Probabilidad</v>
      </c>
      <c r="V331" s="263" t="s">
        <v>13</v>
      </c>
      <c r="W331" s="263" t="s">
        <v>8</v>
      </c>
      <c r="X331" s="264" t="str">
        <f t="shared" si="47"/>
        <v>40%</v>
      </c>
      <c r="Y331" s="263" t="s">
        <v>18</v>
      </c>
      <c r="Z331" s="263" t="s">
        <v>21</v>
      </c>
      <c r="AA331" s="263" t="s">
        <v>103</v>
      </c>
      <c r="AB331" s="265">
        <f t="shared" ref="AB331" si="627">IFERROR(IF(U331="Probabilidad",(L331-(+L331*X331)),IF(U331="Impacto",L331,"")),"")</f>
        <v>0.36</v>
      </c>
      <c r="AC331" s="266" t="str">
        <f>IFERROR(IF(AB331="","",IF(AB331&lt;=0.2,"Muy Baja",IF(AB331&lt;=0.4,"Baja",IF(AB331&lt;=0.6,"Media",IF(AB331&lt;=0.8,"Alta","Muy Alta"))))),"")</f>
        <v>Baja</v>
      </c>
      <c r="AD331" s="264">
        <f>+AB331</f>
        <v>0.36</v>
      </c>
      <c r="AE331" s="266" t="str">
        <f ca="1">IFERROR(IF(AF331="","",IF(AF331&lt;=0.2,"Leve",IF(AF331&lt;=0.4,"Menor",IF(AF331&lt;=0.6,"Moderado",IF(AF331&lt;=0.8,"Mayor","Catastrófico"))))),"")</f>
        <v>Mayor</v>
      </c>
      <c r="AF331" s="275">
        <f ca="1">IFERROR(IF(U331="Impacto",(P331-(+P331*X331)),IF(U331="Probabilidad",P331,"")),"")</f>
        <v>0.8</v>
      </c>
      <c r="AG331" s="267" t="str">
        <f ca="1">IFERROR(IF(OR(AND(AC331="Muy Baja",AE331="Leve"),AND(AC331="Muy Baja",AE331="Menor"),AND(AC331="Baja",AE331="Leve")),"Bajo",IF(OR(AND(AC331="Muy baja",AE331="Moderado"),AND(AC331="Baja",AE331="Menor"),AND(AC331="Baja",AE331="Moderado"),AND(AC331="Media",AE331="Leve"),AND(AC331="Media",AE331="Menor"),AND(AC331="Media",AE331="Moderado"),AND(AC331="Alta",AE331="Leve"),AND(AC331="Alta",AE331="Menor")),"Moderado",IF(OR(AND(AC331="Muy Baja",AE331="Mayor"),AND(AC331="Baja",AE331="Mayor"),AND(AC331="Media",AE331="Mayor"),AND(AC331="Alta",AE331="Moderado"),AND(AC331="Alta",AE331="Mayor"),AND(AC331="Muy Alta",AE331="Leve"),AND(AC331="Muy Alta",AE331="Menor"),AND(AC331="Muy Alta",AE331="Moderado"),AND(AC331="Muy Alta",AE331="Mayor")),"Alto",IF(OR(AND(AC331="Muy Baja",AE331="Catastrófico"),AND(AC331="Baja",AE331="Catastrófico"),AND(AC331="Media",AE331="Catastrófico"),AND(AC331="Alta",AE331="Catastrófico"),AND(AC331="Muy Alta",AE331="Catastrófico")),"Extremo","")))),"")</f>
        <v>Alto</v>
      </c>
      <c r="AH331" s="263" t="s">
        <v>26</v>
      </c>
      <c r="AI331" s="273">
        <v>2</v>
      </c>
      <c r="AJ331" s="273">
        <v>0</v>
      </c>
      <c r="AK331" s="273">
        <v>1</v>
      </c>
      <c r="AL331" s="273">
        <v>0</v>
      </c>
      <c r="AM331" s="273">
        <v>1</v>
      </c>
      <c r="AN331" s="272"/>
      <c r="AO331" s="272"/>
      <c r="AP331" s="273"/>
      <c r="AQ331" s="274"/>
      <c r="AR331" s="274"/>
      <c r="AS331" s="323"/>
      <c r="AT331" s="323"/>
      <c r="AU331" s="323"/>
      <c r="AV331" s="323"/>
      <c r="AW331" s="323"/>
      <c r="AX331" s="323"/>
      <c r="AY331" s="323"/>
      <c r="AZ331" s="323"/>
      <c r="BA331" s="323"/>
      <c r="BB331" s="323"/>
      <c r="BC331" s="323"/>
      <c r="BD331" s="323"/>
      <c r="BE331" s="323"/>
      <c r="BF331" s="323"/>
      <c r="BG331" s="323"/>
      <c r="BH331" s="323"/>
      <c r="BI331" s="323"/>
      <c r="BJ331" s="323"/>
      <c r="BK331" s="323"/>
      <c r="BL331" s="323"/>
      <c r="BM331" s="323"/>
      <c r="BN331" s="323"/>
      <c r="BO331" s="323"/>
      <c r="BP331" s="323"/>
      <c r="BQ331" s="323"/>
      <c r="BR331" s="323"/>
      <c r="BS331" s="323"/>
      <c r="BT331" s="323"/>
      <c r="BU331" s="323"/>
      <c r="BV331" s="323"/>
      <c r="BW331" s="323"/>
      <c r="BX331" s="323"/>
      <c r="BY331" s="323"/>
    </row>
    <row r="332" spans="1:77" s="113" customFormat="1" ht="14.25" hidden="1" customHeight="1" x14ac:dyDescent="0.2">
      <c r="A332" s="437"/>
      <c r="B332" s="438"/>
      <c r="C332" s="434"/>
      <c r="D332" s="434"/>
      <c r="E332" s="434"/>
      <c r="F332" s="435"/>
      <c r="G332" s="436"/>
      <c r="H332" s="435"/>
      <c r="I332" s="435"/>
      <c r="J332" s="439"/>
      <c r="K332" s="430"/>
      <c r="L332" s="431"/>
      <c r="M332" s="432"/>
      <c r="N332" s="431">
        <f ca="1">IF(NOT(ISERROR(MATCH(M332,_xlfn.ANCHORARRAY(#REF!),0))),#REF!&amp;"Por favor no seleccionar los criterios de impacto",M332)</f>
        <v>0</v>
      </c>
      <c r="O332" s="430"/>
      <c r="P332" s="431"/>
      <c r="Q332" s="433"/>
      <c r="R332" s="316">
        <v>2</v>
      </c>
      <c r="S332" s="325"/>
      <c r="T332" s="312"/>
      <c r="U332" s="208" t="str">
        <f t="shared" si="625"/>
        <v/>
      </c>
      <c r="V332" s="237"/>
      <c r="W332" s="237"/>
      <c r="X332" s="209" t="str">
        <f t="shared" si="47"/>
        <v/>
      </c>
      <c r="Y332" s="237"/>
      <c r="Z332" s="237"/>
      <c r="AA332" s="237"/>
      <c r="AB332" s="210" t="str">
        <f t="shared" ref="AB332" si="628">IFERROR(IF(AND(U331="Probabilidad",U332="Probabilidad"),(AD331-(+AD331*X332)),IF(U332="Probabilidad",(L331-(+L331*X332)),IF(U332="Impacto",AD331,""))),"")</f>
        <v/>
      </c>
      <c r="AC332" s="211" t="str">
        <f t="shared" si="48"/>
        <v/>
      </c>
      <c r="AD332" s="209" t="str">
        <f t="shared" ref="AD332:AD336" si="629">+AB332</f>
        <v/>
      </c>
      <c r="AE332" s="211" t="str">
        <f t="shared" si="50"/>
        <v/>
      </c>
      <c r="AF332" s="209" t="str">
        <f t="shared" si="559"/>
        <v/>
      </c>
      <c r="AG332" s="212" t="str">
        <f t="shared" ref="AG332:AG333" si="630">IFERROR(IF(OR(AND(AC332="Muy Baja",AE332="Leve"),AND(AC332="Muy Baja",AE332="Menor"),AND(AC332="Baja",AE332="Leve")),"Bajo",IF(OR(AND(AC332="Muy baja",AE332="Moderado"),AND(AC332="Baja",AE332="Menor"),AND(AC332="Baja",AE332="Moderado"),AND(AC332="Media",AE332="Leve"),AND(AC332="Media",AE332="Menor"),AND(AC332="Media",AE332="Moderado"),AND(AC332="Alta",AE332="Leve"),AND(AC332="Alta",AE332="Menor")),"Moderado",IF(OR(AND(AC332="Muy Baja",AE332="Mayor"),AND(AC332="Baja",AE332="Mayor"),AND(AC332="Media",AE332="Mayor"),AND(AC332="Alta",AE332="Moderado"),AND(AC332="Alta",AE332="Mayor"),AND(AC332="Muy Alta",AE332="Leve"),AND(AC332="Muy Alta",AE332="Menor"),AND(AC332="Muy Alta",AE332="Moderado"),AND(AC332="Muy Alta",AE332="Mayor")),"Alto",IF(OR(AND(AC332="Muy Baja",AE332="Catastrófico"),AND(AC332="Baja",AE332="Catastrófico"),AND(AC332="Media",AE332="Catastrófico"),AND(AC332="Alta",AE332="Catastrófico"),AND(AC332="Muy Alta",AE332="Catastrófico")),"Extremo","")))),"")</f>
        <v/>
      </c>
      <c r="AH332" s="237"/>
      <c r="AI332" s="318"/>
      <c r="AJ332" s="318"/>
      <c r="AK332" s="318"/>
      <c r="AL332" s="318"/>
      <c r="AM332" s="318"/>
      <c r="AN332" s="222"/>
      <c r="AO332" s="238"/>
      <c r="AP332" s="217"/>
      <c r="AQ332" s="216"/>
      <c r="AR332" s="216"/>
      <c r="AS332" s="323"/>
      <c r="AT332" s="323"/>
      <c r="AU332" s="323"/>
      <c r="AV332" s="323"/>
      <c r="AW332" s="323"/>
      <c r="AX332" s="323"/>
      <c r="AY332" s="323"/>
      <c r="AZ332" s="323"/>
      <c r="BA332" s="323"/>
      <c r="BB332" s="323"/>
      <c r="BC332" s="323"/>
      <c r="BD332" s="323"/>
      <c r="BE332" s="323"/>
      <c r="BF332" s="323"/>
      <c r="BG332" s="323"/>
      <c r="BH332" s="323"/>
      <c r="BI332" s="323"/>
      <c r="BJ332" s="323"/>
      <c r="BK332" s="323"/>
      <c r="BL332" s="323"/>
      <c r="BM332" s="323"/>
      <c r="BN332" s="323"/>
      <c r="BO332" s="323"/>
      <c r="BP332" s="323"/>
      <c r="BQ332" s="323"/>
      <c r="BR332" s="323"/>
      <c r="BS332" s="323"/>
      <c r="BT332" s="323"/>
      <c r="BU332" s="323"/>
      <c r="BV332" s="323"/>
      <c r="BW332" s="323"/>
      <c r="BX332" s="323"/>
      <c r="BY332" s="323"/>
    </row>
    <row r="333" spans="1:77" s="113" customFormat="1" ht="14.25" hidden="1" customHeight="1" x14ac:dyDescent="0.2">
      <c r="A333" s="437"/>
      <c r="B333" s="438"/>
      <c r="C333" s="434"/>
      <c r="D333" s="434"/>
      <c r="E333" s="434"/>
      <c r="F333" s="435"/>
      <c r="G333" s="436"/>
      <c r="H333" s="435"/>
      <c r="I333" s="435"/>
      <c r="J333" s="439"/>
      <c r="K333" s="430"/>
      <c r="L333" s="431"/>
      <c r="M333" s="432"/>
      <c r="N333" s="431">
        <f ca="1">IF(NOT(ISERROR(MATCH(M333,_xlfn.ANCHORARRAY(#REF!),0))),#REF!&amp;"Por favor no seleccionar los criterios de impacto",M333)</f>
        <v>0</v>
      </c>
      <c r="O333" s="430"/>
      <c r="P333" s="431"/>
      <c r="Q333" s="433"/>
      <c r="R333" s="316">
        <v>3</v>
      </c>
      <c r="S333" s="330"/>
      <c r="T333" s="312"/>
      <c r="U333" s="208" t="str">
        <f t="shared" si="625"/>
        <v/>
      </c>
      <c r="V333" s="237"/>
      <c r="W333" s="237"/>
      <c r="X333" s="209" t="str">
        <f t="shared" si="47"/>
        <v/>
      </c>
      <c r="Y333" s="237"/>
      <c r="Z333" s="237"/>
      <c r="AA333" s="237"/>
      <c r="AB333" s="210" t="str">
        <f t="shared" ref="AB333" si="631">IFERROR(IF(AND(U332="Probabilidad",U333="Probabilidad"),(AD332-(+AD332*X333)),IF(AND(U332="Impacto",U333="Probabilidad"),(AD331-(+AD331*X333)),IF(U333="Impacto",AD332,""))),"")</f>
        <v/>
      </c>
      <c r="AC333" s="211" t="str">
        <f t="shared" si="48"/>
        <v/>
      </c>
      <c r="AD333" s="209" t="str">
        <f t="shared" si="629"/>
        <v/>
      </c>
      <c r="AE333" s="211" t="str">
        <f t="shared" si="50"/>
        <v/>
      </c>
      <c r="AF333" s="209" t="str">
        <f t="shared" si="559"/>
        <v/>
      </c>
      <c r="AG333" s="212" t="str">
        <f t="shared" si="630"/>
        <v/>
      </c>
      <c r="AH333" s="237"/>
      <c r="AI333" s="318"/>
      <c r="AJ333" s="318"/>
      <c r="AK333" s="318"/>
      <c r="AL333" s="318"/>
      <c r="AM333" s="318"/>
      <c r="AN333" s="222"/>
      <c r="AO333" s="238"/>
      <c r="AP333" s="217"/>
      <c r="AQ333" s="216"/>
      <c r="AR333" s="216"/>
      <c r="AS333" s="323"/>
      <c r="AT333" s="323"/>
      <c r="AU333" s="323"/>
      <c r="AV333" s="323"/>
      <c r="AW333" s="323"/>
      <c r="AX333" s="323"/>
      <c r="AY333" s="323"/>
      <c r="AZ333" s="323"/>
      <c r="BA333" s="323"/>
      <c r="BB333" s="323"/>
      <c r="BC333" s="323"/>
      <c r="BD333" s="323"/>
      <c r="BE333" s="323"/>
      <c r="BF333" s="323"/>
      <c r="BG333" s="323"/>
      <c r="BH333" s="323"/>
      <c r="BI333" s="323"/>
      <c r="BJ333" s="323"/>
      <c r="BK333" s="323"/>
      <c r="BL333" s="323"/>
      <c r="BM333" s="323"/>
      <c r="BN333" s="323"/>
      <c r="BO333" s="323"/>
      <c r="BP333" s="323"/>
      <c r="BQ333" s="323"/>
      <c r="BR333" s="323"/>
      <c r="BS333" s="323"/>
      <c r="BT333" s="323"/>
      <c r="BU333" s="323"/>
      <c r="BV333" s="323"/>
      <c r="BW333" s="323"/>
      <c r="BX333" s="323"/>
      <c r="BY333" s="323"/>
    </row>
    <row r="334" spans="1:77" s="113" customFormat="1" ht="14.25" hidden="1" customHeight="1" x14ac:dyDescent="0.2">
      <c r="A334" s="437"/>
      <c r="B334" s="438"/>
      <c r="C334" s="434"/>
      <c r="D334" s="434"/>
      <c r="E334" s="434"/>
      <c r="F334" s="435"/>
      <c r="G334" s="436"/>
      <c r="H334" s="435"/>
      <c r="I334" s="435"/>
      <c r="J334" s="439"/>
      <c r="K334" s="430"/>
      <c r="L334" s="431"/>
      <c r="M334" s="432"/>
      <c r="N334" s="431">
        <f ca="1">IF(NOT(ISERROR(MATCH(M334,_xlfn.ANCHORARRAY(#REF!),0))),#REF!&amp;"Por favor no seleccionar los criterios de impacto",M334)</f>
        <v>0</v>
      </c>
      <c r="O334" s="430"/>
      <c r="P334" s="431"/>
      <c r="Q334" s="433"/>
      <c r="R334" s="316">
        <v>4</v>
      </c>
      <c r="S334" s="325"/>
      <c r="T334" s="312"/>
      <c r="U334" s="208" t="str">
        <f t="shared" si="625"/>
        <v/>
      </c>
      <c r="V334" s="237"/>
      <c r="W334" s="237"/>
      <c r="X334" s="209" t="str">
        <f t="shared" si="47"/>
        <v/>
      </c>
      <c r="Y334" s="237"/>
      <c r="Z334" s="237"/>
      <c r="AA334" s="237"/>
      <c r="AB334" s="210" t="str">
        <f t="shared" si="525"/>
        <v/>
      </c>
      <c r="AC334" s="211" t="str">
        <f t="shared" si="48"/>
        <v/>
      </c>
      <c r="AD334" s="209" t="str">
        <f t="shared" si="629"/>
        <v/>
      </c>
      <c r="AE334" s="211" t="str">
        <f t="shared" si="50"/>
        <v/>
      </c>
      <c r="AF334" s="209" t="str">
        <f t="shared" si="559"/>
        <v/>
      </c>
      <c r="AG334" s="212" t="str">
        <f>IFERROR(IF(OR(AND(AC334="Muy Baja",AE334="Leve"),AND(AC334="Muy Baja",AE334="Menor"),AND(AC334="Baja",AE334="Leve")),"Bajo",IF(OR(AND(AC334="Muy baja",AE334="Moderado"),AND(AC334="Baja",AE334="Menor"),AND(AC334="Baja",AE334="Moderado"),AND(AC334="Media",AE334="Leve"),AND(AC334="Media",AE334="Menor"),AND(AC334="Media",AE334="Moderado"),AND(AC334="Alta",AE334="Leve"),AND(AC334="Alta",AE334="Menor")),"Moderado",IF(OR(AND(AC334="Muy Baja",AE334="Mayor"),AND(AC334="Baja",AE334="Mayor"),AND(AC334="Media",AE334="Mayor"),AND(AC334="Alta",AE334="Moderado"),AND(AC334="Alta",AE334="Mayor"),AND(AC334="Muy Alta",AE334="Leve"),AND(AC334="Muy Alta",AE334="Menor"),AND(AC334="Muy Alta",AE334="Moderado"),AND(AC334="Muy Alta",AE334="Mayor")),"Alto",IF(OR(AND(AC334="Muy Baja",AE334="Catastrófico"),AND(AC334="Baja",AE334="Catastrófico"),AND(AC334="Media",AE334="Catastrófico"),AND(AC334="Alta",AE334="Catastrófico"),AND(AC334="Muy Alta",AE334="Catastrófico")),"Extremo","")))),"")</f>
        <v/>
      </c>
      <c r="AH334" s="237"/>
      <c r="AI334" s="318"/>
      <c r="AJ334" s="318"/>
      <c r="AK334" s="318"/>
      <c r="AL334" s="318"/>
      <c r="AM334" s="318"/>
      <c r="AN334" s="222"/>
      <c r="AO334" s="238"/>
      <c r="AP334" s="217"/>
      <c r="AQ334" s="216"/>
      <c r="AR334" s="216"/>
      <c r="AS334" s="323"/>
      <c r="AT334" s="323"/>
      <c r="AU334" s="323"/>
      <c r="AV334" s="323"/>
      <c r="AW334" s="323"/>
      <c r="AX334" s="323"/>
      <c r="AY334" s="323"/>
      <c r="AZ334" s="323"/>
      <c r="BA334" s="323"/>
      <c r="BB334" s="323"/>
      <c r="BC334" s="323"/>
      <c r="BD334" s="323"/>
      <c r="BE334" s="323"/>
      <c r="BF334" s="323"/>
      <c r="BG334" s="323"/>
      <c r="BH334" s="323"/>
      <c r="BI334" s="323"/>
      <c r="BJ334" s="323"/>
      <c r="BK334" s="323"/>
      <c r="BL334" s="323"/>
      <c r="BM334" s="323"/>
      <c r="BN334" s="323"/>
      <c r="BO334" s="323"/>
      <c r="BP334" s="323"/>
      <c r="BQ334" s="323"/>
      <c r="BR334" s="323"/>
      <c r="BS334" s="323"/>
      <c r="BT334" s="323"/>
      <c r="BU334" s="323"/>
      <c r="BV334" s="323"/>
      <c r="BW334" s="323"/>
      <c r="BX334" s="323"/>
      <c r="BY334" s="323"/>
    </row>
    <row r="335" spans="1:77" s="113" customFormat="1" ht="14.25" hidden="1" customHeight="1" x14ac:dyDescent="0.2">
      <c r="A335" s="437"/>
      <c r="B335" s="438"/>
      <c r="C335" s="434"/>
      <c r="D335" s="434"/>
      <c r="E335" s="434"/>
      <c r="F335" s="435"/>
      <c r="G335" s="436"/>
      <c r="H335" s="435"/>
      <c r="I335" s="435"/>
      <c r="J335" s="439"/>
      <c r="K335" s="430"/>
      <c r="L335" s="431"/>
      <c r="M335" s="432"/>
      <c r="N335" s="431">
        <f ca="1">IF(NOT(ISERROR(MATCH(M335,_xlfn.ANCHORARRAY(#REF!),0))),#REF!&amp;"Por favor no seleccionar los criterios de impacto",M335)</f>
        <v>0</v>
      </c>
      <c r="O335" s="430"/>
      <c r="P335" s="431"/>
      <c r="Q335" s="433"/>
      <c r="R335" s="316">
        <v>5</v>
      </c>
      <c r="S335" s="325"/>
      <c r="T335" s="312"/>
      <c r="U335" s="208" t="str">
        <f t="shared" si="625"/>
        <v/>
      </c>
      <c r="V335" s="237"/>
      <c r="W335" s="237"/>
      <c r="X335" s="209" t="str">
        <f t="shared" si="47"/>
        <v/>
      </c>
      <c r="Y335" s="237"/>
      <c r="Z335" s="237"/>
      <c r="AA335" s="237"/>
      <c r="AB335" s="210" t="str">
        <f t="shared" si="525"/>
        <v/>
      </c>
      <c r="AC335" s="211" t="str">
        <f t="shared" si="48"/>
        <v/>
      </c>
      <c r="AD335" s="209" t="str">
        <f t="shared" si="629"/>
        <v/>
      </c>
      <c r="AE335" s="211" t="str">
        <f t="shared" si="50"/>
        <v/>
      </c>
      <c r="AF335" s="209" t="str">
        <f t="shared" si="559"/>
        <v/>
      </c>
      <c r="AG335" s="212" t="str">
        <f t="shared" ref="AG335:AG336" si="632">IFERROR(IF(OR(AND(AC335="Muy Baja",AE335="Leve"),AND(AC335="Muy Baja",AE335="Menor"),AND(AC335="Baja",AE335="Leve")),"Bajo",IF(OR(AND(AC335="Muy baja",AE335="Moderado"),AND(AC335="Baja",AE335="Menor"),AND(AC335="Baja",AE335="Moderado"),AND(AC335="Media",AE335="Leve"),AND(AC335="Media",AE335="Menor"),AND(AC335="Media",AE335="Moderado"),AND(AC335="Alta",AE335="Leve"),AND(AC335="Alta",AE335="Menor")),"Moderado",IF(OR(AND(AC335="Muy Baja",AE335="Mayor"),AND(AC335="Baja",AE335="Mayor"),AND(AC335="Media",AE335="Mayor"),AND(AC335="Alta",AE335="Moderado"),AND(AC335="Alta",AE335="Mayor"),AND(AC335="Muy Alta",AE335="Leve"),AND(AC335="Muy Alta",AE335="Menor"),AND(AC335="Muy Alta",AE335="Moderado"),AND(AC335="Muy Alta",AE335="Mayor")),"Alto",IF(OR(AND(AC335="Muy Baja",AE335="Catastrófico"),AND(AC335="Baja",AE335="Catastrófico"),AND(AC335="Media",AE335="Catastrófico"),AND(AC335="Alta",AE335="Catastrófico"),AND(AC335="Muy Alta",AE335="Catastrófico")),"Extremo","")))),"")</f>
        <v/>
      </c>
      <c r="AH335" s="237"/>
      <c r="AI335" s="318"/>
      <c r="AJ335" s="318"/>
      <c r="AK335" s="318"/>
      <c r="AL335" s="318"/>
      <c r="AM335" s="318"/>
      <c r="AN335" s="222"/>
      <c r="AO335" s="238"/>
      <c r="AP335" s="217"/>
      <c r="AQ335" s="216"/>
      <c r="AR335" s="216"/>
      <c r="AS335" s="323"/>
      <c r="AT335" s="323"/>
      <c r="AU335" s="323"/>
      <c r="AV335" s="323"/>
      <c r="AW335" s="323"/>
      <c r="AX335" s="323"/>
      <c r="AY335" s="323"/>
      <c r="AZ335" s="323"/>
      <c r="BA335" s="323"/>
      <c r="BB335" s="323"/>
      <c r="BC335" s="323"/>
      <c r="BD335" s="323"/>
      <c r="BE335" s="323"/>
      <c r="BF335" s="323"/>
      <c r="BG335" s="323"/>
      <c r="BH335" s="323"/>
      <c r="BI335" s="323"/>
      <c r="BJ335" s="323"/>
      <c r="BK335" s="323"/>
      <c r="BL335" s="323"/>
      <c r="BM335" s="323"/>
      <c r="BN335" s="323"/>
      <c r="BO335" s="323"/>
      <c r="BP335" s="323"/>
      <c r="BQ335" s="323"/>
      <c r="BR335" s="323"/>
      <c r="BS335" s="323"/>
      <c r="BT335" s="323"/>
      <c r="BU335" s="323"/>
      <c r="BV335" s="323"/>
      <c r="BW335" s="323"/>
      <c r="BX335" s="323"/>
      <c r="BY335" s="323"/>
    </row>
    <row r="336" spans="1:77" s="113" customFormat="1" ht="14.25" hidden="1" customHeight="1" x14ac:dyDescent="0.2">
      <c r="A336" s="437"/>
      <c r="B336" s="438"/>
      <c r="C336" s="434"/>
      <c r="D336" s="434"/>
      <c r="E336" s="434"/>
      <c r="F336" s="435"/>
      <c r="G336" s="436"/>
      <c r="H336" s="435"/>
      <c r="I336" s="435"/>
      <c r="J336" s="439"/>
      <c r="K336" s="430"/>
      <c r="L336" s="431"/>
      <c r="M336" s="432"/>
      <c r="N336" s="431">
        <f ca="1">IF(NOT(ISERROR(MATCH(M336,_xlfn.ANCHORARRAY(#REF!),0))),#REF!&amp;"Por favor no seleccionar los criterios de impacto",M336)</f>
        <v>0</v>
      </c>
      <c r="O336" s="430"/>
      <c r="P336" s="431"/>
      <c r="Q336" s="433"/>
      <c r="R336" s="316">
        <v>6</v>
      </c>
      <c r="S336" s="325"/>
      <c r="T336" s="312"/>
      <c r="U336" s="208" t="str">
        <f t="shared" si="625"/>
        <v/>
      </c>
      <c r="V336" s="237"/>
      <c r="W336" s="237"/>
      <c r="X336" s="209" t="str">
        <f t="shared" si="47"/>
        <v/>
      </c>
      <c r="Y336" s="237"/>
      <c r="Z336" s="237"/>
      <c r="AA336" s="237"/>
      <c r="AB336" s="210" t="str">
        <f t="shared" si="525"/>
        <v/>
      </c>
      <c r="AC336" s="211" t="str">
        <f t="shared" si="48"/>
        <v/>
      </c>
      <c r="AD336" s="209" t="str">
        <f t="shared" si="629"/>
        <v/>
      </c>
      <c r="AE336" s="211" t="str">
        <f t="shared" si="50"/>
        <v/>
      </c>
      <c r="AF336" s="209" t="str">
        <f t="shared" si="559"/>
        <v/>
      </c>
      <c r="AG336" s="212" t="str">
        <f t="shared" si="632"/>
        <v/>
      </c>
      <c r="AH336" s="237"/>
      <c r="AI336" s="318"/>
      <c r="AJ336" s="318"/>
      <c r="AK336" s="318"/>
      <c r="AL336" s="318"/>
      <c r="AM336" s="318"/>
      <c r="AN336" s="222"/>
      <c r="AO336" s="238"/>
      <c r="AP336" s="217"/>
      <c r="AQ336" s="216"/>
      <c r="AR336" s="216"/>
      <c r="AS336" s="323"/>
      <c r="AT336" s="323"/>
      <c r="AU336" s="323"/>
      <c r="AV336" s="323"/>
      <c r="AW336" s="323"/>
      <c r="AX336" s="323"/>
      <c r="AY336" s="323"/>
      <c r="AZ336" s="323"/>
      <c r="BA336" s="323"/>
      <c r="BB336" s="323"/>
      <c r="BC336" s="323"/>
      <c r="BD336" s="323"/>
      <c r="BE336" s="323"/>
      <c r="BF336" s="323"/>
      <c r="BG336" s="323"/>
      <c r="BH336" s="323"/>
      <c r="BI336" s="323"/>
      <c r="BJ336" s="323"/>
      <c r="BK336" s="323"/>
      <c r="BL336" s="323"/>
      <c r="BM336" s="323"/>
      <c r="BN336" s="323"/>
      <c r="BO336" s="323"/>
      <c r="BP336" s="323"/>
      <c r="BQ336" s="323"/>
      <c r="BR336" s="323"/>
      <c r="BS336" s="323"/>
      <c r="BT336" s="323"/>
      <c r="BU336" s="323"/>
      <c r="BV336" s="323"/>
      <c r="BW336" s="323"/>
      <c r="BX336" s="323"/>
      <c r="BY336" s="323"/>
    </row>
    <row r="337" spans="1:77" s="113" customFormat="1" ht="99" customHeight="1" x14ac:dyDescent="0.2">
      <c r="A337" s="303"/>
      <c r="B337" s="130"/>
      <c r="C337" s="130"/>
      <c r="D337" s="115"/>
      <c r="E337" s="115"/>
      <c r="F337" s="115"/>
      <c r="G337" s="130"/>
      <c r="H337" s="114"/>
      <c r="I337" s="114"/>
      <c r="S337" s="331"/>
      <c r="T337" s="114"/>
      <c r="AS337" s="323"/>
      <c r="AT337" s="323"/>
      <c r="AU337" s="323"/>
      <c r="AV337" s="323"/>
      <c r="AW337" s="323"/>
      <c r="AX337" s="323"/>
      <c r="AY337" s="323"/>
      <c r="AZ337" s="323"/>
      <c r="BA337" s="323"/>
      <c r="BB337" s="323"/>
      <c r="BC337" s="323"/>
      <c r="BD337" s="323"/>
      <c r="BE337" s="323"/>
      <c r="BF337" s="323"/>
      <c r="BG337" s="323"/>
      <c r="BH337" s="323"/>
      <c r="BI337" s="323"/>
      <c r="BJ337" s="323"/>
      <c r="BK337" s="323"/>
      <c r="BL337" s="323"/>
      <c r="BM337" s="323"/>
      <c r="BN337" s="323"/>
      <c r="BO337" s="323"/>
      <c r="BP337" s="323"/>
      <c r="BQ337" s="323"/>
      <c r="BR337" s="323"/>
      <c r="BS337" s="323"/>
      <c r="BT337" s="323"/>
      <c r="BU337" s="323"/>
      <c r="BV337" s="323"/>
      <c r="BW337" s="323"/>
      <c r="BX337" s="323"/>
      <c r="BY337" s="323"/>
    </row>
    <row r="338" spans="1:77" s="113" customFormat="1" ht="12.75" x14ac:dyDescent="0.2">
      <c r="A338" s="303"/>
      <c r="S338" s="331"/>
      <c r="T338" s="114"/>
      <c r="AS338" s="323"/>
      <c r="AT338" s="323"/>
      <c r="AU338" s="323"/>
      <c r="AV338" s="323"/>
      <c r="AW338" s="323"/>
      <c r="AX338" s="323"/>
      <c r="AY338" s="323"/>
      <c r="AZ338" s="323"/>
      <c r="BA338" s="323"/>
      <c r="BB338" s="323"/>
      <c r="BC338" s="323"/>
      <c r="BD338" s="323"/>
      <c r="BE338" s="323"/>
      <c r="BF338" s="323"/>
      <c r="BG338" s="323"/>
      <c r="BH338" s="323"/>
      <c r="BI338" s="323"/>
      <c r="BJ338" s="323"/>
      <c r="BK338" s="323"/>
      <c r="BL338" s="323"/>
      <c r="BM338" s="323"/>
      <c r="BN338" s="323"/>
      <c r="BO338" s="323"/>
      <c r="BP338" s="323"/>
      <c r="BQ338" s="323"/>
      <c r="BR338" s="323"/>
      <c r="BS338" s="323"/>
      <c r="BT338" s="323"/>
      <c r="BU338" s="323"/>
      <c r="BV338" s="323"/>
      <c r="BW338" s="323"/>
      <c r="BX338" s="323"/>
      <c r="BY338" s="323"/>
    </row>
    <row r="339" spans="1:77" s="113" customFormat="1" ht="12.75" x14ac:dyDescent="0.2">
      <c r="A339" s="303"/>
      <c r="B339" s="130"/>
      <c r="C339" s="130"/>
      <c r="D339" s="115"/>
      <c r="E339" s="115"/>
      <c r="F339" s="115"/>
      <c r="H339" s="114"/>
      <c r="I339" s="114"/>
      <c r="S339" s="331"/>
      <c r="T339" s="114"/>
      <c r="AS339" s="323"/>
      <c r="AT339" s="323"/>
      <c r="AU339" s="323"/>
      <c r="AV339" s="323"/>
      <c r="AW339" s="323"/>
      <c r="AX339" s="323"/>
      <c r="AY339" s="323"/>
      <c r="AZ339" s="323"/>
      <c r="BA339" s="323"/>
      <c r="BB339" s="323"/>
      <c r="BC339" s="323"/>
      <c r="BD339" s="323"/>
      <c r="BE339" s="323"/>
      <c r="BF339" s="323"/>
      <c r="BG339" s="323"/>
      <c r="BH339" s="323"/>
      <c r="BI339" s="323"/>
      <c r="BJ339" s="323"/>
      <c r="BK339" s="323"/>
      <c r="BL339" s="323"/>
      <c r="BM339" s="323"/>
      <c r="BN339" s="323"/>
      <c r="BO339" s="323"/>
      <c r="BP339" s="323"/>
      <c r="BQ339" s="323"/>
      <c r="BR339" s="323"/>
      <c r="BS339" s="323"/>
      <c r="BT339" s="323"/>
      <c r="BU339" s="323"/>
      <c r="BV339" s="323"/>
      <c r="BW339" s="323"/>
      <c r="BX339" s="323"/>
      <c r="BY339" s="323"/>
    </row>
    <row r="340" spans="1:77" s="113" customFormat="1" ht="12.75" x14ac:dyDescent="0.2">
      <c r="A340" s="303"/>
      <c r="B340" s="130"/>
      <c r="C340" s="130"/>
      <c r="D340" s="115"/>
      <c r="E340" s="115"/>
      <c r="F340" s="115"/>
      <c r="H340" s="114"/>
      <c r="I340" s="114"/>
      <c r="S340" s="331"/>
      <c r="T340" s="114"/>
      <c r="AS340" s="323"/>
      <c r="AT340" s="323"/>
      <c r="AU340" s="323"/>
      <c r="AV340" s="323"/>
      <c r="AW340" s="323"/>
      <c r="AX340" s="323"/>
      <c r="AY340" s="323"/>
      <c r="AZ340" s="323"/>
      <c r="BA340" s="323"/>
      <c r="BB340" s="323"/>
      <c r="BC340" s="323"/>
      <c r="BD340" s="323"/>
      <c r="BE340" s="323"/>
      <c r="BF340" s="323"/>
      <c r="BG340" s="323"/>
      <c r="BH340" s="323"/>
      <c r="BI340" s="323"/>
      <c r="BJ340" s="323"/>
      <c r="BK340" s="323"/>
      <c r="BL340" s="323"/>
      <c r="BM340" s="323"/>
      <c r="BN340" s="323"/>
      <c r="BO340" s="323"/>
      <c r="BP340" s="323"/>
      <c r="BQ340" s="323"/>
      <c r="BR340" s="323"/>
      <c r="BS340" s="323"/>
      <c r="BT340" s="323"/>
      <c r="BU340" s="323"/>
      <c r="BV340" s="323"/>
      <c r="BW340" s="323"/>
      <c r="BX340" s="323"/>
      <c r="BY340" s="323"/>
    </row>
    <row r="341" spans="1:77" s="113" customFormat="1" ht="12.75" x14ac:dyDescent="0.2">
      <c r="A341" s="303"/>
      <c r="B341" s="130"/>
      <c r="C341" s="130"/>
      <c r="D341" s="115"/>
      <c r="E341" s="115"/>
      <c r="F341" s="115"/>
      <c r="H341" s="114"/>
      <c r="I341" s="114"/>
      <c r="S341" s="331"/>
      <c r="T341" s="114"/>
      <c r="AS341" s="323"/>
      <c r="AT341" s="323"/>
      <c r="AU341" s="323"/>
      <c r="AV341" s="323"/>
      <c r="AW341" s="323"/>
      <c r="AX341" s="323"/>
      <c r="AY341" s="323"/>
      <c r="AZ341" s="323"/>
      <c r="BA341" s="323"/>
      <c r="BB341" s="323"/>
      <c r="BC341" s="323"/>
      <c r="BD341" s="323"/>
      <c r="BE341" s="323"/>
      <c r="BF341" s="323"/>
      <c r="BG341" s="323"/>
      <c r="BH341" s="323"/>
      <c r="BI341" s="323"/>
      <c r="BJ341" s="323"/>
      <c r="BK341" s="323"/>
      <c r="BL341" s="323"/>
      <c r="BM341" s="323"/>
      <c r="BN341" s="323"/>
      <c r="BO341" s="323"/>
      <c r="BP341" s="323"/>
      <c r="BQ341" s="323"/>
      <c r="BR341" s="323"/>
      <c r="BS341" s="323"/>
      <c r="BT341" s="323"/>
      <c r="BU341" s="323"/>
      <c r="BV341" s="323"/>
      <c r="BW341" s="323"/>
      <c r="BX341" s="323"/>
      <c r="BY341" s="323"/>
    </row>
    <row r="342" spans="1:77" s="113" customFormat="1" ht="12.75" x14ac:dyDescent="0.2">
      <c r="A342" s="303"/>
      <c r="B342" s="130"/>
      <c r="C342" s="130"/>
      <c r="D342" s="115"/>
      <c r="E342" s="115"/>
      <c r="F342" s="115"/>
      <c r="H342" s="114"/>
      <c r="I342" s="114"/>
      <c r="S342" s="331"/>
      <c r="T342" s="114"/>
      <c r="AS342" s="323"/>
      <c r="AT342" s="323"/>
      <c r="AU342" s="323"/>
      <c r="AV342" s="323"/>
      <c r="AW342" s="323"/>
      <c r="AX342" s="323"/>
      <c r="AY342" s="323"/>
      <c r="AZ342" s="323"/>
      <c r="BA342" s="323"/>
      <c r="BB342" s="323"/>
      <c r="BC342" s="323"/>
      <c r="BD342" s="323"/>
      <c r="BE342" s="323"/>
      <c r="BF342" s="323"/>
      <c r="BG342" s="323"/>
      <c r="BH342" s="323"/>
      <c r="BI342" s="323"/>
      <c r="BJ342" s="323"/>
      <c r="BK342" s="323"/>
      <c r="BL342" s="323"/>
      <c r="BM342" s="323"/>
      <c r="BN342" s="323"/>
      <c r="BO342" s="323"/>
      <c r="BP342" s="323"/>
      <c r="BQ342" s="323"/>
      <c r="BR342" s="323"/>
      <c r="BS342" s="323"/>
      <c r="BT342" s="323"/>
      <c r="BU342" s="323"/>
      <c r="BV342" s="323"/>
      <c r="BW342" s="323"/>
      <c r="BX342" s="323"/>
      <c r="BY342" s="323"/>
    </row>
    <row r="343" spans="1:77" s="113" customFormat="1" ht="12.75" x14ac:dyDescent="0.2">
      <c r="A343" s="303"/>
      <c r="B343" s="130"/>
      <c r="C343" s="130"/>
      <c r="D343" s="115"/>
      <c r="E343" s="115"/>
      <c r="F343" s="115"/>
      <c r="H343" s="114"/>
      <c r="I343" s="114"/>
      <c r="S343" s="331"/>
      <c r="T343" s="114"/>
      <c r="AS343" s="323"/>
      <c r="AT343" s="323"/>
      <c r="AU343" s="323"/>
      <c r="AV343" s="323"/>
      <c r="AW343" s="323"/>
      <c r="AX343" s="323"/>
      <c r="AY343" s="323"/>
      <c r="AZ343" s="323"/>
      <c r="BA343" s="323"/>
      <c r="BB343" s="323"/>
      <c r="BC343" s="323"/>
      <c r="BD343" s="323"/>
      <c r="BE343" s="323"/>
      <c r="BF343" s="323"/>
      <c r="BG343" s="323"/>
      <c r="BH343" s="323"/>
      <c r="BI343" s="323"/>
      <c r="BJ343" s="323"/>
      <c r="BK343" s="323"/>
      <c r="BL343" s="323"/>
      <c r="BM343" s="323"/>
      <c r="BN343" s="323"/>
      <c r="BO343" s="323"/>
      <c r="BP343" s="323"/>
      <c r="BQ343" s="323"/>
      <c r="BR343" s="323"/>
      <c r="BS343" s="323"/>
      <c r="BT343" s="323"/>
      <c r="BU343" s="323"/>
      <c r="BV343" s="323"/>
      <c r="BW343" s="323"/>
      <c r="BX343" s="323"/>
      <c r="BY343" s="323"/>
    </row>
    <row r="344" spans="1:77" s="113" customFormat="1" ht="12.75" x14ac:dyDescent="0.2">
      <c r="A344" s="303"/>
      <c r="B344" s="130"/>
      <c r="C344" s="130"/>
      <c r="D344" s="115"/>
      <c r="E344" s="115"/>
      <c r="F344" s="115"/>
      <c r="H344" s="114"/>
      <c r="I344" s="114"/>
      <c r="S344" s="331"/>
      <c r="T344" s="114"/>
      <c r="AS344" s="323"/>
      <c r="AT344" s="323"/>
      <c r="AU344" s="323"/>
      <c r="AV344" s="323"/>
      <c r="AW344" s="323"/>
      <c r="AX344" s="323"/>
      <c r="AY344" s="323"/>
      <c r="AZ344" s="323"/>
      <c r="BA344" s="323"/>
      <c r="BB344" s="323"/>
      <c r="BC344" s="323"/>
      <c r="BD344" s="323"/>
      <c r="BE344" s="323"/>
      <c r="BF344" s="323"/>
      <c r="BG344" s="323"/>
      <c r="BH344" s="323"/>
      <c r="BI344" s="323"/>
      <c r="BJ344" s="323"/>
      <c r="BK344" s="323"/>
      <c r="BL344" s="323"/>
      <c r="BM344" s="323"/>
      <c r="BN344" s="323"/>
      <c r="BO344" s="323"/>
      <c r="BP344" s="323"/>
      <c r="BQ344" s="323"/>
      <c r="BR344" s="323"/>
      <c r="BS344" s="323"/>
      <c r="BT344" s="323"/>
      <c r="BU344" s="323"/>
      <c r="BV344" s="323"/>
      <c r="BW344" s="323"/>
      <c r="BX344" s="323"/>
      <c r="BY344" s="323"/>
    </row>
    <row r="345" spans="1:77" s="113" customFormat="1" ht="12.75" x14ac:dyDescent="0.2">
      <c r="A345" s="303"/>
      <c r="B345" s="130"/>
      <c r="C345" s="130"/>
      <c r="D345" s="115"/>
      <c r="E345" s="115"/>
      <c r="F345" s="115"/>
      <c r="H345" s="114"/>
      <c r="I345" s="114"/>
      <c r="S345" s="331"/>
      <c r="T345" s="114"/>
      <c r="AS345" s="323"/>
      <c r="AT345" s="323"/>
      <c r="AU345" s="323"/>
      <c r="AV345" s="323"/>
      <c r="AW345" s="323"/>
      <c r="AX345" s="323"/>
      <c r="AY345" s="323"/>
      <c r="AZ345" s="323"/>
      <c r="BA345" s="323"/>
      <c r="BB345" s="323"/>
      <c r="BC345" s="323"/>
      <c r="BD345" s="323"/>
      <c r="BE345" s="323"/>
      <c r="BF345" s="323"/>
      <c r="BG345" s="323"/>
      <c r="BH345" s="323"/>
      <c r="BI345" s="323"/>
      <c r="BJ345" s="323"/>
      <c r="BK345" s="323"/>
      <c r="BL345" s="323"/>
      <c r="BM345" s="323"/>
      <c r="BN345" s="323"/>
      <c r="BO345" s="323"/>
      <c r="BP345" s="323"/>
      <c r="BQ345" s="323"/>
      <c r="BR345" s="323"/>
      <c r="BS345" s="323"/>
      <c r="BT345" s="323"/>
      <c r="BU345" s="323"/>
      <c r="BV345" s="323"/>
      <c r="BW345" s="323"/>
      <c r="BX345" s="323"/>
      <c r="BY345" s="323"/>
    </row>
    <row r="346" spans="1:77" s="113" customFormat="1" ht="12.75" x14ac:dyDescent="0.2">
      <c r="A346" s="303"/>
      <c r="B346" s="130"/>
      <c r="C346" s="130"/>
      <c r="D346" s="115"/>
      <c r="E346" s="115"/>
      <c r="F346" s="115"/>
      <c r="H346" s="114"/>
      <c r="I346" s="114"/>
      <c r="S346" s="331"/>
      <c r="T346" s="114"/>
      <c r="AS346" s="323"/>
      <c r="AT346" s="323"/>
      <c r="AU346" s="323"/>
      <c r="AV346" s="323"/>
      <c r="AW346" s="323"/>
      <c r="AX346" s="323"/>
      <c r="AY346" s="323"/>
      <c r="AZ346" s="323"/>
      <c r="BA346" s="323"/>
      <c r="BB346" s="323"/>
      <c r="BC346" s="323"/>
      <c r="BD346" s="323"/>
      <c r="BE346" s="323"/>
      <c r="BF346" s="323"/>
      <c r="BG346" s="323"/>
      <c r="BH346" s="323"/>
      <c r="BI346" s="323"/>
      <c r="BJ346" s="323"/>
      <c r="BK346" s="323"/>
      <c r="BL346" s="323"/>
      <c r="BM346" s="323"/>
      <c r="BN346" s="323"/>
      <c r="BO346" s="323"/>
      <c r="BP346" s="323"/>
      <c r="BQ346" s="323"/>
      <c r="BR346" s="323"/>
      <c r="BS346" s="323"/>
      <c r="BT346" s="323"/>
      <c r="BU346" s="323"/>
      <c r="BV346" s="323"/>
      <c r="BW346" s="323"/>
      <c r="BX346" s="323"/>
      <c r="BY346" s="323"/>
    </row>
    <row r="347" spans="1:77" s="113" customFormat="1" ht="12.75" x14ac:dyDescent="0.2">
      <c r="A347" s="303"/>
      <c r="B347" s="130"/>
      <c r="C347" s="130"/>
      <c r="D347" s="115"/>
      <c r="E347" s="115"/>
      <c r="F347" s="115"/>
      <c r="H347" s="114"/>
      <c r="I347" s="114"/>
      <c r="S347" s="331"/>
      <c r="T347" s="114"/>
      <c r="AS347" s="323"/>
      <c r="AT347" s="323"/>
      <c r="AU347" s="323"/>
      <c r="AV347" s="323"/>
      <c r="AW347" s="323"/>
      <c r="AX347" s="323"/>
      <c r="AY347" s="323"/>
      <c r="AZ347" s="323"/>
      <c r="BA347" s="323"/>
      <c r="BB347" s="323"/>
      <c r="BC347" s="323"/>
      <c r="BD347" s="323"/>
      <c r="BE347" s="323"/>
      <c r="BF347" s="323"/>
      <c r="BG347" s="323"/>
      <c r="BH347" s="323"/>
      <c r="BI347" s="323"/>
      <c r="BJ347" s="323"/>
      <c r="BK347" s="323"/>
      <c r="BL347" s="323"/>
      <c r="BM347" s="323"/>
      <c r="BN347" s="323"/>
      <c r="BO347" s="323"/>
      <c r="BP347" s="323"/>
      <c r="BQ347" s="323"/>
      <c r="BR347" s="323"/>
      <c r="BS347" s="323"/>
      <c r="BT347" s="323"/>
      <c r="BU347" s="323"/>
      <c r="BV347" s="323"/>
      <c r="BW347" s="323"/>
      <c r="BX347" s="323"/>
      <c r="BY347" s="323"/>
    </row>
    <row r="348" spans="1:77" s="113" customFormat="1" ht="12.75" x14ac:dyDescent="0.2">
      <c r="A348" s="303"/>
      <c r="B348" s="130"/>
      <c r="C348" s="130"/>
      <c r="D348" s="115"/>
      <c r="E348" s="115"/>
      <c r="F348" s="115"/>
      <c r="H348" s="114"/>
      <c r="I348" s="114"/>
      <c r="S348" s="331"/>
      <c r="T348" s="114"/>
      <c r="AS348" s="323"/>
      <c r="AT348" s="323"/>
      <c r="AU348" s="323"/>
      <c r="AV348" s="323"/>
      <c r="AW348" s="323"/>
      <c r="AX348" s="323"/>
      <c r="AY348" s="323"/>
      <c r="AZ348" s="323"/>
      <c r="BA348" s="323"/>
      <c r="BB348" s="323"/>
      <c r="BC348" s="323"/>
      <c r="BD348" s="323"/>
      <c r="BE348" s="323"/>
      <c r="BF348" s="323"/>
      <c r="BG348" s="323"/>
      <c r="BH348" s="323"/>
      <c r="BI348" s="323"/>
      <c r="BJ348" s="323"/>
      <c r="BK348" s="323"/>
      <c r="BL348" s="323"/>
      <c r="BM348" s="323"/>
      <c r="BN348" s="323"/>
      <c r="BO348" s="323"/>
      <c r="BP348" s="323"/>
      <c r="BQ348" s="323"/>
      <c r="BR348" s="323"/>
      <c r="BS348" s="323"/>
      <c r="BT348" s="323"/>
      <c r="BU348" s="323"/>
      <c r="BV348" s="323"/>
      <c r="BW348" s="323"/>
      <c r="BX348" s="323"/>
      <c r="BY348" s="323"/>
    </row>
    <row r="349" spans="1:77" s="113" customFormat="1" ht="12.75" x14ac:dyDescent="0.2">
      <c r="A349" s="303"/>
      <c r="B349" s="130"/>
      <c r="C349" s="130"/>
      <c r="D349" s="115"/>
      <c r="E349" s="115"/>
      <c r="F349" s="115"/>
      <c r="H349" s="114"/>
      <c r="I349" s="114"/>
      <c r="S349" s="331"/>
      <c r="T349" s="114"/>
      <c r="AS349" s="323"/>
      <c r="AT349" s="323"/>
      <c r="AU349" s="323"/>
      <c r="AV349" s="323"/>
      <c r="AW349" s="323"/>
      <c r="AX349" s="323"/>
      <c r="AY349" s="323"/>
      <c r="AZ349" s="323"/>
      <c r="BA349" s="323"/>
      <c r="BB349" s="323"/>
      <c r="BC349" s="323"/>
      <c r="BD349" s="323"/>
      <c r="BE349" s="323"/>
      <c r="BF349" s="323"/>
      <c r="BG349" s="323"/>
      <c r="BH349" s="323"/>
      <c r="BI349" s="323"/>
      <c r="BJ349" s="323"/>
      <c r="BK349" s="323"/>
      <c r="BL349" s="323"/>
      <c r="BM349" s="323"/>
      <c r="BN349" s="323"/>
      <c r="BO349" s="323"/>
      <c r="BP349" s="323"/>
      <c r="BQ349" s="323"/>
      <c r="BR349" s="323"/>
      <c r="BS349" s="323"/>
      <c r="BT349" s="323"/>
      <c r="BU349" s="323"/>
      <c r="BV349" s="323"/>
      <c r="BW349" s="323"/>
      <c r="BX349" s="323"/>
      <c r="BY349" s="323"/>
    </row>
    <row r="350" spans="1:77" s="113" customFormat="1" ht="12.75" x14ac:dyDescent="0.2">
      <c r="A350" s="303"/>
      <c r="B350" s="130"/>
      <c r="C350" s="130"/>
      <c r="D350" s="115"/>
      <c r="E350" s="115"/>
      <c r="F350" s="115"/>
      <c r="H350" s="114"/>
      <c r="I350" s="114"/>
      <c r="S350" s="331"/>
      <c r="T350" s="114"/>
      <c r="AS350" s="323"/>
      <c r="AT350" s="323"/>
      <c r="AU350" s="323"/>
      <c r="AV350" s="323"/>
      <c r="AW350" s="323"/>
      <c r="AX350" s="323"/>
      <c r="AY350" s="323"/>
      <c r="AZ350" s="323"/>
      <c r="BA350" s="323"/>
      <c r="BB350" s="323"/>
      <c r="BC350" s="323"/>
      <c r="BD350" s="323"/>
      <c r="BE350" s="323"/>
      <c r="BF350" s="323"/>
      <c r="BG350" s="323"/>
      <c r="BH350" s="323"/>
      <c r="BI350" s="323"/>
      <c r="BJ350" s="323"/>
      <c r="BK350" s="323"/>
      <c r="BL350" s="323"/>
      <c r="BM350" s="323"/>
      <c r="BN350" s="323"/>
      <c r="BO350" s="323"/>
      <c r="BP350" s="323"/>
      <c r="BQ350" s="323"/>
      <c r="BR350" s="323"/>
      <c r="BS350" s="323"/>
      <c r="BT350" s="323"/>
      <c r="BU350" s="323"/>
      <c r="BV350" s="323"/>
      <c r="BW350" s="323"/>
      <c r="BX350" s="323"/>
      <c r="BY350" s="323"/>
    </row>
    <row r="351" spans="1:77" s="113" customFormat="1" ht="12.75" x14ac:dyDescent="0.2">
      <c r="A351" s="303"/>
      <c r="B351" s="130"/>
      <c r="C351" s="130"/>
      <c r="D351" s="115"/>
      <c r="E351" s="115"/>
      <c r="F351" s="115"/>
      <c r="H351" s="114"/>
      <c r="I351" s="114"/>
      <c r="S351" s="331"/>
      <c r="T351" s="114"/>
      <c r="AS351" s="323"/>
      <c r="AT351" s="323"/>
      <c r="AU351" s="323"/>
      <c r="AV351" s="323"/>
      <c r="AW351" s="323"/>
      <c r="AX351" s="323"/>
      <c r="AY351" s="323"/>
      <c r="AZ351" s="323"/>
      <c r="BA351" s="323"/>
      <c r="BB351" s="323"/>
      <c r="BC351" s="323"/>
      <c r="BD351" s="323"/>
      <c r="BE351" s="323"/>
      <c r="BF351" s="323"/>
      <c r="BG351" s="323"/>
      <c r="BH351" s="323"/>
      <c r="BI351" s="323"/>
      <c r="BJ351" s="323"/>
      <c r="BK351" s="323"/>
      <c r="BL351" s="323"/>
      <c r="BM351" s="323"/>
      <c r="BN351" s="323"/>
      <c r="BO351" s="323"/>
      <c r="BP351" s="323"/>
      <c r="BQ351" s="323"/>
      <c r="BR351" s="323"/>
      <c r="BS351" s="323"/>
      <c r="BT351" s="323"/>
      <c r="BU351" s="323"/>
      <c r="BV351" s="323"/>
      <c r="BW351" s="323"/>
      <c r="BX351" s="323"/>
      <c r="BY351" s="323"/>
    </row>
    <row r="352" spans="1:77" s="113" customFormat="1" ht="12.75" x14ac:dyDescent="0.2">
      <c r="A352" s="303"/>
      <c r="B352" s="130"/>
      <c r="C352" s="130"/>
      <c r="D352" s="115"/>
      <c r="E352" s="115"/>
      <c r="F352" s="115"/>
      <c r="H352" s="114"/>
      <c r="I352" s="114"/>
      <c r="S352" s="331"/>
      <c r="T352" s="114"/>
      <c r="AS352" s="323"/>
      <c r="AT352" s="323"/>
      <c r="AU352" s="323"/>
      <c r="AV352" s="323"/>
      <c r="AW352" s="323"/>
      <c r="AX352" s="323"/>
      <c r="AY352" s="323"/>
      <c r="AZ352" s="323"/>
      <c r="BA352" s="323"/>
      <c r="BB352" s="323"/>
      <c r="BC352" s="323"/>
      <c r="BD352" s="323"/>
      <c r="BE352" s="323"/>
      <c r="BF352" s="323"/>
      <c r="BG352" s="323"/>
      <c r="BH352" s="323"/>
      <c r="BI352" s="323"/>
      <c r="BJ352" s="323"/>
      <c r="BK352" s="323"/>
      <c r="BL352" s="323"/>
      <c r="BM352" s="323"/>
      <c r="BN352" s="323"/>
      <c r="BO352" s="323"/>
      <c r="BP352" s="323"/>
      <c r="BQ352" s="323"/>
      <c r="BR352" s="323"/>
      <c r="BS352" s="323"/>
      <c r="BT352" s="323"/>
      <c r="BU352" s="323"/>
      <c r="BV352" s="323"/>
      <c r="BW352" s="323"/>
      <c r="BX352" s="323"/>
      <c r="BY352" s="323"/>
    </row>
    <row r="353" spans="1:77" s="113" customFormat="1" ht="12.75" x14ac:dyDescent="0.2">
      <c r="A353" s="303"/>
      <c r="B353" s="130"/>
      <c r="C353" s="130"/>
      <c r="D353" s="115"/>
      <c r="E353" s="115"/>
      <c r="F353" s="115"/>
      <c r="H353" s="114"/>
      <c r="I353" s="114"/>
      <c r="S353" s="331"/>
      <c r="T353" s="114"/>
      <c r="AS353" s="323"/>
      <c r="AT353" s="323"/>
      <c r="AU353" s="323"/>
      <c r="AV353" s="323"/>
      <c r="AW353" s="323"/>
      <c r="AX353" s="323"/>
      <c r="AY353" s="323"/>
      <c r="AZ353" s="323"/>
      <c r="BA353" s="323"/>
      <c r="BB353" s="323"/>
      <c r="BC353" s="323"/>
      <c r="BD353" s="323"/>
      <c r="BE353" s="323"/>
      <c r="BF353" s="323"/>
      <c r="BG353" s="323"/>
      <c r="BH353" s="323"/>
      <c r="BI353" s="323"/>
      <c r="BJ353" s="323"/>
      <c r="BK353" s="323"/>
      <c r="BL353" s="323"/>
      <c r="BM353" s="323"/>
      <c r="BN353" s="323"/>
      <c r="BO353" s="323"/>
      <c r="BP353" s="323"/>
      <c r="BQ353" s="323"/>
      <c r="BR353" s="323"/>
      <c r="BS353" s="323"/>
      <c r="BT353" s="323"/>
      <c r="BU353" s="323"/>
      <c r="BV353" s="323"/>
      <c r="BW353" s="323"/>
      <c r="BX353" s="323"/>
      <c r="BY353" s="323"/>
    </row>
    <row r="354" spans="1:77" s="113" customFormat="1" ht="12.75" x14ac:dyDescent="0.2">
      <c r="A354" s="303"/>
      <c r="B354" s="130"/>
      <c r="C354" s="130"/>
      <c r="D354" s="115"/>
      <c r="E354" s="115"/>
      <c r="F354" s="115"/>
      <c r="H354" s="114"/>
      <c r="I354" s="114"/>
      <c r="S354" s="331"/>
      <c r="T354" s="114"/>
      <c r="AS354" s="323"/>
      <c r="AT354" s="323"/>
      <c r="AU354" s="323"/>
      <c r="AV354" s="323"/>
      <c r="AW354" s="323"/>
      <c r="AX354" s="323"/>
      <c r="AY354" s="323"/>
      <c r="AZ354" s="323"/>
      <c r="BA354" s="323"/>
      <c r="BB354" s="323"/>
      <c r="BC354" s="323"/>
      <c r="BD354" s="323"/>
      <c r="BE354" s="323"/>
      <c r="BF354" s="323"/>
      <c r="BG354" s="323"/>
      <c r="BH354" s="323"/>
      <c r="BI354" s="323"/>
      <c r="BJ354" s="323"/>
      <c r="BK354" s="323"/>
      <c r="BL354" s="323"/>
      <c r="BM354" s="323"/>
      <c r="BN354" s="323"/>
      <c r="BO354" s="323"/>
      <c r="BP354" s="323"/>
      <c r="BQ354" s="323"/>
      <c r="BR354" s="323"/>
      <c r="BS354" s="323"/>
      <c r="BT354" s="323"/>
      <c r="BU354" s="323"/>
      <c r="BV354" s="323"/>
      <c r="BW354" s="323"/>
      <c r="BX354" s="323"/>
      <c r="BY354" s="323"/>
    </row>
    <row r="355" spans="1:77" s="113" customFormat="1" ht="12.75" x14ac:dyDescent="0.2">
      <c r="A355" s="303"/>
      <c r="B355" s="130"/>
      <c r="C355" s="130"/>
      <c r="D355" s="115"/>
      <c r="E355" s="115"/>
      <c r="F355" s="115"/>
      <c r="H355" s="114"/>
      <c r="I355" s="114"/>
      <c r="S355" s="331"/>
      <c r="T355" s="114"/>
      <c r="AS355" s="323"/>
      <c r="AT355" s="323"/>
      <c r="AU355" s="323"/>
      <c r="AV355" s="323"/>
      <c r="AW355" s="323"/>
      <c r="AX355" s="323"/>
      <c r="AY355" s="323"/>
      <c r="AZ355" s="323"/>
      <c r="BA355" s="323"/>
      <c r="BB355" s="323"/>
      <c r="BC355" s="323"/>
      <c r="BD355" s="323"/>
      <c r="BE355" s="323"/>
      <c r="BF355" s="323"/>
      <c r="BG355" s="323"/>
      <c r="BH355" s="323"/>
      <c r="BI355" s="323"/>
      <c r="BJ355" s="323"/>
      <c r="BK355" s="323"/>
      <c r="BL355" s="323"/>
      <c r="BM355" s="323"/>
      <c r="BN355" s="323"/>
      <c r="BO355" s="323"/>
      <c r="BP355" s="323"/>
      <c r="BQ355" s="323"/>
      <c r="BR355" s="323"/>
      <c r="BS355" s="323"/>
      <c r="BT355" s="323"/>
      <c r="BU355" s="323"/>
      <c r="BV355" s="323"/>
      <c r="BW355" s="323"/>
      <c r="BX355" s="323"/>
      <c r="BY355" s="323"/>
    </row>
    <row r="356" spans="1:77" s="113" customFormat="1" ht="12.75" x14ac:dyDescent="0.2">
      <c r="A356" s="303"/>
      <c r="B356" s="130"/>
      <c r="C356" s="130"/>
      <c r="D356" s="115"/>
      <c r="E356" s="115"/>
      <c r="F356" s="115"/>
      <c r="H356" s="114"/>
      <c r="I356" s="114"/>
      <c r="S356" s="331"/>
      <c r="T356" s="114"/>
      <c r="AS356" s="323"/>
      <c r="AT356" s="323"/>
      <c r="AU356" s="323"/>
      <c r="AV356" s="323"/>
      <c r="AW356" s="323"/>
      <c r="AX356" s="323"/>
      <c r="AY356" s="323"/>
      <c r="AZ356" s="323"/>
      <c r="BA356" s="323"/>
      <c r="BB356" s="323"/>
      <c r="BC356" s="323"/>
      <c r="BD356" s="323"/>
      <c r="BE356" s="323"/>
      <c r="BF356" s="323"/>
      <c r="BG356" s="323"/>
      <c r="BH356" s="323"/>
      <c r="BI356" s="323"/>
      <c r="BJ356" s="323"/>
      <c r="BK356" s="323"/>
      <c r="BL356" s="323"/>
      <c r="BM356" s="323"/>
      <c r="BN356" s="323"/>
      <c r="BO356" s="323"/>
      <c r="BP356" s="323"/>
      <c r="BQ356" s="323"/>
      <c r="BR356" s="323"/>
      <c r="BS356" s="323"/>
      <c r="BT356" s="323"/>
      <c r="BU356" s="323"/>
      <c r="BV356" s="323"/>
      <c r="BW356" s="323"/>
      <c r="BX356" s="323"/>
      <c r="BY356" s="323"/>
    </row>
    <row r="357" spans="1:77" s="113" customFormat="1" ht="12.75" x14ac:dyDescent="0.2">
      <c r="A357" s="303"/>
      <c r="B357" s="130"/>
      <c r="C357" s="130"/>
      <c r="D357" s="115"/>
      <c r="E357" s="115"/>
      <c r="F357" s="115"/>
      <c r="H357" s="114"/>
      <c r="I357" s="114"/>
      <c r="S357" s="331"/>
      <c r="T357" s="114"/>
      <c r="AS357" s="323"/>
      <c r="AT357" s="323"/>
      <c r="AU357" s="323"/>
      <c r="AV357" s="323"/>
      <c r="AW357" s="323"/>
      <c r="AX357" s="323"/>
      <c r="AY357" s="323"/>
      <c r="AZ357" s="323"/>
      <c r="BA357" s="323"/>
      <c r="BB357" s="323"/>
      <c r="BC357" s="323"/>
      <c r="BD357" s="323"/>
      <c r="BE357" s="323"/>
      <c r="BF357" s="323"/>
      <c r="BG357" s="323"/>
      <c r="BH357" s="323"/>
      <c r="BI357" s="323"/>
      <c r="BJ357" s="323"/>
      <c r="BK357" s="323"/>
      <c r="BL357" s="323"/>
      <c r="BM357" s="323"/>
      <c r="BN357" s="323"/>
      <c r="BO357" s="323"/>
      <c r="BP357" s="323"/>
      <c r="BQ357" s="323"/>
      <c r="BR357" s="323"/>
      <c r="BS357" s="323"/>
      <c r="BT357" s="323"/>
      <c r="BU357" s="323"/>
      <c r="BV357" s="323"/>
      <c r="BW357" s="323"/>
      <c r="BX357" s="323"/>
      <c r="BY357" s="323"/>
    </row>
    <row r="358" spans="1:77" s="113" customFormat="1" ht="12.75" x14ac:dyDescent="0.2">
      <c r="A358" s="303"/>
      <c r="B358" s="130"/>
      <c r="C358" s="130"/>
      <c r="D358" s="115"/>
      <c r="E358" s="115"/>
      <c r="F358" s="115"/>
      <c r="H358" s="114"/>
      <c r="I358" s="114"/>
      <c r="S358" s="331"/>
      <c r="T358" s="114"/>
      <c r="AS358" s="323"/>
      <c r="AT358" s="323"/>
      <c r="AU358" s="323"/>
      <c r="AV358" s="323"/>
      <c r="AW358" s="323"/>
      <c r="AX358" s="323"/>
      <c r="AY358" s="323"/>
      <c r="AZ358" s="323"/>
      <c r="BA358" s="323"/>
      <c r="BB358" s="323"/>
      <c r="BC358" s="323"/>
      <c r="BD358" s="323"/>
      <c r="BE358" s="323"/>
      <c r="BF358" s="323"/>
      <c r="BG358" s="323"/>
      <c r="BH358" s="323"/>
      <c r="BI358" s="323"/>
      <c r="BJ358" s="323"/>
      <c r="BK358" s="323"/>
      <c r="BL358" s="323"/>
      <c r="BM358" s="323"/>
      <c r="BN358" s="323"/>
      <c r="BO358" s="323"/>
      <c r="BP358" s="323"/>
      <c r="BQ358" s="323"/>
      <c r="BR358" s="323"/>
      <c r="BS358" s="323"/>
      <c r="BT358" s="323"/>
      <c r="BU358" s="323"/>
      <c r="BV358" s="323"/>
      <c r="BW358" s="323"/>
      <c r="BX358" s="323"/>
      <c r="BY358" s="323"/>
    </row>
    <row r="359" spans="1:77" s="113" customFormat="1" ht="12.75" x14ac:dyDescent="0.2">
      <c r="A359" s="303"/>
      <c r="B359" s="130"/>
      <c r="C359" s="130"/>
      <c r="D359" s="115"/>
      <c r="E359" s="115"/>
      <c r="F359" s="115"/>
      <c r="H359" s="114"/>
      <c r="I359" s="114"/>
      <c r="S359" s="331"/>
      <c r="T359" s="114"/>
      <c r="AS359" s="323"/>
      <c r="AT359" s="323"/>
      <c r="AU359" s="323"/>
      <c r="AV359" s="323"/>
      <c r="AW359" s="323"/>
      <c r="AX359" s="323"/>
      <c r="AY359" s="323"/>
      <c r="AZ359" s="323"/>
      <c r="BA359" s="323"/>
      <c r="BB359" s="323"/>
      <c r="BC359" s="323"/>
      <c r="BD359" s="323"/>
      <c r="BE359" s="323"/>
      <c r="BF359" s="323"/>
      <c r="BG359" s="323"/>
      <c r="BH359" s="323"/>
      <c r="BI359" s="323"/>
      <c r="BJ359" s="323"/>
      <c r="BK359" s="323"/>
      <c r="BL359" s="323"/>
      <c r="BM359" s="323"/>
      <c r="BN359" s="323"/>
      <c r="BO359" s="323"/>
      <c r="BP359" s="323"/>
      <c r="BQ359" s="323"/>
      <c r="BR359" s="323"/>
      <c r="BS359" s="323"/>
      <c r="BT359" s="323"/>
      <c r="BU359" s="323"/>
      <c r="BV359" s="323"/>
      <c r="BW359" s="323"/>
      <c r="BX359" s="323"/>
      <c r="BY359" s="323"/>
    </row>
    <row r="360" spans="1:77" s="113" customFormat="1" ht="12.75" x14ac:dyDescent="0.2">
      <c r="A360" s="303"/>
      <c r="B360" s="130"/>
      <c r="C360" s="130"/>
      <c r="D360" s="115"/>
      <c r="E360" s="115"/>
      <c r="F360" s="115"/>
      <c r="H360" s="114"/>
      <c r="I360" s="114"/>
      <c r="S360" s="331"/>
      <c r="T360" s="114"/>
      <c r="AS360" s="323"/>
      <c r="AT360" s="323"/>
      <c r="AU360" s="323"/>
      <c r="AV360" s="323"/>
      <c r="AW360" s="323"/>
      <c r="AX360" s="323"/>
      <c r="AY360" s="323"/>
      <c r="AZ360" s="323"/>
      <c r="BA360" s="323"/>
      <c r="BB360" s="323"/>
      <c r="BC360" s="323"/>
      <c r="BD360" s="323"/>
      <c r="BE360" s="323"/>
      <c r="BF360" s="323"/>
      <c r="BG360" s="323"/>
      <c r="BH360" s="323"/>
      <c r="BI360" s="323"/>
      <c r="BJ360" s="323"/>
      <c r="BK360" s="323"/>
      <c r="BL360" s="323"/>
      <c r="BM360" s="323"/>
      <c r="BN360" s="323"/>
      <c r="BO360" s="323"/>
      <c r="BP360" s="323"/>
      <c r="BQ360" s="323"/>
      <c r="BR360" s="323"/>
      <c r="BS360" s="323"/>
      <c r="BT360" s="323"/>
      <c r="BU360" s="323"/>
      <c r="BV360" s="323"/>
      <c r="BW360" s="323"/>
      <c r="BX360" s="323"/>
      <c r="BY360" s="323"/>
    </row>
    <row r="361" spans="1:77" s="113" customFormat="1" ht="12.75" x14ac:dyDescent="0.2">
      <c r="A361" s="303"/>
      <c r="B361" s="130"/>
      <c r="C361" s="130"/>
      <c r="D361" s="115"/>
      <c r="E361" s="115"/>
      <c r="F361" s="115"/>
      <c r="H361" s="114"/>
      <c r="I361" s="114"/>
      <c r="S361" s="331"/>
      <c r="T361" s="114"/>
      <c r="AS361" s="323"/>
      <c r="AT361" s="323"/>
      <c r="AU361" s="323"/>
      <c r="AV361" s="323"/>
      <c r="AW361" s="323"/>
      <c r="AX361" s="323"/>
      <c r="AY361" s="323"/>
      <c r="AZ361" s="323"/>
      <c r="BA361" s="323"/>
      <c r="BB361" s="323"/>
      <c r="BC361" s="323"/>
      <c r="BD361" s="323"/>
      <c r="BE361" s="323"/>
      <c r="BF361" s="323"/>
      <c r="BG361" s="323"/>
      <c r="BH361" s="323"/>
      <c r="BI361" s="323"/>
      <c r="BJ361" s="323"/>
      <c r="BK361" s="323"/>
      <c r="BL361" s="323"/>
      <c r="BM361" s="323"/>
      <c r="BN361" s="323"/>
      <c r="BO361" s="323"/>
      <c r="BP361" s="323"/>
      <c r="BQ361" s="323"/>
      <c r="BR361" s="323"/>
      <c r="BS361" s="323"/>
      <c r="BT361" s="323"/>
      <c r="BU361" s="323"/>
      <c r="BV361" s="323"/>
      <c r="BW361" s="323"/>
      <c r="BX361" s="323"/>
      <c r="BY361" s="323"/>
    </row>
    <row r="362" spans="1:77" s="113" customFormat="1" ht="12.75" x14ac:dyDescent="0.2">
      <c r="A362" s="303"/>
      <c r="B362" s="130"/>
      <c r="C362" s="130"/>
      <c r="D362" s="115"/>
      <c r="E362" s="115"/>
      <c r="F362" s="115"/>
      <c r="H362" s="114"/>
      <c r="I362" s="114"/>
      <c r="S362" s="331"/>
      <c r="T362" s="114"/>
      <c r="AS362" s="323"/>
      <c r="AT362" s="323"/>
      <c r="AU362" s="323"/>
      <c r="AV362" s="323"/>
      <c r="AW362" s="323"/>
      <c r="AX362" s="323"/>
      <c r="AY362" s="323"/>
      <c r="AZ362" s="323"/>
      <c r="BA362" s="323"/>
      <c r="BB362" s="323"/>
      <c r="BC362" s="323"/>
      <c r="BD362" s="323"/>
      <c r="BE362" s="323"/>
      <c r="BF362" s="323"/>
      <c r="BG362" s="323"/>
      <c r="BH362" s="323"/>
      <c r="BI362" s="323"/>
      <c r="BJ362" s="323"/>
      <c r="BK362" s="323"/>
      <c r="BL362" s="323"/>
      <c r="BM362" s="323"/>
      <c r="BN362" s="323"/>
      <c r="BO362" s="323"/>
      <c r="BP362" s="323"/>
      <c r="BQ362" s="323"/>
      <c r="BR362" s="323"/>
      <c r="BS362" s="323"/>
      <c r="BT362" s="323"/>
      <c r="BU362" s="323"/>
      <c r="BV362" s="323"/>
      <c r="BW362" s="323"/>
      <c r="BX362" s="323"/>
      <c r="BY362" s="323"/>
    </row>
    <row r="363" spans="1:77" s="113" customFormat="1" ht="12.75" x14ac:dyDescent="0.2">
      <c r="A363" s="303"/>
      <c r="B363" s="130"/>
      <c r="C363" s="130"/>
      <c r="D363" s="115"/>
      <c r="E363" s="115"/>
      <c r="F363" s="115"/>
      <c r="H363" s="114"/>
      <c r="I363" s="114"/>
      <c r="S363" s="331"/>
      <c r="T363" s="114"/>
      <c r="AS363" s="323"/>
      <c r="AT363" s="323"/>
      <c r="AU363" s="323"/>
      <c r="AV363" s="323"/>
      <c r="AW363" s="323"/>
      <c r="AX363" s="323"/>
      <c r="AY363" s="323"/>
      <c r="AZ363" s="323"/>
      <c r="BA363" s="323"/>
      <c r="BB363" s="323"/>
      <c r="BC363" s="323"/>
      <c r="BD363" s="323"/>
      <c r="BE363" s="323"/>
      <c r="BF363" s="323"/>
      <c r="BG363" s="323"/>
      <c r="BH363" s="323"/>
      <c r="BI363" s="323"/>
      <c r="BJ363" s="323"/>
      <c r="BK363" s="323"/>
      <c r="BL363" s="323"/>
      <c r="BM363" s="323"/>
      <c r="BN363" s="323"/>
      <c r="BO363" s="323"/>
      <c r="BP363" s="323"/>
      <c r="BQ363" s="323"/>
      <c r="BR363" s="323"/>
      <c r="BS363" s="323"/>
      <c r="BT363" s="323"/>
      <c r="BU363" s="323"/>
      <c r="BV363" s="323"/>
      <c r="BW363" s="323"/>
      <c r="BX363" s="323"/>
      <c r="BY363" s="323"/>
    </row>
    <row r="364" spans="1:77" s="113" customFormat="1" ht="12.75" x14ac:dyDescent="0.2">
      <c r="A364" s="303"/>
      <c r="B364" s="130"/>
      <c r="C364" s="130"/>
      <c r="D364" s="115"/>
      <c r="E364" s="115"/>
      <c r="F364" s="115"/>
      <c r="H364" s="114"/>
      <c r="I364" s="114"/>
      <c r="S364" s="331"/>
      <c r="T364" s="114"/>
      <c r="AS364" s="323"/>
      <c r="AT364" s="323"/>
      <c r="AU364" s="323"/>
      <c r="AV364" s="323"/>
      <c r="AW364" s="323"/>
      <c r="AX364" s="323"/>
      <c r="AY364" s="323"/>
      <c r="AZ364" s="323"/>
      <c r="BA364" s="323"/>
      <c r="BB364" s="323"/>
      <c r="BC364" s="323"/>
      <c r="BD364" s="323"/>
      <c r="BE364" s="323"/>
      <c r="BF364" s="323"/>
      <c r="BG364" s="323"/>
      <c r="BH364" s="323"/>
      <c r="BI364" s="323"/>
      <c r="BJ364" s="323"/>
      <c r="BK364" s="323"/>
      <c r="BL364" s="323"/>
      <c r="BM364" s="323"/>
      <c r="BN364" s="323"/>
      <c r="BO364" s="323"/>
      <c r="BP364" s="323"/>
      <c r="BQ364" s="323"/>
      <c r="BR364" s="323"/>
      <c r="BS364" s="323"/>
      <c r="BT364" s="323"/>
      <c r="BU364" s="323"/>
      <c r="BV364" s="323"/>
      <c r="BW364" s="323"/>
      <c r="BX364" s="323"/>
      <c r="BY364" s="323"/>
    </row>
    <row r="365" spans="1:77" s="113" customFormat="1" ht="12.75" x14ac:dyDescent="0.2">
      <c r="A365" s="303"/>
      <c r="B365" s="130"/>
      <c r="C365" s="130"/>
      <c r="D365" s="115"/>
      <c r="E365" s="115"/>
      <c r="F365" s="115"/>
      <c r="H365" s="114"/>
      <c r="I365" s="114"/>
      <c r="S365" s="331"/>
      <c r="T365" s="114"/>
      <c r="AS365" s="323"/>
      <c r="AT365" s="323"/>
      <c r="AU365" s="323"/>
      <c r="AV365" s="323"/>
      <c r="AW365" s="323"/>
      <c r="AX365" s="323"/>
      <c r="AY365" s="323"/>
      <c r="AZ365" s="323"/>
      <c r="BA365" s="323"/>
      <c r="BB365" s="323"/>
      <c r="BC365" s="323"/>
      <c r="BD365" s="323"/>
      <c r="BE365" s="323"/>
      <c r="BF365" s="323"/>
      <c r="BG365" s="323"/>
      <c r="BH365" s="323"/>
      <c r="BI365" s="323"/>
      <c r="BJ365" s="323"/>
      <c r="BK365" s="323"/>
      <c r="BL365" s="323"/>
      <c r="BM365" s="323"/>
      <c r="BN365" s="323"/>
      <c r="BO365" s="323"/>
      <c r="BP365" s="323"/>
      <c r="BQ365" s="323"/>
      <c r="BR365" s="323"/>
      <c r="BS365" s="323"/>
      <c r="BT365" s="323"/>
      <c r="BU365" s="323"/>
      <c r="BV365" s="323"/>
      <c r="BW365" s="323"/>
      <c r="BX365" s="323"/>
      <c r="BY365" s="323"/>
    </row>
    <row r="366" spans="1:77" s="113" customFormat="1" ht="12.75" x14ac:dyDescent="0.2">
      <c r="A366" s="303"/>
      <c r="B366" s="130"/>
      <c r="C366" s="130"/>
      <c r="D366" s="115"/>
      <c r="E366" s="115"/>
      <c r="F366" s="115"/>
      <c r="H366" s="114"/>
      <c r="I366" s="114"/>
      <c r="S366" s="331"/>
      <c r="T366" s="114"/>
      <c r="AS366" s="323"/>
      <c r="AT366" s="323"/>
      <c r="AU366" s="323"/>
      <c r="AV366" s="323"/>
      <c r="AW366" s="323"/>
      <c r="AX366" s="323"/>
      <c r="AY366" s="323"/>
      <c r="AZ366" s="323"/>
      <c r="BA366" s="323"/>
      <c r="BB366" s="323"/>
      <c r="BC366" s="323"/>
      <c r="BD366" s="323"/>
      <c r="BE366" s="323"/>
      <c r="BF366" s="323"/>
      <c r="BG366" s="323"/>
      <c r="BH366" s="323"/>
      <c r="BI366" s="323"/>
      <c r="BJ366" s="323"/>
      <c r="BK366" s="323"/>
      <c r="BL366" s="323"/>
      <c r="BM366" s="323"/>
      <c r="BN366" s="323"/>
      <c r="BO366" s="323"/>
      <c r="BP366" s="323"/>
      <c r="BQ366" s="323"/>
      <c r="BR366" s="323"/>
      <c r="BS366" s="323"/>
      <c r="BT366" s="323"/>
      <c r="BU366" s="323"/>
      <c r="BV366" s="323"/>
      <c r="BW366" s="323"/>
      <c r="BX366" s="323"/>
      <c r="BY366" s="323"/>
    </row>
    <row r="367" spans="1:77" s="113" customFormat="1" ht="12.75" x14ac:dyDescent="0.2">
      <c r="A367" s="303"/>
      <c r="B367" s="130"/>
      <c r="C367" s="130"/>
      <c r="D367" s="115"/>
      <c r="E367" s="115"/>
      <c r="F367" s="115"/>
      <c r="H367" s="114"/>
      <c r="I367" s="114"/>
      <c r="S367" s="331"/>
      <c r="T367" s="114"/>
      <c r="AS367" s="323"/>
      <c r="AT367" s="323"/>
      <c r="AU367" s="323"/>
      <c r="AV367" s="323"/>
      <c r="AW367" s="323"/>
      <c r="AX367" s="323"/>
      <c r="AY367" s="323"/>
      <c r="AZ367" s="323"/>
      <c r="BA367" s="323"/>
      <c r="BB367" s="323"/>
      <c r="BC367" s="323"/>
      <c r="BD367" s="323"/>
      <c r="BE367" s="323"/>
      <c r="BF367" s="323"/>
      <c r="BG367" s="323"/>
      <c r="BH367" s="323"/>
      <c r="BI367" s="323"/>
      <c r="BJ367" s="323"/>
      <c r="BK367" s="323"/>
      <c r="BL367" s="323"/>
      <c r="BM367" s="323"/>
      <c r="BN367" s="323"/>
      <c r="BO367" s="323"/>
      <c r="BP367" s="323"/>
      <c r="BQ367" s="323"/>
      <c r="BR367" s="323"/>
      <c r="BS367" s="323"/>
      <c r="BT367" s="323"/>
      <c r="BU367" s="323"/>
      <c r="BV367" s="323"/>
      <c r="BW367" s="323"/>
      <c r="BX367" s="323"/>
      <c r="BY367" s="323"/>
    </row>
    <row r="368" spans="1:77" s="113" customFormat="1" ht="12.75" x14ac:dyDescent="0.2">
      <c r="A368" s="303"/>
      <c r="B368" s="130"/>
      <c r="C368" s="130"/>
      <c r="D368" s="115"/>
      <c r="E368" s="115"/>
      <c r="F368" s="115"/>
      <c r="H368" s="114"/>
      <c r="I368" s="114"/>
      <c r="S368" s="331"/>
      <c r="T368" s="114"/>
      <c r="AS368" s="323"/>
      <c r="AT368" s="323"/>
      <c r="AU368" s="323"/>
      <c r="AV368" s="323"/>
      <c r="AW368" s="323"/>
      <c r="AX368" s="323"/>
      <c r="AY368" s="323"/>
      <c r="AZ368" s="323"/>
      <c r="BA368" s="323"/>
      <c r="BB368" s="323"/>
      <c r="BC368" s="323"/>
      <c r="BD368" s="323"/>
      <c r="BE368" s="323"/>
      <c r="BF368" s="323"/>
      <c r="BG368" s="323"/>
      <c r="BH368" s="323"/>
      <c r="BI368" s="323"/>
      <c r="BJ368" s="323"/>
      <c r="BK368" s="323"/>
      <c r="BL368" s="323"/>
      <c r="BM368" s="323"/>
      <c r="BN368" s="323"/>
      <c r="BO368" s="323"/>
      <c r="BP368" s="323"/>
      <c r="BQ368" s="323"/>
      <c r="BR368" s="323"/>
      <c r="BS368" s="323"/>
      <c r="BT368" s="323"/>
      <c r="BU368" s="323"/>
      <c r="BV368" s="323"/>
      <c r="BW368" s="323"/>
      <c r="BX368" s="323"/>
      <c r="BY368" s="323"/>
    </row>
    <row r="369" spans="1:77" s="113" customFormat="1" ht="12.75" x14ac:dyDescent="0.2">
      <c r="A369" s="303"/>
      <c r="B369" s="130"/>
      <c r="C369" s="130"/>
      <c r="D369" s="115"/>
      <c r="E369" s="115"/>
      <c r="F369" s="115"/>
      <c r="H369" s="114"/>
      <c r="I369" s="114"/>
      <c r="S369" s="331"/>
      <c r="T369" s="114"/>
      <c r="AS369" s="323"/>
      <c r="AT369" s="323"/>
      <c r="AU369" s="323"/>
      <c r="AV369" s="323"/>
      <c r="AW369" s="323"/>
      <c r="AX369" s="323"/>
      <c r="AY369" s="323"/>
      <c r="AZ369" s="323"/>
      <c r="BA369" s="323"/>
      <c r="BB369" s="323"/>
      <c r="BC369" s="323"/>
      <c r="BD369" s="323"/>
      <c r="BE369" s="323"/>
      <c r="BF369" s="323"/>
      <c r="BG369" s="323"/>
      <c r="BH369" s="323"/>
      <c r="BI369" s="323"/>
      <c r="BJ369" s="323"/>
      <c r="BK369" s="323"/>
      <c r="BL369" s="323"/>
      <c r="BM369" s="323"/>
      <c r="BN369" s="323"/>
      <c r="BO369" s="323"/>
      <c r="BP369" s="323"/>
      <c r="BQ369" s="323"/>
      <c r="BR369" s="323"/>
      <c r="BS369" s="323"/>
      <c r="BT369" s="323"/>
      <c r="BU369" s="323"/>
      <c r="BV369" s="323"/>
      <c r="BW369" s="323"/>
      <c r="BX369" s="323"/>
      <c r="BY369" s="323"/>
    </row>
    <row r="370" spans="1:77" s="113" customFormat="1" ht="12.75" x14ac:dyDescent="0.2">
      <c r="A370" s="303"/>
      <c r="B370" s="130"/>
      <c r="C370" s="130"/>
      <c r="D370" s="115"/>
      <c r="E370" s="115"/>
      <c r="F370" s="115"/>
      <c r="H370" s="114"/>
      <c r="I370" s="114"/>
      <c r="S370" s="331"/>
      <c r="T370" s="114"/>
      <c r="AS370" s="323"/>
      <c r="AT370" s="323"/>
      <c r="AU370" s="323"/>
      <c r="AV370" s="323"/>
      <c r="AW370" s="323"/>
      <c r="AX370" s="323"/>
      <c r="AY370" s="323"/>
      <c r="AZ370" s="323"/>
      <c r="BA370" s="323"/>
      <c r="BB370" s="323"/>
      <c r="BC370" s="323"/>
      <c r="BD370" s="323"/>
      <c r="BE370" s="323"/>
      <c r="BF370" s="323"/>
      <c r="BG370" s="323"/>
      <c r="BH370" s="323"/>
      <c r="BI370" s="323"/>
      <c r="BJ370" s="323"/>
      <c r="BK370" s="323"/>
      <c r="BL370" s="323"/>
      <c r="BM370" s="323"/>
      <c r="BN370" s="323"/>
      <c r="BO370" s="323"/>
      <c r="BP370" s="323"/>
      <c r="BQ370" s="323"/>
      <c r="BR370" s="323"/>
      <c r="BS370" s="323"/>
      <c r="BT370" s="323"/>
      <c r="BU370" s="323"/>
      <c r="BV370" s="323"/>
      <c r="BW370" s="323"/>
      <c r="BX370" s="323"/>
      <c r="BY370" s="323"/>
    </row>
    <row r="371" spans="1:77" s="113" customFormat="1" ht="12.75" x14ac:dyDescent="0.2">
      <c r="A371" s="303"/>
      <c r="B371" s="130"/>
      <c r="C371" s="130"/>
      <c r="D371" s="115"/>
      <c r="E371" s="115"/>
      <c r="F371" s="115"/>
      <c r="H371" s="114"/>
      <c r="I371" s="114"/>
      <c r="S371" s="331"/>
      <c r="T371" s="114"/>
      <c r="AS371" s="323"/>
      <c r="AT371" s="323"/>
      <c r="AU371" s="323"/>
      <c r="AV371" s="323"/>
      <c r="AW371" s="323"/>
      <c r="AX371" s="323"/>
      <c r="AY371" s="323"/>
      <c r="AZ371" s="323"/>
      <c r="BA371" s="323"/>
      <c r="BB371" s="323"/>
      <c r="BC371" s="323"/>
      <c r="BD371" s="323"/>
      <c r="BE371" s="323"/>
      <c r="BF371" s="323"/>
      <c r="BG371" s="323"/>
      <c r="BH371" s="323"/>
      <c r="BI371" s="323"/>
      <c r="BJ371" s="323"/>
      <c r="BK371" s="323"/>
      <c r="BL371" s="323"/>
      <c r="BM371" s="323"/>
      <c r="BN371" s="323"/>
      <c r="BO371" s="323"/>
      <c r="BP371" s="323"/>
      <c r="BQ371" s="323"/>
      <c r="BR371" s="323"/>
      <c r="BS371" s="323"/>
      <c r="BT371" s="323"/>
      <c r="BU371" s="323"/>
      <c r="BV371" s="323"/>
      <c r="BW371" s="323"/>
      <c r="BX371" s="323"/>
      <c r="BY371" s="323"/>
    </row>
    <row r="372" spans="1:77" s="113" customFormat="1" ht="12.75" x14ac:dyDescent="0.2">
      <c r="A372" s="303"/>
      <c r="B372" s="130"/>
      <c r="C372" s="130"/>
      <c r="D372" s="115"/>
      <c r="E372" s="115"/>
      <c r="F372" s="115"/>
      <c r="H372" s="114"/>
      <c r="I372" s="114"/>
      <c r="S372" s="331"/>
      <c r="T372" s="114"/>
      <c r="AS372" s="323"/>
      <c r="AT372" s="323"/>
      <c r="AU372" s="323"/>
      <c r="AV372" s="323"/>
      <c r="AW372" s="323"/>
      <c r="AX372" s="323"/>
      <c r="AY372" s="323"/>
      <c r="AZ372" s="323"/>
      <c r="BA372" s="323"/>
      <c r="BB372" s="323"/>
      <c r="BC372" s="323"/>
      <c r="BD372" s="323"/>
      <c r="BE372" s="323"/>
      <c r="BF372" s="323"/>
      <c r="BG372" s="323"/>
      <c r="BH372" s="323"/>
      <c r="BI372" s="323"/>
      <c r="BJ372" s="323"/>
      <c r="BK372" s="323"/>
      <c r="BL372" s="323"/>
      <c r="BM372" s="323"/>
      <c r="BN372" s="323"/>
      <c r="BO372" s="323"/>
      <c r="BP372" s="323"/>
      <c r="BQ372" s="323"/>
      <c r="BR372" s="323"/>
      <c r="BS372" s="323"/>
      <c r="BT372" s="323"/>
      <c r="BU372" s="323"/>
      <c r="BV372" s="323"/>
      <c r="BW372" s="323"/>
      <c r="BX372" s="323"/>
      <c r="BY372" s="323"/>
    </row>
    <row r="373" spans="1:77" s="113" customFormat="1" ht="12.75" x14ac:dyDescent="0.2">
      <c r="A373" s="303"/>
      <c r="B373" s="130"/>
      <c r="C373" s="130"/>
      <c r="D373" s="115"/>
      <c r="E373" s="115"/>
      <c r="F373" s="115"/>
      <c r="H373" s="114"/>
      <c r="I373" s="114"/>
      <c r="S373" s="331"/>
      <c r="T373" s="114"/>
      <c r="AS373" s="323"/>
      <c r="AT373" s="323"/>
      <c r="AU373" s="323"/>
      <c r="AV373" s="323"/>
      <c r="AW373" s="323"/>
      <c r="AX373" s="323"/>
      <c r="AY373" s="323"/>
      <c r="AZ373" s="323"/>
      <c r="BA373" s="323"/>
      <c r="BB373" s="323"/>
      <c r="BC373" s="323"/>
      <c r="BD373" s="323"/>
      <c r="BE373" s="323"/>
      <c r="BF373" s="323"/>
      <c r="BG373" s="323"/>
      <c r="BH373" s="323"/>
      <c r="BI373" s="323"/>
      <c r="BJ373" s="323"/>
      <c r="BK373" s="323"/>
      <c r="BL373" s="323"/>
      <c r="BM373" s="323"/>
      <c r="BN373" s="323"/>
      <c r="BO373" s="323"/>
      <c r="BP373" s="323"/>
      <c r="BQ373" s="323"/>
      <c r="BR373" s="323"/>
      <c r="BS373" s="323"/>
      <c r="BT373" s="323"/>
      <c r="BU373" s="323"/>
      <c r="BV373" s="323"/>
      <c r="BW373" s="323"/>
      <c r="BX373" s="323"/>
      <c r="BY373" s="323"/>
    </row>
    <row r="374" spans="1:77" s="113" customFormat="1" ht="12.75" x14ac:dyDescent="0.2">
      <c r="A374" s="303"/>
      <c r="B374" s="130"/>
      <c r="C374" s="130"/>
      <c r="D374" s="115"/>
      <c r="E374" s="115"/>
      <c r="F374" s="115"/>
      <c r="H374" s="114"/>
      <c r="I374" s="114"/>
      <c r="S374" s="331"/>
      <c r="T374" s="114"/>
      <c r="AS374" s="323"/>
      <c r="AT374" s="323"/>
      <c r="AU374" s="323"/>
      <c r="AV374" s="323"/>
      <c r="AW374" s="323"/>
      <c r="AX374" s="323"/>
      <c r="AY374" s="323"/>
      <c r="AZ374" s="323"/>
      <c r="BA374" s="323"/>
      <c r="BB374" s="323"/>
      <c r="BC374" s="323"/>
      <c r="BD374" s="323"/>
      <c r="BE374" s="323"/>
      <c r="BF374" s="323"/>
      <c r="BG374" s="323"/>
      <c r="BH374" s="323"/>
      <c r="BI374" s="323"/>
      <c r="BJ374" s="323"/>
      <c r="BK374" s="323"/>
      <c r="BL374" s="323"/>
      <c r="BM374" s="323"/>
      <c r="BN374" s="323"/>
      <c r="BO374" s="323"/>
      <c r="BP374" s="323"/>
      <c r="BQ374" s="323"/>
      <c r="BR374" s="323"/>
      <c r="BS374" s="323"/>
      <c r="BT374" s="323"/>
      <c r="BU374" s="323"/>
      <c r="BV374" s="323"/>
      <c r="BW374" s="323"/>
      <c r="BX374" s="323"/>
      <c r="BY374" s="323"/>
    </row>
    <row r="375" spans="1:77" s="113" customFormat="1" ht="12.75" x14ac:dyDescent="0.2">
      <c r="A375" s="303"/>
      <c r="B375" s="130"/>
      <c r="C375" s="130"/>
      <c r="D375" s="115"/>
      <c r="E375" s="115"/>
      <c r="F375" s="115"/>
      <c r="H375" s="114"/>
      <c r="I375" s="114"/>
      <c r="S375" s="331"/>
      <c r="T375" s="114"/>
      <c r="AS375" s="323"/>
      <c r="AT375" s="323"/>
      <c r="AU375" s="323"/>
      <c r="AV375" s="323"/>
      <c r="AW375" s="323"/>
      <c r="AX375" s="323"/>
      <c r="AY375" s="323"/>
      <c r="AZ375" s="323"/>
      <c r="BA375" s="323"/>
      <c r="BB375" s="323"/>
      <c r="BC375" s="323"/>
      <c r="BD375" s="323"/>
      <c r="BE375" s="323"/>
      <c r="BF375" s="323"/>
      <c r="BG375" s="323"/>
      <c r="BH375" s="323"/>
      <c r="BI375" s="323"/>
      <c r="BJ375" s="323"/>
      <c r="BK375" s="323"/>
      <c r="BL375" s="323"/>
      <c r="BM375" s="323"/>
      <c r="BN375" s="323"/>
      <c r="BO375" s="323"/>
      <c r="BP375" s="323"/>
      <c r="BQ375" s="323"/>
      <c r="BR375" s="323"/>
      <c r="BS375" s="323"/>
      <c r="BT375" s="323"/>
      <c r="BU375" s="323"/>
      <c r="BV375" s="323"/>
      <c r="BW375" s="323"/>
      <c r="BX375" s="323"/>
      <c r="BY375" s="323"/>
    </row>
    <row r="376" spans="1:77" s="113" customFormat="1" ht="12.75" x14ac:dyDescent="0.2">
      <c r="A376" s="303"/>
      <c r="B376" s="130"/>
      <c r="C376" s="130"/>
      <c r="D376" s="115"/>
      <c r="E376" s="115"/>
      <c r="F376" s="115"/>
      <c r="H376" s="114"/>
      <c r="I376" s="114"/>
      <c r="S376" s="331"/>
      <c r="T376" s="114"/>
      <c r="AS376" s="323"/>
      <c r="AT376" s="323"/>
      <c r="AU376" s="323"/>
      <c r="AV376" s="323"/>
      <c r="AW376" s="323"/>
      <c r="AX376" s="323"/>
      <c r="AY376" s="323"/>
      <c r="AZ376" s="323"/>
      <c r="BA376" s="323"/>
      <c r="BB376" s="323"/>
      <c r="BC376" s="323"/>
      <c r="BD376" s="323"/>
      <c r="BE376" s="323"/>
      <c r="BF376" s="323"/>
      <c r="BG376" s="323"/>
      <c r="BH376" s="323"/>
      <c r="BI376" s="323"/>
      <c r="BJ376" s="323"/>
      <c r="BK376" s="323"/>
      <c r="BL376" s="323"/>
      <c r="BM376" s="323"/>
      <c r="BN376" s="323"/>
      <c r="BO376" s="323"/>
      <c r="BP376" s="323"/>
      <c r="BQ376" s="323"/>
      <c r="BR376" s="323"/>
      <c r="BS376" s="323"/>
      <c r="BT376" s="323"/>
      <c r="BU376" s="323"/>
      <c r="BV376" s="323"/>
      <c r="BW376" s="323"/>
      <c r="BX376" s="323"/>
      <c r="BY376" s="323"/>
    </row>
    <row r="377" spans="1:77" s="113" customFormat="1" ht="12.75" x14ac:dyDescent="0.2">
      <c r="A377" s="303"/>
      <c r="B377" s="130"/>
      <c r="C377" s="130"/>
      <c r="D377" s="115"/>
      <c r="E377" s="115"/>
      <c r="F377" s="115"/>
      <c r="H377" s="114"/>
      <c r="I377" s="114"/>
      <c r="S377" s="331"/>
      <c r="T377" s="114"/>
      <c r="AS377" s="323"/>
      <c r="AT377" s="323"/>
      <c r="AU377" s="323"/>
      <c r="AV377" s="323"/>
      <c r="AW377" s="323"/>
      <c r="AX377" s="323"/>
      <c r="AY377" s="323"/>
      <c r="AZ377" s="323"/>
      <c r="BA377" s="323"/>
      <c r="BB377" s="323"/>
      <c r="BC377" s="323"/>
      <c r="BD377" s="323"/>
      <c r="BE377" s="323"/>
      <c r="BF377" s="323"/>
      <c r="BG377" s="323"/>
      <c r="BH377" s="323"/>
      <c r="BI377" s="323"/>
      <c r="BJ377" s="323"/>
      <c r="BK377" s="323"/>
      <c r="BL377" s="323"/>
      <c r="BM377" s="323"/>
      <c r="BN377" s="323"/>
      <c r="BO377" s="323"/>
      <c r="BP377" s="323"/>
      <c r="BQ377" s="323"/>
      <c r="BR377" s="323"/>
      <c r="BS377" s="323"/>
      <c r="BT377" s="323"/>
      <c r="BU377" s="323"/>
      <c r="BV377" s="323"/>
      <c r="BW377" s="323"/>
      <c r="BX377" s="323"/>
      <c r="BY377" s="323"/>
    </row>
    <row r="378" spans="1:77" s="113" customFormat="1" ht="12.75" x14ac:dyDescent="0.2">
      <c r="A378" s="303"/>
      <c r="B378" s="130"/>
      <c r="C378" s="130"/>
      <c r="D378" s="115"/>
      <c r="E378" s="115"/>
      <c r="F378" s="115"/>
      <c r="H378" s="114"/>
      <c r="I378" s="114"/>
      <c r="S378" s="331"/>
      <c r="T378" s="114"/>
      <c r="AS378" s="323"/>
      <c r="AT378" s="323"/>
      <c r="AU378" s="323"/>
      <c r="AV378" s="323"/>
      <c r="AW378" s="323"/>
      <c r="AX378" s="323"/>
      <c r="AY378" s="323"/>
      <c r="AZ378" s="323"/>
      <c r="BA378" s="323"/>
      <c r="BB378" s="323"/>
      <c r="BC378" s="323"/>
      <c r="BD378" s="323"/>
      <c r="BE378" s="323"/>
      <c r="BF378" s="323"/>
      <c r="BG378" s="323"/>
      <c r="BH378" s="323"/>
      <c r="BI378" s="323"/>
      <c r="BJ378" s="323"/>
      <c r="BK378" s="323"/>
      <c r="BL378" s="323"/>
      <c r="BM378" s="323"/>
      <c r="BN378" s="323"/>
      <c r="BO378" s="323"/>
      <c r="BP378" s="323"/>
      <c r="BQ378" s="323"/>
      <c r="BR378" s="323"/>
      <c r="BS378" s="323"/>
      <c r="BT378" s="323"/>
      <c r="BU378" s="323"/>
      <c r="BV378" s="323"/>
      <c r="BW378" s="323"/>
      <c r="BX378" s="323"/>
      <c r="BY378" s="323"/>
    </row>
    <row r="379" spans="1:77" s="113" customFormat="1" ht="12.75" x14ac:dyDescent="0.2">
      <c r="A379" s="303"/>
      <c r="B379" s="130"/>
      <c r="C379" s="130"/>
      <c r="D379" s="115"/>
      <c r="E379" s="115"/>
      <c r="F379" s="115"/>
      <c r="H379" s="114"/>
      <c r="I379" s="114"/>
      <c r="S379" s="331"/>
      <c r="T379" s="114"/>
      <c r="AS379" s="323"/>
      <c r="AT379" s="323"/>
      <c r="AU379" s="323"/>
      <c r="AV379" s="323"/>
      <c r="AW379" s="323"/>
      <c r="AX379" s="323"/>
      <c r="AY379" s="323"/>
      <c r="AZ379" s="323"/>
      <c r="BA379" s="323"/>
      <c r="BB379" s="323"/>
      <c r="BC379" s="323"/>
      <c r="BD379" s="323"/>
      <c r="BE379" s="323"/>
      <c r="BF379" s="323"/>
      <c r="BG379" s="323"/>
      <c r="BH379" s="323"/>
      <c r="BI379" s="323"/>
      <c r="BJ379" s="323"/>
      <c r="BK379" s="323"/>
      <c r="BL379" s="323"/>
      <c r="BM379" s="323"/>
      <c r="BN379" s="323"/>
      <c r="BO379" s="323"/>
      <c r="BP379" s="323"/>
      <c r="BQ379" s="323"/>
      <c r="BR379" s="323"/>
      <c r="BS379" s="323"/>
      <c r="BT379" s="323"/>
      <c r="BU379" s="323"/>
      <c r="BV379" s="323"/>
      <c r="BW379" s="323"/>
      <c r="BX379" s="323"/>
      <c r="BY379" s="323"/>
    </row>
    <row r="380" spans="1:77" s="113" customFormat="1" ht="12.75" x14ac:dyDescent="0.2">
      <c r="A380" s="303"/>
      <c r="B380" s="130"/>
      <c r="C380" s="130"/>
      <c r="D380" s="115"/>
      <c r="E380" s="115"/>
      <c r="F380" s="115"/>
      <c r="H380" s="114"/>
      <c r="I380" s="114"/>
      <c r="S380" s="331"/>
      <c r="T380" s="114"/>
      <c r="AS380" s="323"/>
      <c r="AT380" s="323"/>
      <c r="AU380" s="323"/>
      <c r="AV380" s="323"/>
      <c r="AW380" s="323"/>
      <c r="AX380" s="323"/>
      <c r="AY380" s="323"/>
      <c r="AZ380" s="323"/>
      <c r="BA380" s="323"/>
      <c r="BB380" s="323"/>
      <c r="BC380" s="323"/>
      <c r="BD380" s="323"/>
      <c r="BE380" s="323"/>
      <c r="BF380" s="323"/>
      <c r="BG380" s="323"/>
      <c r="BH380" s="323"/>
      <c r="BI380" s="323"/>
      <c r="BJ380" s="323"/>
      <c r="BK380" s="323"/>
      <c r="BL380" s="323"/>
      <c r="BM380" s="323"/>
      <c r="BN380" s="323"/>
      <c r="BO380" s="323"/>
      <c r="BP380" s="323"/>
      <c r="BQ380" s="323"/>
      <c r="BR380" s="323"/>
      <c r="BS380" s="323"/>
      <c r="BT380" s="323"/>
      <c r="BU380" s="323"/>
      <c r="BV380" s="323"/>
      <c r="BW380" s="323"/>
      <c r="BX380" s="323"/>
      <c r="BY380" s="323"/>
    </row>
    <row r="381" spans="1:77" s="113" customFormat="1" ht="12.75" x14ac:dyDescent="0.2">
      <c r="A381" s="303"/>
      <c r="B381" s="130"/>
      <c r="C381" s="130"/>
      <c r="D381" s="115"/>
      <c r="E381" s="115"/>
      <c r="F381" s="115"/>
      <c r="H381" s="114"/>
      <c r="I381" s="114"/>
      <c r="S381" s="331"/>
      <c r="T381" s="114"/>
      <c r="AS381" s="323"/>
      <c r="AT381" s="323"/>
      <c r="AU381" s="323"/>
      <c r="AV381" s="323"/>
      <c r="AW381" s="323"/>
      <c r="AX381" s="323"/>
      <c r="AY381" s="323"/>
      <c r="AZ381" s="323"/>
      <c r="BA381" s="323"/>
      <c r="BB381" s="323"/>
      <c r="BC381" s="323"/>
      <c r="BD381" s="323"/>
      <c r="BE381" s="323"/>
      <c r="BF381" s="323"/>
      <c r="BG381" s="323"/>
      <c r="BH381" s="323"/>
      <c r="BI381" s="323"/>
      <c r="BJ381" s="323"/>
      <c r="BK381" s="323"/>
      <c r="BL381" s="323"/>
      <c r="BM381" s="323"/>
      <c r="BN381" s="323"/>
      <c r="BO381" s="323"/>
      <c r="BP381" s="323"/>
      <c r="BQ381" s="323"/>
      <c r="BR381" s="323"/>
      <c r="BS381" s="323"/>
      <c r="BT381" s="323"/>
      <c r="BU381" s="323"/>
      <c r="BV381" s="323"/>
      <c r="BW381" s="323"/>
      <c r="BX381" s="323"/>
      <c r="BY381" s="323"/>
    </row>
    <row r="382" spans="1:77" s="113" customFormat="1" ht="12.75" x14ac:dyDescent="0.2">
      <c r="A382" s="303"/>
      <c r="B382" s="130"/>
      <c r="C382" s="130"/>
      <c r="D382" s="115"/>
      <c r="E382" s="115"/>
      <c r="F382" s="115"/>
      <c r="H382" s="114"/>
      <c r="I382" s="114"/>
      <c r="S382" s="331"/>
      <c r="T382" s="114"/>
      <c r="AS382" s="323"/>
      <c r="AT382" s="323"/>
      <c r="AU382" s="323"/>
      <c r="AV382" s="323"/>
      <c r="AW382" s="323"/>
      <c r="AX382" s="323"/>
      <c r="AY382" s="323"/>
      <c r="AZ382" s="323"/>
      <c r="BA382" s="323"/>
      <c r="BB382" s="323"/>
      <c r="BC382" s="323"/>
      <c r="BD382" s="323"/>
      <c r="BE382" s="323"/>
      <c r="BF382" s="323"/>
      <c r="BG382" s="323"/>
      <c r="BH382" s="323"/>
      <c r="BI382" s="323"/>
      <c r="BJ382" s="323"/>
      <c r="BK382" s="323"/>
      <c r="BL382" s="323"/>
      <c r="BM382" s="323"/>
      <c r="BN382" s="323"/>
      <c r="BO382" s="323"/>
      <c r="BP382" s="323"/>
      <c r="BQ382" s="323"/>
      <c r="BR382" s="323"/>
      <c r="BS382" s="323"/>
      <c r="BT382" s="323"/>
      <c r="BU382" s="323"/>
      <c r="BV382" s="323"/>
      <c r="BW382" s="323"/>
      <c r="BX382" s="323"/>
      <c r="BY382" s="323"/>
    </row>
    <row r="383" spans="1:77" s="113" customFormat="1" ht="12.75" x14ac:dyDescent="0.2">
      <c r="A383" s="303"/>
      <c r="B383" s="130"/>
      <c r="C383" s="130"/>
      <c r="D383" s="115"/>
      <c r="E383" s="115"/>
      <c r="F383" s="115"/>
      <c r="H383" s="114"/>
      <c r="I383" s="114"/>
      <c r="S383" s="331"/>
      <c r="T383" s="114"/>
      <c r="AS383" s="323"/>
      <c r="AT383" s="323"/>
      <c r="AU383" s="323"/>
      <c r="AV383" s="323"/>
      <c r="AW383" s="323"/>
      <c r="AX383" s="323"/>
      <c r="AY383" s="323"/>
      <c r="AZ383" s="323"/>
      <c r="BA383" s="323"/>
      <c r="BB383" s="323"/>
      <c r="BC383" s="323"/>
      <c r="BD383" s="323"/>
      <c r="BE383" s="323"/>
      <c r="BF383" s="323"/>
      <c r="BG383" s="323"/>
      <c r="BH383" s="323"/>
      <c r="BI383" s="323"/>
      <c r="BJ383" s="323"/>
      <c r="BK383" s="323"/>
      <c r="BL383" s="323"/>
      <c r="BM383" s="323"/>
      <c r="BN383" s="323"/>
      <c r="BO383" s="323"/>
      <c r="BP383" s="323"/>
      <c r="BQ383" s="323"/>
      <c r="BR383" s="323"/>
      <c r="BS383" s="323"/>
      <c r="BT383" s="323"/>
      <c r="BU383" s="323"/>
      <c r="BV383" s="323"/>
      <c r="BW383" s="323"/>
      <c r="BX383" s="323"/>
      <c r="BY383" s="323"/>
    </row>
    <row r="384" spans="1:77" s="113" customFormat="1" ht="12.75" x14ac:dyDescent="0.2">
      <c r="A384" s="303"/>
      <c r="B384" s="130"/>
      <c r="C384" s="130"/>
      <c r="D384" s="115"/>
      <c r="E384" s="115"/>
      <c r="F384" s="115"/>
      <c r="H384" s="114"/>
      <c r="I384" s="114"/>
      <c r="S384" s="331"/>
      <c r="T384" s="114"/>
      <c r="AS384" s="323"/>
      <c r="AT384" s="323"/>
      <c r="AU384" s="323"/>
      <c r="AV384" s="323"/>
      <c r="AW384" s="323"/>
      <c r="AX384" s="323"/>
      <c r="AY384" s="323"/>
      <c r="AZ384" s="323"/>
      <c r="BA384" s="323"/>
      <c r="BB384" s="323"/>
      <c r="BC384" s="323"/>
      <c r="BD384" s="323"/>
      <c r="BE384" s="323"/>
      <c r="BF384" s="323"/>
      <c r="BG384" s="323"/>
      <c r="BH384" s="323"/>
      <c r="BI384" s="323"/>
      <c r="BJ384" s="323"/>
      <c r="BK384" s="323"/>
      <c r="BL384" s="323"/>
      <c r="BM384" s="323"/>
      <c r="BN384" s="323"/>
      <c r="BO384" s="323"/>
      <c r="BP384" s="323"/>
      <c r="BQ384" s="323"/>
      <c r="BR384" s="323"/>
      <c r="BS384" s="323"/>
      <c r="BT384" s="323"/>
      <c r="BU384" s="323"/>
      <c r="BV384" s="323"/>
      <c r="BW384" s="323"/>
      <c r="BX384" s="323"/>
      <c r="BY384" s="323"/>
    </row>
    <row r="385" spans="1:77" s="113" customFormat="1" ht="12.75" x14ac:dyDescent="0.2">
      <c r="A385" s="303"/>
      <c r="B385" s="130"/>
      <c r="C385" s="130"/>
      <c r="D385" s="115"/>
      <c r="E385" s="115"/>
      <c r="F385" s="115"/>
      <c r="H385" s="114"/>
      <c r="I385" s="114"/>
      <c r="S385" s="331"/>
      <c r="T385" s="114"/>
      <c r="AS385" s="323"/>
      <c r="AT385" s="323"/>
      <c r="AU385" s="323"/>
      <c r="AV385" s="323"/>
      <c r="AW385" s="323"/>
      <c r="AX385" s="323"/>
      <c r="AY385" s="323"/>
      <c r="AZ385" s="323"/>
      <c r="BA385" s="323"/>
      <c r="BB385" s="323"/>
      <c r="BC385" s="323"/>
      <c r="BD385" s="323"/>
      <c r="BE385" s="323"/>
      <c r="BF385" s="323"/>
      <c r="BG385" s="323"/>
      <c r="BH385" s="323"/>
      <c r="BI385" s="323"/>
      <c r="BJ385" s="323"/>
      <c r="BK385" s="323"/>
      <c r="BL385" s="323"/>
      <c r="BM385" s="323"/>
      <c r="BN385" s="323"/>
      <c r="BO385" s="323"/>
      <c r="BP385" s="323"/>
      <c r="BQ385" s="323"/>
      <c r="BR385" s="323"/>
      <c r="BS385" s="323"/>
      <c r="BT385" s="323"/>
      <c r="BU385" s="323"/>
      <c r="BV385" s="323"/>
      <c r="BW385" s="323"/>
      <c r="BX385" s="323"/>
      <c r="BY385" s="323"/>
    </row>
    <row r="386" spans="1:77" s="113" customFormat="1" ht="12.75" x14ac:dyDescent="0.2">
      <c r="A386" s="303"/>
      <c r="B386" s="130"/>
      <c r="C386" s="130"/>
      <c r="D386" s="115"/>
      <c r="E386" s="115"/>
      <c r="F386" s="115"/>
      <c r="H386" s="114"/>
      <c r="I386" s="114"/>
      <c r="S386" s="331"/>
      <c r="T386" s="114"/>
      <c r="AS386" s="323"/>
      <c r="AT386" s="323"/>
      <c r="AU386" s="323"/>
      <c r="AV386" s="323"/>
      <c r="AW386" s="323"/>
      <c r="AX386" s="323"/>
      <c r="AY386" s="323"/>
      <c r="AZ386" s="323"/>
      <c r="BA386" s="323"/>
      <c r="BB386" s="323"/>
      <c r="BC386" s="323"/>
      <c r="BD386" s="323"/>
      <c r="BE386" s="323"/>
      <c r="BF386" s="323"/>
      <c r="BG386" s="323"/>
      <c r="BH386" s="323"/>
      <c r="BI386" s="323"/>
      <c r="BJ386" s="323"/>
      <c r="BK386" s="323"/>
      <c r="BL386" s="323"/>
      <c r="BM386" s="323"/>
      <c r="BN386" s="323"/>
      <c r="BO386" s="323"/>
      <c r="BP386" s="323"/>
      <c r="BQ386" s="323"/>
      <c r="BR386" s="323"/>
      <c r="BS386" s="323"/>
      <c r="BT386" s="323"/>
      <c r="BU386" s="323"/>
      <c r="BV386" s="323"/>
      <c r="BW386" s="323"/>
      <c r="BX386" s="323"/>
      <c r="BY386" s="323"/>
    </row>
    <row r="387" spans="1:77" s="113" customFormat="1" ht="12.75" x14ac:dyDescent="0.2">
      <c r="A387" s="303"/>
      <c r="B387" s="130"/>
      <c r="C387" s="130"/>
      <c r="D387" s="115"/>
      <c r="E387" s="115"/>
      <c r="F387" s="115"/>
      <c r="H387" s="114"/>
      <c r="I387" s="114"/>
      <c r="S387" s="331"/>
      <c r="T387" s="114"/>
      <c r="AS387" s="323"/>
      <c r="AT387" s="323"/>
      <c r="AU387" s="323"/>
      <c r="AV387" s="323"/>
      <c r="AW387" s="323"/>
      <c r="AX387" s="323"/>
      <c r="AY387" s="323"/>
      <c r="AZ387" s="323"/>
      <c r="BA387" s="323"/>
      <c r="BB387" s="323"/>
      <c r="BC387" s="323"/>
      <c r="BD387" s="323"/>
      <c r="BE387" s="323"/>
      <c r="BF387" s="323"/>
      <c r="BG387" s="323"/>
      <c r="BH387" s="323"/>
      <c r="BI387" s="323"/>
      <c r="BJ387" s="323"/>
      <c r="BK387" s="323"/>
      <c r="BL387" s="323"/>
      <c r="BM387" s="323"/>
      <c r="BN387" s="323"/>
      <c r="BO387" s="323"/>
      <c r="BP387" s="323"/>
      <c r="BQ387" s="323"/>
      <c r="BR387" s="323"/>
      <c r="BS387" s="323"/>
      <c r="BT387" s="323"/>
      <c r="BU387" s="323"/>
      <c r="BV387" s="323"/>
      <c r="BW387" s="323"/>
      <c r="BX387" s="323"/>
      <c r="BY387" s="323"/>
    </row>
    <row r="388" spans="1:77" s="113" customFormat="1" ht="12.75" x14ac:dyDescent="0.2">
      <c r="A388" s="303"/>
      <c r="B388" s="130"/>
      <c r="C388" s="130"/>
      <c r="D388" s="115"/>
      <c r="E388" s="115"/>
      <c r="F388" s="115"/>
      <c r="H388" s="114"/>
      <c r="I388" s="114"/>
      <c r="S388" s="331"/>
      <c r="T388" s="114"/>
      <c r="AS388" s="323"/>
      <c r="AT388" s="323"/>
      <c r="AU388" s="323"/>
      <c r="AV388" s="323"/>
      <c r="AW388" s="323"/>
      <c r="AX388" s="323"/>
      <c r="AY388" s="323"/>
      <c r="AZ388" s="323"/>
      <c r="BA388" s="323"/>
      <c r="BB388" s="323"/>
      <c r="BC388" s="323"/>
      <c r="BD388" s="323"/>
      <c r="BE388" s="323"/>
      <c r="BF388" s="323"/>
      <c r="BG388" s="323"/>
      <c r="BH388" s="323"/>
      <c r="BI388" s="323"/>
      <c r="BJ388" s="323"/>
      <c r="BK388" s="323"/>
      <c r="BL388" s="323"/>
      <c r="BM388" s="323"/>
      <c r="BN388" s="323"/>
      <c r="BO388" s="323"/>
      <c r="BP388" s="323"/>
      <c r="BQ388" s="323"/>
      <c r="BR388" s="323"/>
      <c r="BS388" s="323"/>
      <c r="BT388" s="323"/>
      <c r="BU388" s="323"/>
      <c r="BV388" s="323"/>
      <c r="BW388" s="323"/>
      <c r="BX388" s="323"/>
      <c r="BY388" s="323"/>
    </row>
    <row r="389" spans="1:77" s="113" customFormat="1" ht="12.75" x14ac:dyDescent="0.2">
      <c r="A389" s="303"/>
      <c r="B389" s="130"/>
      <c r="C389" s="130"/>
      <c r="D389" s="115"/>
      <c r="E389" s="115"/>
      <c r="F389" s="115"/>
      <c r="H389" s="114"/>
      <c r="I389" s="114"/>
      <c r="S389" s="331"/>
      <c r="T389" s="114"/>
      <c r="AS389" s="323"/>
      <c r="AT389" s="323"/>
      <c r="AU389" s="323"/>
      <c r="AV389" s="323"/>
      <c r="AW389" s="323"/>
      <c r="AX389" s="323"/>
      <c r="AY389" s="323"/>
      <c r="AZ389" s="323"/>
      <c r="BA389" s="323"/>
      <c r="BB389" s="323"/>
      <c r="BC389" s="323"/>
      <c r="BD389" s="323"/>
      <c r="BE389" s="323"/>
      <c r="BF389" s="323"/>
      <c r="BG389" s="323"/>
      <c r="BH389" s="323"/>
      <c r="BI389" s="323"/>
      <c r="BJ389" s="323"/>
      <c r="BK389" s="323"/>
      <c r="BL389" s="323"/>
      <c r="BM389" s="323"/>
      <c r="BN389" s="323"/>
      <c r="BO389" s="323"/>
      <c r="BP389" s="323"/>
      <c r="BQ389" s="323"/>
      <c r="BR389" s="323"/>
      <c r="BS389" s="323"/>
      <c r="BT389" s="323"/>
      <c r="BU389" s="323"/>
      <c r="BV389" s="323"/>
      <c r="BW389" s="323"/>
      <c r="BX389" s="323"/>
      <c r="BY389" s="323"/>
    </row>
    <row r="390" spans="1:77" s="113" customFormat="1" ht="12.75" x14ac:dyDescent="0.2">
      <c r="A390" s="303"/>
      <c r="B390" s="130"/>
      <c r="C390" s="130"/>
      <c r="D390" s="115"/>
      <c r="E390" s="115"/>
      <c r="F390" s="115"/>
      <c r="H390" s="114"/>
      <c r="I390" s="114"/>
      <c r="S390" s="331"/>
      <c r="T390" s="114"/>
      <c r="AS390" s="323"/>
      <c r="AT390" s="323"/>
      <c r="AU390" s="323"/>
      <c r="AV390" s="323"/>
      <c r="AW390" s="323"/>
      <c r="AX390" s="323"/>
      <c r="AY390" s="323"/>
      <c r="AZ390" s="323"/>
      <c r="BA390" s="323"/>
      <c r="BB390" s="323"/>
      <c r="BC390" s="323"/>
      <c r="BD390" s="323"/>
      <c r="BE390" s="323"/>
      <c r="BF390" s="323"/>
      <c r="BG390" s="323"/>
      <c r="BH390" s="323"/>
      <c r="BI390" s="323"/>
      <c r="BJ390" s="323"/>
      <c r="BK390" s="323"/>
      <c r="BL390" s="323"/>
      <c r="BM390" s="323"/>
      <c r="BN390" s="323"/>
      <c r="BO390" s="323"/>
      <c r="BP390" s="323"/>
      <c r="BQ390" s="323"/>
      <c r="BR390" s="323"/>
      <c r="BS390" s="323"/>
      <c r="BT390" s="323"/>
      <c r="BU390" s="323"/>
      <c r="BV390" s="323"/>
      <c r="BW390" s="323"/>
      <c r="BX390" s="323"/>
      <c r="BY390" s="323"/>
    </row>
    <row r="391" spans="1:77" s="113" customFormat="1" ht="12.75" x14ac:dyDescent="0.2">
      <c r="A391" s="303"/>
      <c r="B391" s="130"/>
      <c r="C391" s="130"/>
      <c r="D391" s="115"/>
      <c r="E391" s="115"/>
      <c r="F391" s="115"/>
      <c r="H391" s="114"/>
      <c r="I391" s="114"/>
      <c r="S391" s="331"/>
      <c r="T391" s="114"/>
      <c r="AS391" s="323"/>
      <c r="AT391" s="323"/>
      <c r="AU391" s="323"/>
      <c r="AV391" s="323"/>
      <c r="AW391" s="323"/>
      <c r="AX391" s="323"/>
      <c r="AY391" s="323"/>
      <c r="AZ391" s="323"/>
      <c r="BA391" s="323"/>
      <c r="BB391" s="323"/>
      <c r="BC391" s="323"/>
      <c r="BD391" s="323"/>
      <c r="BE391" s="323"/>
      <c r="BF391" s="323"/>
      <c r="BG391" s="323"/>
      <c r="BH391" s="323"/>
      <c r="BI391" s="323"/>
      <c r="BJ391" s="323"/>
      <c r="BK391" s="323"/>
      <c r="BL391" s="323"/>
      <c r="BM391" s="323"/>
      <c r="BN391" s="323"/>
      <c r="BO391" s="323"/>
      <c r="BP391" s="323"/>
      <c r="BQ391" s="323"/>
      <c r="BR391" s="323"/>
      <c r="BS391" s="323"/>
      <c r="BT391" s="323"/>
      <c r="BU391" s="323"/>
      <c r="BV391" s="323"/>
      <c r="BW391" s="323"/>
      <c r="BX391" s="323"/>
      <c r="BY391" s="323"/>
    </row>
    <row r="392" spans="1:77" s="113" customFormat="1" ht="12.75" x14ac:dyDescent="0.2">
      <c r="A392" s="303"/>
      <c r="B392" s="130"/>
      <c r="C392" s="130"/>
      <c r="D392" s="115"/>
      <c r="E392" s="115"/>
      <c r="F392" s="115"/>
      <c r="H392" s="114"/>
      <c r="I392" s="114"/>
      <c r="S392" s="331"/>
      <c r="T392" s="114"/>
      <c r="AS392" s="323"/>
      <c r="AT392" s="323"/>
      <c r="AU392" s="323"/>
      <c r="AV392" s="323"/>
      <c r="AW392" s="323"/>
      <c r="AX392" s="323"/>
      <c r="AY392" s="323"/>
      <c r="AZ392" s="323"/>
      <c r="BA392" s="323"/>
      <c r="BB392" s="323"/>
      <c r="BC392" s="323"/>
      <c r="BD392" s="323"/>
      <c r="BE392" s="323"/>
      <c r="BF392" s="323"/>
      <c r="BG392" s="323"/>
      <c r="BH392" s="323"/>
      <c r="BI392" s="323"/>
      <c r="BJ392" s="323"/>
      <c r="BK392" s="323"/>
      <c r="BL392" s="323"/>
      <c r="BM392" s="323"/>
      <c r="BN392" s="323"/>
      <c r="BO392" s="323"/>
      <c r="BP392" s="323"/>
      <c r="BQ392" s="323"/>
      <c r="BR392" s="323"/>
      <c r="BS392" s="323"/>
      <c r="BT392" s="323"/>
      <c r="BU392" s="323"/>
      <c r="BV392" s="323"/>
      <c r="BW392" s="323"/>
      <c r="BX392" s="323"/>
      <c r="BY392" s="323"/>
    </row>
    <row r="393" spans="1:77" s="113" customFormat="1" ht="12.75" x14ac:dyDescent="0.2">
      <c r="A393" s="303"/>
      <c r="B393" s="130"/>
      <c r="C393" s="130"/>
      <c r="D393" s="115"/>
      <c r="E393" s="115"/>
      <c r="F393" s="115"/>
      <c r="H393" s="114"/>
      <c r="I393" s="114"/>
      <c r="S393" s="331"/>
      <c r="T393" s="114"/>
      <c r="AS393" s="323"/>
      <c r="AT393" s="323"/>
      <c r="AU393" s="323"/>
      <c r="AV393" s="323"/>
      <c r="AW393" s="323"/>
      <c r="AX393" s="323"/>
      <c r="AY393" s="323"/>
      <c r="AZ393" s="323"/>
      <c r="BA393" s="323"/>
      <c r="BB393" s="323"/>
      <c r="BC393" s="323"/>
      <c r="BD393" s="323"/>
      <c r="BE393" s="323"/>
      <c r="BF393" s="323"/>
      <c r="BG393" s="323"/>
      <c r="BH393" s="323"/>
      <c r="BI393" s="323"/>
      <c r="BJ393" s="323"/>
      <c r="BK393" s="323"/>
      <c r="BL393" s="323"/>
      <c r="BM393" s="323"/>
      <c r="BN393" s="323"/>
      <c r="BO393" s="323"/>
      <c r="BP393" s="323"/>
      <c r="BQ393" s="323"/>
      <c r="BR393" s="323"/>
      <c r="BS393" s="323"/>
      <c r="BT393" s="323"/>
      <c r="BU393" s="323"/>
      <c r="BV393" s="323"/>
      <c r="BW393" s="323"/>
      <c r="BX393" s="323"/>
      <c r="BY393" s="323"/>
    </row>
    <row r="394" spans="1:77" s="113" customFormat="1" ht="12.75" x14ac:dyDescent="0.2">
      <c r="A394" s="303"/>
      <c r="B394" s="130"/>
      <c r="C394" s="130"/>
      <c r="D394" s="115"/>
      <c r="E394" s="115"/>
      <c r="F394" s="115"/>
      <c r="H394" s="114"/>
      <c r="I394" s="114"/>
      <c r="S394" s="331"/>
      <c r="T394" s="114"/>
      <c r="AS394" s="323"/>
      <c r="AT394" s="323"/>
      <c r="AU394" s="323"/>
      <c r="AV394" s="323"/>
      <c r="AW394" s="323"/>
      <c r="AX394" s="323"/>
      <c r="AY394" s="323"/>
      <c r="AZ394" s="323"/>
      <c r="BA394" s="323"/>
      <c r="BB394" s="323"/>
      <c r="BC394" s="323"/>
      <c r="BD394" s="323"/>
      <c r="BE394" s="323"/>
      <c r="BF394" s="323"/>
      <c r="BG394" s="323"/>
      <c r="BH394" s="323"/>
      <c r="BI394" s="323"/>
      <c r="BJ394" s="323"/>
      <c r="BK394" s="323"/>
      <c r="BL394" s="323"/>
      <c r="BM394" s="323"/>
      <c r="BN394" s="323"/>
      <c r="BO394" s="323"/>
      <c r="BP394" s="323"/>
      <c r="BQ394" s="323"/>
      <c r="BR394" s="323"/>
      <c r="BS394" s="323"/>
      <c r="BT394" s="323"/>
      <c r="BU394" s="323"/>
      <c r="BV394" s="323"/>
      <c r="BW394" s="323"/>
      <c r="BX394" s="323"/>
      <c r="BY394" s="323"/>
    </row>
    <row r="395" spans="1:77" s="113" customFormat="1" ht="12.75" x14ac:dyDescent="0.2">
      <c r="A395" s="303"/>
      <c r="B395" s="130"/>
      <c r="C395" s="130"/>
      <c r="D395" s="115"/>
      <c r="E395" s="115"/>
      <c r="F395" s="115"/>
      <c r="H395" s="114"/>
      <c r="I395" s="114"/>
      <c r="S395" s="331"/>
      <c r="T395" s="114"/>
      <c r="AS395" s="323"/>
      <c r="AT395" s="323"/>
      <c r="AU395" s="323"/>
      <c r="AV395" s="323"/>
      <c r="AW395" s="323"/>
      <c r="AX395" s="323"/>
      <c r="AY395" s="323"/>
      <c r="AZ395" s="323"/>
      <c r="BA395" s="323"/>
      <c r="BB395" s="323"/>
      <c r="BC395" s="323"/>
      <c r="BD395" s="323"/>
      <c r="BE395" s="323"/>
      <c r="BF395" s="323"/>
      <c r="BG395" s="323"/>
      <c r="BH395" s="323"/>
      <c r="BI395" s="323"/>
      <c r="BJ395" s="323"/>
      <c r="BK395" s="323"/>
      <c r="BL395" s="323"/>
      <c r="BM395" s="323"/>
      <c r="BN395" s="323"/>
      <c r="BO395" s="323"/>
      <c r="BP395" s="323"/>
      <c r="BQ395" s="323"/>
      <c r="BR395" s="323"/>
      <c r="BS395" s="323"/>
      <c r="BT395" s="323"/>
      <c r="BU395" s="323"/>
      <c r="BV395" s="323"/>
      <c r="BW395" s="323"/>
      <c r="BX395" s="323"/>
      <c r="BY395" s="323"/>
    </row>
    <row r="396" spans="1:77" s="113" customFormat="1" ht="12.75" x14ac:dyDescent="0.2">
      <c r="A396" s="303"/>
      <c r="B396" s="130"/>
      <c r="C396" s="130"/>
      <c r="D396" s="115"/>
      <c r="E396" s="115"/>
      <c r="F396" s="115"/>
      <c r="H396" s="114"/>
      <c r="I396" s="114"/>
      <c r="S396" s="331"/>
      <c r="T396" s="114"/>
      <c r="AS396" s="323"/>
      <c r="AT396" s="323"/>
      <c r="AU396" s="323"/>
      <c r="AV396" s="323"/>
      <c r="AW396" s="323"/>
      <c r="AX396" s="323"/>
      <c r="AY396" s="323"/>
      <c r="AZ396" s="323"/>
      <c r="BA396" s="323"/>
      <c r="BB396" s="323"/>
      <c r="BC396" s="323"/>
      <c r="BD396" s="323"/>
      <c r="BE396" s="323"/>
      <c r="BF396" s="323"/>
      <c r="BG396" s="323"/>
      <c r="BH396" s="323"/>
      <c r="BI396" s="323"/>
      <c r="BJ396" s="323"/>
      <c r="BK396" s="323"/>
      <c r="BL396" s="323"/>
      <c r="BM396" s="323"/>
      <c r="BN396" s="323"/>
      <c r="BO396" s="323"/>
      <c r="BP396" s="323"/>
      <c r="BQ396" s="323"/>
      <c r="BR396" s="323"/>
      <c r="BS396" s="323"/>
      <c r="BT396" s="323"/>
      <c r="BU396" s="323"/>
      <c r="BV396" s="323"/>
      <c r="BW396" s="323"/>
      <c r="BX396" s="323"/>
      <c r="BY396" s="323"/>
    </row>
    <row r="397" spans="1:77" s="113" customFormat="1" ht="12.75" x14ac:dyDescent="0.2">
      <c r="A397" s="303"/>
      <c r="B397" s="130"/>
      <c r="C397" s="130"/>
      <c r="D397" s="115"/>
      <c r="E397" s="115"/>
      <c r="F397" s="115"/>
      <c r="H397" s="114"/>
      <c r="I397" s="114"/>
      <c r="S397" s="331"/>
      <c r="T397" s="114"/>
      <c r="AS397" s="323"/>
      <c r="AT397" s="323"/>
      <c r="AU397" s="323"/>
      <c r="AV397" s="323"/>
      <c r="AW397" s="323"/>
      <c r="AX397" s="323"/>
      <c r="AY397" s="323"/>
      <c r="AZ397" s="323"/>
      <c r="BA397" s="323"/>
      <c r="BB397" s="323"/>
      <c r="BC397" s="323"/>
      <c r="BD397" s="323"/>
      <c r="BE397" s="323"/>
      <c r="BF397" s="323"/>
      <c r="BG397" s="323"/>
      <c r="BH397" s="323"/>
      <c r="BI397" s="323"/>
      <c r="BJ397" s="323"/>
      <c r="BK397" s="323"/>
      <c r="BL397" s="323"/>
      <c r="BM397" s="323"/>
      <c r="BN397" s="323"/>
      <c r="BO397" s="323"/>
      <c r="BP397" s="323"/>
      <c r="BQ397" s="323"/>
      <c r="BR397" s="323"/>
      <c r="BS397" s="323"/>
      <c r="BT397" s="323"/>
      <c r="BU397" s="323"/>
      <c r="BV397" s="323"/>
      <c r="BW397" s="323"/>
      <c r="BX397" s="323"/>
      <c r="BY397" s="323"/>
    </row>
    <row r="398" spans="1:77" s="113" customFormat="1" ht="12.75" x14ac:dyDescent="0.2">
      <c r="A398" s="303"/>
      <c r="B398" s="130"/>
      <c r="C398" s="130"/>
      <c r="D398" s="115"/>
      <c r="E398" s="115"/>
      <c r="F398" s="115"/>
      <c r="H398" s="114"/>
      <c r="I398" s="114"/>
      <c r="S398" s="331"/>
      <c r="T398" s="114"/>
      <c r="AS398" s="323"/>
      <c r="AT398" s="323"/>
      <c r="AU398" s="323"/>
      <c r="AV398" s="323"/>
      <c r="AW398" s="323"/>
      <c r="AX398" s="323"/>
      <c r="AY398" s="323"/>
      <c r="AZ398" s="323"/>
      <c r="BA398" s="323"/>
      <c r="BB398" s="323"/>
      <c r="BC398" s="323"/>
      <c r="BD398" s="323"/>
      <c r="BE398" s="323"/>
      <c r="BF398" s="323"/>
      <c r="BG398" s="323"/>
      <c r="BH398" s="323"/>
      <c r="BI398" s="323"/>
      <c r="BJ398" s="323"/>
      <c r="BK398" s="323"/>
      <c r="BL398" s="323"/>
      <c r="BM398" s="323"/>
      <c r="BN398" s="323"/>
      <c r="BO398" s="323"/>
      <c r="BP398" s="323"/>
      <c r="BQ398" s="323"/>
      <c r="BR398" s="323"/>
      <c r="BS398" s="323"/>
      <c r="BT398" s="323"/>
      <c r="BU398" s="323"/>
      <c r="BV398" s="323"/>
      <c r="BW398" s="323"/>
      <c r="BX398" s="323"/>
      <c r="BY398" s="323"/>
    </row>
    <row r="399" spans="1:77" s="113" customFormat="1" ht="12.75" x14ac:dyDescent="0.2">
      <c r="A399" s="303"/>
      <c r="B399" s="130"/>
      <c r="C399" s="130"/>
      <c r="D399" s="115"/>
      <c r="E399" s="115"/>
      <c r="F399" s="115"/>
      <c r="H399" s="114"/>
      <c r="I399" s="114"/>
      <c r="S399" s="331"/>
      <c r="T399" s="114"/>
      <c r="AS399" s="323"/>
      <c r="AT399" s="323"/>
      <c r="AU399" s="323"/>
      <c r="AV399" s="323"/>
      <c r="AW399" s="323"/>
      <c r="AX399" s="323"/>
      <c r="AY399" s="323"/>
      <c r="AZ399" s="323"/>
      <c r="BA399" s="323"/>
      <c r="BB399" s="323"/>
      <c r="BC399" s="323"/>
      <c r="BD399" s="323"/>
      <c r="BE399" s="323"/>
      <c r="BF399" s="323"/>
      <c r="BG399" s="323"/>
      <c r="BH399" s="323"/>
      <c r="BI399" s="323"/>
      <c r="BJ399" s="323"/>
      <c r="BK399" s="323"/>
      <c r="BL399" s="323"/>
      <c r="BM399" s="323"/>
      <c r="BN399" s="323"/>
      <c r="BO399" s="323"/>
      <c r="BP399" s="323"/>
      <c r="BQ399" s="323"/>
      <c r="BR399" s="323"/>
      <c r="BS399" s="323"/>
      <c r="BT399" s="323"/>
      <c r="BU399" s="323"/>
      <c r="BV399" s="323"/>
      <c r="BW399" s="323"/>
      <c r="BX399" s="323"/>
      <c r="BY399" s="323"/>
    </row>
    <row r="400" spans="1:77" s="113" customFormat="1" ht="12.75" x14ac:dyDescent="0.2">
      <c r="A400" s="303"/>
      <c r="B400" s="130"/>
      <c r="C400" s="130"/>
      <c r="D400" s="115"/>
      <c r="E400" s="115"/>
      <c r="F400" s="115"/>
      <c r="H400" s="114"/>
      <c r="I400" s="114"/>
      <c r="S400" s="331"/>
      <c r="T400" s="114"/>
      <c r="AS400" s="323"/>
      <c r="AT400" s="323"/>
      <c r="AU400" s="323"/>
      <c r="AV400" s="323"/>
      <c r="AW400" s="323"/>
      <c r="AX400" s="323"/>
      <c r="AY400" s="323"/>
      <c r="AZ400" s="323"/>
      <c r="BA400" s="323"/>
      <c r="BB400" s="323"/>
      <c r="BC400" s="323"/>
      <c r="BD400" s="323"/>
      <c r="BE400" s="323"/>
      <c r="BF400" s="323"/>
      <c r="BG400" s="323"/>
      <c r="BH400" s="323"/>
      <c r="BI400" s="323"/>
      <c r="BJ400" s="323"/>
      <c r="BK400" s="323"/>
      <c r="BL400" s="323"/>
      <c r="BM400" s="323"/>
      <c r="BN400" s="323"/>
      <c r="BO400" s="323"/>
      <c r="BP400" s="323"/>
      <c r="BQ400" s="323"/>
      <c r="BR400" s="323"/>
      <c r="BS400" s="323"/>
      <c r="BT400" s="323"/>
      <c r="BU400" s="323"/>
      <c r="BV400" s="323"/>
      <c r="BW400" s="323"/>
      <c r="BX400" s="323"/>
      <c r="BY400" s="323"/>
    </row>
    <row r="401" spans="1:77" s="113" customFormat="1" ht="12.75" x14ac:dyDescent="0.2">
      <c r="A401" s="303"/>
      <c r="B401" s="130"/>
      <c r="C401" s="130"/>
      <c r="D401" s="115"/>
      <c r="E401" s="115"/>
      <c r="F401" s="115"/>
      <c r="H401" s="114"/>
      <c r="I401" s="114"/>
      <c r="S401" s="331"/>
      <c r="T401" s="114"/>
      <c r="AS401" s="323"/>
      <c r="AT401" s="323"/>
      <c r="AU401" s="323"/>
      <c r="AV401" s="323"/>
      <c r="AW401" s="323"/>
      <c r="AX401" s="323"/>
      <c r="AY401" s="323"/>
      <c r="AZ401" s="323"/>
      <c r="BA401" s="323"/>
      <c r="BB401" s="323"/>
      <c r="BC401" s="323"/>
      <c r="BD401" s="323"/>
      <c r="BE401" s="323"/>
      <c r="BF401" s="323"/>
      <c r="BG401" s="323"/>
      <c r="BH401" s="323"/>
      <c r="BI401" s="323"/>
      <c r="BJ401" s="323"/>
      <c r="BK401" s="323"/>
      <c r="BL401" s="323"/>
      <c r="BM401" s="323"/>
      <c r="BN401" s="323"/>
      <c r="BO401" s="323"/>
      <c r="BP401" s="323"/>
      <c r="BQ401" s="323"/>
      <c r="BR401" s="323"/>
      <c r="BS401" s="323"/>
      <c r="BT401" s="323"/>
      <c r="BU401" s="323"/>
      <c r="BV401" s="323"/>
      <c r="BW401" s="323"/>
      <c r="BX401" s="323"/>
      <c r="BY401" s="323"/>
    </row>
    <row r="402" spans="1:77" s="113" customFormat="1" ht="12.75" x14ac:dyDescent="0.2">
      <c r="A402" s="303"/>
      <c r="B402" s="130"/>
      <c r="C402" s="130"/>
      <c r="D402" s="115"/>
      <c r="E402" s="115"/>
      <c r="F402" s="115"/>
      <c r="H402" s="114"/>
      <c r="I402" s="114"/>
      <c r="S402" s="331"/>
      <c r="T402" s="114"/>
      <c r="AS402" s="323"/>
      <c r="AT402" s="323"/>
      <c r="AU402" s="323"/>
      <c r="AV402" s="323"/>
      <c r="AW402" s="323"/>
      <c r="AX402" s="323"/>
      <c r="AY402" s="323"/>
      <c r="AZ402" s="323"/>
      <c r="BA402" s="323"/>
      <c r="BB402" s="323"/>
      <c r="BC402" s="323"/>
      <c r="BD402" s="323"/>
      <c r="BE402" s="323"/>
      <c r="BF402" s="323"/>
      <c r="BG402" s="323"/>
      <c r="BH402" s="323"/>
      <c r="BI402" s="323"/>
      <c r="BJ402" s="323"/>
      <c r="BK402" s="323"/>
      <c r="BL402" s="323"/>
      <c r="BM402" s="323"/>
      <c r="BN402" s="323"/>
      <c r="BO402" s="323"/>
      <c r="BP402" s="323"/>
      <c r="BQ402" s="323"/>
      <c r="BR402" s="323"/>
      <c r="BS402" s="323"/>
      <c r="BT402" s="323"/>
      <c r="BU402" s="323"/>
      <c r="BV402" s="323"/>
      <c r="BW402" s="323"/>
      <c r="BX402" s="323"/>
      <c r="BY402" s="323"/>
    </row>
    <row r="403" spans="1:77" s="113" customFormat="1" ht="12.75" x14ac:dyDescent="0.2">
      <c r="A403" s="303"/>
      <c r="B403" s="130"/>
      <c r="C403" s="130"/>
      <c r="D403" s="115"/>
      <c r="E403" s="115"/>
      <c r="F403" s="115"/>
      <c r="H403" s="114"/>
      <c r="I403" s="114"/>
      <c r="S403" s="331"/>
      <c r="T403" s="114"/>
      <c r="AS403" s="323"/>
      <c r="AT403" s="323"/>
      <c r="AU403" s="323"/>
      <c r="AV403" s="323"/>
      <c r="AW403" s="323"/>
      <c r="AX403" s="323"/>
      <c r="AY403" s="323"/>
      <c r="AZ403" s="323"/>
      <c r="BA403" s="323"/>
      <c r="BB403" s="323"/>
      <c r="BC403" s="323"/>
      <c r="BD403" s="323"/>
      <c r="BE403" s="323"/>
      <c r="BF403" s="323"/>
      <c r="BG403" s="323"/>
      <c r="BH403" s="323"/>
      <c r="BI403" s="323"/>
      <c r="BJ403" s="323"/>
      <c r="BK403" s="323"/>
      <c r="BL403" s="323"/>
      <c r="BM403" s="323"/>
      <c r="BN403" s="323"/>
      <c r="BO403" s="323"/>
      <c r="BP403" s="323"/>
      <c r="BQ403" s="323"/>
      <c r="BR403" s="323"/>
      <c r="BS403" s="323"/>
      <c r="BT403" s="323"/>
      <c r="BU403" s="323"/>
      <c r="BV403" s="323"/>
      <c r="BW403" s="323"/>
      <c r="BX403" s="323"/>
      <c r="BY403" s="323"/>
    </row>
    <row r="404" spans="1:77" s="113" customFormat="1" ht="12.75" x14ac:dyDescent="0.2">
      <c r="A404" s="303"/>
      <c r="B404" s="130"/>
      <c r="C404" s="130"/>
      <c r="D404" s="115"/>
      <c r="E404" s="115"/>
      <c r="F404" s="115"/>
      <c r="H404" s="114"/>
      <c r="I404" s="114"/>
      <c r="S404" s="331"/>
      <c r="T404" s="114"/>
      <c r="AS404" s="323"/>
      <c r="AT404" s="323"/>
      <c r="AU404" s="323"/>
      <c r="AV404" s="323"/>
      <c r="AW404" s="323"/>
      <c r="AX404" s="323"/>
      <c r="AY404" s="323"/>
      <c r="AZ404" s="323"/>
      <c r="BA404" s="323"/>
      <c r="BB404" s="323"/>
      <c r="BC404" s="323"/>
      <c r="BD404" s="323"/>
      <c r="BE404" s="323"/>
      <c r="BF404" s="323"/>
      <c r="BG404" s="323"/>
      <c r="BH404" s="323"/>
      <c r="BI404" s="323"/>
      <c r="BJ404" s="323"/>
      <c r="BK404" s="323"/>
      <c r="BL404" s="323"/>
      <c r="BM404" s="323"/>
      <c r="BN404" s="323"/>
      <c r="BO404" s="323"/>
      <c r="BP404" s="323"/>
      <c r="BQ404" s="323"/>
      <c r="BR404" s="323"/>
      <c r="BS404" s="323"/>
      <c r="BT404" s="323"/>
      <c r="BU404" s="323"/>
      <c r="BV404" s="323"/>
      <c r="BW404" s="323"/>
      <c r="BX404" s="323"/>
      <c r="BY404" s="323"/>
    </row>
    <row r="405" spans="1:77" s="113" customFormat="1" ht="12.75" x14ac:dyDescent="0.2">
      <c r="A405" s="303"/>
      <c r="B405" s="130"/>
      <c r="C405" s="130"/>
      <c r="D405" s="115"/>
      <c r="E405" s="115"/>
      <c r="F405" s="115"/>
      <c r="H405" s="114"/>
      <c r="I405" s="114"/>
      <c r="S405" s="331"/>
      <c r="T405" s="114"/>
      <c r="AS405" s="323"/>
      <c r="AT405" s="323"/>
      <c r="AU405" s="323"/>
      <c r="AV405" s="323"/>
      <c r="AW405" s="323"/>
      <c r="AX405" s="323"/>
      <c r="AY405" s="323"/>
      <c r="AZ405" s="323"/>
      <c r="BA405" s="323"/>
      <c r="BB405" s="323"/>
      <c r="BC405" s="323"/>
      <c r="BD405" s="323"/>
      <c r="BE405" s="323"/>
      <c r="BF405" s="323"/>
      <c r="BG405" s="323"/>
      <c r="BH405" s="323"/>
      <c r="BI405" s="323"/>
      <c r="BJ405" s="323"/>
      <c r="BK405" s="323"/>
      <c r="BL405" s="323"/>
      <c r="BM405" s="323"/>
      <c r="BN405" s="323"/>
      <c r="BO405" s="323"/>
      <c r="BP405" s="323"/>
      <c r="BQ405" s="323"/>
      <c r="BR405" s="323"/>
      <c r="BS405" s="323"/>
      <c r="BT405" s="323"/>
      <c r="BU405" s="323"/>
      <c r="BV405" s="323"/>
      <c r="BW405" s="323"/>
      <c r="BX405" s="323"/>
      <c r="BY405" s="323"/>
    </row>
    <row r="406" spans="1:77" s="113" customFormat="1" ht="12.75" x14ac:dyDescent="0.2">
      <c r="A406" s="303"/>
      <c r="B406" s="130"/>
      <c r="C406" s="130"/>
      <c r="D406" s="115"/>
      <c r="E406" s="115"/>
      <c r="F406" s="115"/>
      <c r="H406" s="114"/>
      <c r="I406" s="114"/>
      <c r="S406" s="331"/>
      <c r="T406" s="114"/>
      <c r="AS406" s="323"/>
      <c r="AT406" s="323"/>
      <c r="AU406" s="323"/>
      <c r="AV406" s="323"/>
      <c r="AW406" s="323"/>
      <c r="AX406" s="323"/>
      <c r="AY406" s="323"/>
      <c r="AZ406" s="323"/>
      <c r="BA406" s="323"/>
      <c r="BB406" s="323"/>
      <c r="BC406" s="323"/>
      <c r="BD406" s="323"/>
      <c r="BE406" s="323"/>
      <c r="BF406" s="323"/>
      <c r="BG406" s="323"/>
      <c r="BH406" s="323"/>
      <c r="BI406" s="323"/>
      <c r="BJ406" s="323"/>
      <c r="BK406" s="323"/>
      <c r="BL406" s="323"/>
      <c r="BM406" s="323"/>
      <c r="BN406" s="323"/>
      <c r="BO406" s="323"/>
      <c r="BP406" s="323"/>
      <c r="BQ406" s="323"/>
      <c r="BR406" s="323"/>
      <c r="BS406" s="323"/>
      <c r="BT406" s="323"/>
      <c r="BU406" s="323"/>
      <c r="BV406" s="323"/>
      <c r="BW406" s="323"/>
      <c r="BX406" s="323"/>
      <c r="BY406" s="323"/>
    </row>
    <row r="407" spans="1:77" s="113" customFormat="1" ht="12.75" x14ac:dyDescent="0.2">
      <c r="A407" s="303"/>
      <c r="B407" s="130"/>
      <c r="C407" s="130"/>
      <c r="D407" s="115"/>
      <c r="E407" s="115"/>
      <c r="F407" s="115"/>
      <c r="H407" s="114"/>
      <c r="I407" s="114"/>
      <c r="S407" s="331"/>
      <c r="T407" s="114"/>
      <c r="AS407" s="323"/>
      <c r="AT407" s="323"/>
      <c r="AU407" s="323"/>
      <c r="AV407" s="323"/>
      <c r="AW407" s="323"/>
      <c r="AX407" s="323"/>
      <c r="AY407" s="323"/>
      <c r="AZ407" s="323"/>
      <c r="BA407" s="323"/>
      <c r="BB407" s="323"/>
      <c r="BC407" s="323"/>
      <c r="BD407" s="323"/>
      <c r="BE407" s="323"/>
      <c r="BF407" s="323"/>
      <c r="BG407" s="323"/>
      <c r="BH407" s="323"/>
      <c r="BI407" s="323"/>
      <c r="BJ407" s="323"/>
      <c r="BK407" s="323"/>
      <c r="BL407" s="323"/>
      <c r="BM407" s="323"/>
      <c r="BN407" s="323"/>
      <c r="BO407" s="323"/>
      <c r="BP407" s="323"/>
      <c r="BQ407" s="323"/>
      <c r="BR407" s="323"/>
      <c r="BS407" s="323"/>
      <c r="BT407" s="323"/>
      <c r="BU407" s="323"/>
      <c r="BV407" s="323"/>
      <c r="BW407" s="323"/>
      <c r="BX407" s="323"/>
      <c r="BY407" s="323"/>
    </row>
    <row r="408" spans="1:77" s="113" customFormat="1" ht="12.75" x14ac:dyDescent="0.2">
      <c r="A408" s="303"/>
      <c r="B408" s="130"/>
      <c r="C408" s="130"/>
      <c r="D408" s="115"/>
      <c r="E408" s="115"/>
      <c r="F408" s="115"/>
      <c r="H408" s="114"/>
      <c r="I408" s="114"/>
      <c r="S408" s="331"/>
      <c r="T408" s="114"/>
      <c r="AS408" s="323"/>
      <c r="AT408" s="323"/>
      <c r="AU408" s="323"/>
      <c r="AV408" s="323"/>
      <c r="AW408" s="323"/>
      <c r="AX408" s="323"/>
      <c r="AY408" s="323"/>
      <c r="AZ408" s="323"/>
      <c r="BA408" s="323"/>
      <c r="BB408" s="323"/>
      <c r="BC408" s="323"/>
      <c r="BD408" s="323"/>
      <c r="BE408" s="323"/>
      <c r="BF408" s="323"/>
      <c r="BG408" s="323"/>
      <c r="BH408" s="323"/>
      <c r="BI408" s="323"/>
      <c r="BJ408" s="323"/>
      <c r="BK408" s="323"/>
      <c r="BL408" s="323"/>
      <c r="BM408" s="323"/>
      <c r="BN408" s="323"/>
      <c r="BO408" s="323"/>
      <c r="BP408" s="323"/>
      <c r="BQ408" s="323"/>
      <c r="BR408" s="323"/>
      <c r="BS408" s="323"/>
      <c r="BT408" s="323"/>
      <c r="BU408" s="323"/>
      <c r="BV408" s="323"/>
      <c r="BW408" s="323"/>
      <c r="BX408" s="323"/>
      <c r="BY408" s="323"/>
    </row>
    <row r="409" spans="1:77" s="113" customFormat="1" ht="12.75" x14ac:dyDescent="0.2">
      <c r="A409" s="303"/>
      <c r="B409" s="130"/>
      <c r="C409" s="130"/>
      <c r="D409" s="115"/>
      <c r="E409" s="115"/>
      <c r="F409" s="115"/>
      <c r="H409" s="114"/>
      <c r="I409" s="114"/>
      <c r="S409" s="331"/>
      <c r="T409" s="114"/>
      <c r="AS409" s="323"/>
      <c r="AT409" s="323"/>
      <c r="AU409" s="323"/>
      <c r="AV409" s="323"/>
      <c r="AW409" s="323"/>
      <c r="AX409" s="323"/>
      <c r="AY409" s="323"/>
      <c r="AZ409" s="323"/>
      <c r="BA409" s="323"/>
      <c r="BB409" s="323"/>
      <c r="BC409" s="323"/>
      <c r="BD409" s="323"/>
      <c r="BE409" s="323"/>
      <c r="BF409" s="323"/>
      <c r="BG409" s="323"/>
      <c r="BH409" s="323"/>
      <c r="BI409" s="323"/>
      <c r="BJ409" s="323"/>
      <c r="BK409" s="323"/>
      <c r="BL409" s="323"/>
      <c r="BM409" s="323"/>
      <c r="BN409" s="323"/>
      <c r="BO409" s="323"/>
      <c r="BP409" s="323"/>
      <c r="BQ409" s="323"/>
      <c r="BR409" s="323"/>
      <c r="BS409" s="323"/>
      <c r="BT409" s="323"/>
      <c r="BU409" s="323"/>
      <c r="BV409" s="323"/>
      <c r="BW409" s="323"/>
      <c r="BX409" s="323"/>
      <c r="BY409" s="323"/>
    </row>
    <row r="410" spans="1:77" s="113" customFormat="1" ht="12.75" x14ac:dyDescent="0.2">
      <c r="A410" s="303"/>
      <c r="B410" s="130"/>
      <c r="C410" s="130"/>
      <c r="D410" s="115"/>
      <c r="E410" s="115"/>
      <c r="F410" s="115"/>
      <c r="H410" s="114"/>
      <c r="I410" s="114"/>
      <c r="S410" s="331"/>
      <c r="T410" s="114"/>
      <c r="AS410" s="323"/>
      <c r="AT410" s="323"/>
      <c r="AU410" s="323"/>
      <c r="AV410" s="323"/>
      <c r="AW410" s="323"/>
      <c r="AX410" s="323"/>
      <c r="AY410" s="323"/>
      <c r="AZ410" s="323"/>
      <c r="BA410" s="323"/>
      <c r="BB410" s="323"/>
      <c r="BC410" s="323"/>
      <c r="BD410" s="323"/>
      <c r="BE410" s="323"/>
      <c r="BF410" s="323"/>
      <c r="BG410" s="323"/>
      <c r="BH410" s="323"/>
      <c r="BI410" s="323"/>
      <c r="BJ410" s="323"/>
      <c r="BK410" s="323"/>
      <c r="BL410" s="323"/>
      <c r="BM410" s="323"/>
      <c r="BN410" s="323"/>
      <c r="BO410" s="323"/>
      <c r="BP410" s="323"/>
      <c r="BQ410" s="323"/>
      <c r="BR410" s="323"/>
      <c r="BS410" s="323"/>
      <c r="BT410" s="323"/>
      <c r="BU410" s="323"/>
      <c r="BV410" s="323"/>
      <c r="BW410" s="323"/>
      <c r="BX410" s="323"/>
      <c r="BY410" s="323"/>
    </row>
    <row r="411" spans="1:77" s="113" customFormat="1" ht="12.75" x14ac:dyDescent="0.2">
      <c r="A411" s="303"/>
      <c r="B411" s="130"/>
      <c r="C411" s="130"/>
      <c r="D411" s="115"/>
      <c r="E411" s="115"/>
      <c r="F411" s="115"/>
      <c r="H411" s="114"/>
      <c r="I411" s="114"/>
      <c r="S411" s="331"/>
      <c r="T411" s="114"/>
      <c r="AS411" s="323"/>
      <c r="AT411" s="323"/>
      <c r="AU411" s="323"/>
      <c r="AV411" s="323"/>
      <c r="AW411" s="323"/>
      <c r="AX411" s="323"/>
      <c r="AY411" s="323"/>
      <c r="AZ411" s="323"/>
      <c r="BA411" s="323"/>
      <c r="BB411" s="323"/>
      <c r="BC411" s="323"/>
      <c r="BD411" s="323"/>
      <c r="BE411" s="323"/>
      <c r="BF411" s="323"/>
      <c r="BG411" s="323"/>
      <c r="BH411" s="323"/>
      <c r="BI411" s="323"/>
      <c r="BJ411" s="323"/>
      <c r="BK411" s="323"/>
      <c r="BL411" s="323"/>
      <c r="BM411" s="323"/>
      <c r="BN411" s="323"/>
      <c r="BO411" s="323"/>
      <c r="BP411" s="323"/>
      <c r="BQ411" s="323"/>
      <c r="BR411" s="323"/>
      <c r="BS411" s="323"/>
      <c r="BT411" s="323"/>
      <c r="BU411" s="323"/>
      <c r="BV411" s="323"/>
      <c r="BW411" s="323"/>
      <c r="BX411" s="323"/>
      <c r="BY411" s="323"/>
    </row>
    <row r="412" spans="1:77" s="113" customFormat="1" ht="12.75" x14ac:dyDescent="0.2">
      <c r="A412" s="303"/>
      <c r="B412" s="130"/>
      <c r="C412" s="130"/>
      <c r="D412" s="115"/>
      <c r="E412" s="115"/>
      <c r="F412" s="115"/>
      <c r="H412" s="114"/>
      <c r="I412" s="114"/>
      <c r="S412" s="331"/>
      <c r="T412" s="114"/>
      <c r="AS412" s="323"/>
      <c r="AT412" s="323"/>
      <c r="AU412" s="323"/>
      <c r="AV412" s="323"/>
      <c r="AW412" s="323"/>
      <c r="AX412" s="323"/>
      <c r="AY412" s="323"/>
      <c r="AZ412" s="323"/>
      <c r="BA412" s="323"/>
      <c r="BB412" s="323"/>
      <c r="BC412" s="323"/>
      <c r="BD412" s="323"/>
      <c r="BE412" s="323"/>
      <c r="BF412" s="323"/>
      <c r="BG412" s="323"/>
      <c r="BH412" s="323"/>
      <c r="BI412" s="323"/>
      <c r="BJ412" s="323"/>
      <c r="BK412" s="323"/>
      <c r="BL412" s="323"/>
      <c r="BM412" s="323"/>
      <c r="BN412" s="323"/>
      <c r="BO412" s="323"/>
      <c r="BP412" s="323"/>
      <c r="BQ412" s="323"/>
      <c r="BR412" s="323"/>
      <c r="BS412" s="323"/>
      <c r="BT412" s="323"/>
      <c r="BU412" s="323"/>
      <c r="BV412" s="323"/>
      <c r="BW412" s="323"/>
      <c r="BX412" s="323"/>
      <c r="BY412" s="323"/>
    </row>
    <row r="413" spans="1:77" s="113" customFormat="1" ht="12.75" x14ac:dyDescent="0.2">
      <c r="A413" s="303"/>
      <c r="B413" s="130"/>
      <c r="C413" s="130"/>
      <c r="D413" s="115"/>
      <c r="E413" s="115"/>
      <c r="F413" s="115"/>
      <c r="H413" s="114"/>
      <c r="I413" s="114"/>
      <c r="S413" s="331"/>
      <c r="T413" s="114"/>
      <c r="AS413" s="323"/>
      <c r="AT413" s="323"/>
      <c r="AU413" s="323"/>
      <c r="AV413" s="323"/>
      <c r="AW413" s="323"/>
      <c r="AX413" s="323"/>
      <c r="AY413" s="323"/>
      <c r="AZ413" s="323"/>
      <c r="BA413" s="323"/>
      <c r="BB413" s="323"/>
      <c r="BC413" s="323"/>
      <c r="BD413" s="323"/>
      <c r="BE413" s="323"/>
      <c r="BF413" s="323"/>
      <c r="BG413" s="323"/>
      <c r="BH413" s="323"/>
      <c r="BI413" s="323"/>
      <c r="BJ413" s="323"/>
      <c r="BK413" s="323"/>
      <c r="BL413" s="323"/>
      <c r="BM413" s="323"/>
      <c r="BN413" s="323"/>
      <c r="BO413" s="323"/>
      <c r="BP413" s="323"/>
      <c r="BQ413" s="323"/>
      <c r="BR413" s="323"/>
      <c r="BS413" s="323"/>
      <c r="BT413" s="323"/>
      <c r="BU413" s="323"/>
      <c r="BV413" s="323"/>
      <c r="BW413" s="323"/>
      <c r="BX413" s="323"/>
      <c r="BY413" s="323"/>
    </row>
    <row r="414" spans="1:77" s="113" customFormat="1" ht="12.75" x14ac:dyDescent="0.2">
      <c r="A414" s="303"/>
      <c r="B414" s="130"/>
      <c r="C414" s="130"/>
      <c r="D414" s="115"/>
      <c r="E414" s="115"/>
      <c r="F414" s="115"/>
      <c r="H414" s="114"/>
      <c r="I414" s="114"/>
      <c r="S414" s="331"/>
      <c r="T414" s="114"/>
      <c r="AS414" s="323"/>
      <c r="AT414" s="323"/>
      <c r="AU414" s="323"/>
      <c r="AV414" s="323"/>
      <c r="AW414" s="323"/>
      <c r="AX414" s="323"/>
      <c r="AY414" s="323"/>
      <c r="AZ414" s="323"/>
      <c r="BA414" s="323"/>
      <c r="BB414" s="323"/>
      <c r="BC414" s="323"/>
      <c r="BD414" s="323"/>
      <c r="BE414" s="323"/>
      <c r="BF414" s="323"/>
      <c r="BG414" s="323"/>
      <c r="BH414" s="323"/>
      <c r="BI414" s="323"/>
      <c r="BJ414" s="323"/>
      <c r="BK414" s="323"/>
      <c r="BL414" s="323"/>
      <c r="BM414" s="323"/>
      <c r="BN414" s="323"/>
      <c r="BO414" s="323"/>
      <c r="BP414" s="323"/>
      <c r="BQ414" s="323"/>
      <c r="BR414" s="323"/>
      <c r="BS414" s="323"/>
      <c r="BT414" s="323"/>
      <c r="BU414" s="323"/>
      <c r="BV414" s="323"/>
      <c r="BW414" s="323"/>
      <c r="BX414" s="323"/>
      <c r="BY414" s="323"/>
    </row>
    <row r="415" spans="1:77" s="113" customFormat="1" ht="12.75" x14ac:dyDescent="0.2">
      <c r="A415" s="303"/>
      <c r="B415" s="130"/>
      <c r="C415" s="130"/>
      <c r="D415" s="115"/>
      <c r="E415" s="115"/>
      <c r="F415" s="115"/>
      <c r="H415" s="114"/>
      <c r="I415" s="114"/>
      <c r="S415" s="331"/>
      <c r="T415" s="114"/>
      <c r="AS415" s="323"/>
      <c r="AT415" s="323"/>
      <c r="AU415" s="323"/>
      <c r="AV415" s="323"/>
      <c r="AW415" s="323"/>
      <c r="AX415" s="323"/>
      <c r="AY415" s="323"/>
      <c r="AZ415" s="323"/>
      <c r="BA415" s="323"/>
      <c r="BB415" s="323"/>
      <c r="BC415" s="323"/>
      <c r="BD415" s="323"/>
      <c r="BE415" s="323"/>
      <c r="BF415" s="323"/>
      <c r="BG415" s="323"/>
      <c r="BH415" s="323"/>
      <c r="BI415" s="323"/>
      <c r="BJ415" s="323"/>
      <c r="BK415" s="323"/>
      <c r="BL415" s="323"/>
      <c r="BM415" s="323"/>
      <c r="BN415" s="323"/>
      <c r="BO415" s="323"/>
      <c r="BP415" s="323"/>
      <c r="BQ415" s="323"/>
      <c r="BR415" s="323"/>
      <c r="BS415" s="323"/>
      <c r="BT415" s="323"/>
      <c r="BU415" s="323"/>
      <c r="BV415" s="323"/>
      <c r="BW415" s="323"/>
      <c r="BX415" s="323"/>
      <c r="BY415" s="323"/>
    </row>
    <row r="416" spans="1:77" s="113" customFormat="1" ht="12.75" x14ac:dyDescent="0.2">
      <c r="A416" s="303"/>
      <c r="B416" s="130"/>
      <c r="C416" s="130"/>
      <c r="D416" s="115"/>
      <c r="E416" s="115"/>
      <c r="F416" s="115"/>
      <c r="H416" s="114"/>
      <c r="I416" s="114"/>
      <c r="S416" s="331"/>
      <c r="T416" s="114"/>
      <c r="AS416" s="323"/>
      <c r="AT416" s="323"/>
      <c r="AU416" s="323"/>
      <c r="AV416" s="323"/>
      <c r="AW416" s="323"/>
      <c r="AX416" s="323"/>
      <c r="AY416" s="323"/>
      <c r="AZ416" s="323"/>
      <c r="BA416" s="323"/>
      <c r="BB416" s="323"/>
      <c r="BC416" s="323"/>
      <c r="BD416" s="323"/>
      <c r="BE416" s="323"/>
      <c r="BF416" s="323"/>
      <c r="BG416" s="323"/>
      <c r="BH416" s="323"/>
      <c r="BI416" s="323"/>
      <c r="BJ416" s="323"/>
      <c r="BK416" s="323"/>
      <c r="BL416" s="323"/>
      <c r="BM416" s="323"/>
      <c r="BN416" s="323"/>
      <c r="BO416" s="323"/>
      <c r="BP416" s="323"/>
      <c r="BQ416" s="323"/>
      <c r="BR416" s="323"/>
      <c r="BS416" s="323"/>
      <c r="BT416" s="323"/>
      <c r="BU416" s="323"/>
      <c r="BV416" s="323"/>
      <c r="BW416" s="323"/>
      <c r="BX416" s="323"/>
      <c r="BY416" s="323"/>
    </row>
    <row r="417" spans="1:77" s="113" customFormat="1" ht="12.75" x14ac:dyDescent="0.2">
      <c r="A417" s="303"/>
      <c r="B417" s="130"/>
      <c r="C417" s="130"/>
      <c r="D417" s="115"/>
      <c r="E417" s="115"/>
      <c r="F417" s="115"/>
      <c r="H417" s="114"/>
      <c r="I417" s="114"/>
      <c r="S417" s="331"/>
      <c r="T417" s="114"/>
      <c r="AS417" s="323"/>
      <c r="AT417" s="323"/>
      <c r="AU417" s="323"/>
      <c r="AV417" s="323"/>
      <c r="AW417" s="323"/>
      <c r="AX417" s="323"/>
      <c r="AY417" s="323"/>
      <c r="AZ417" s="323"/>
      <c r="BA417" s="323"/>
      <c r="BB417" s="323"/>
      <c r="BC417" s="323"/>
      <c r="BD417" s="323"/>
      <c r="BE417" s="323"/>
      <c r="BF417" s="323"/>
      <c r="BG417" s="323"/>
      <c r="BH417" s="323"/>
      <c r="BI417" s="323"/>
      <c r="BJ417" s="323"/>
      <c r="BK417" s="323"/>
      <c r="BL417" s="323"/>
      <c r="BM417" s="323"/>
      <c r="BN417" s="323"/>
      <c r="BO417" s="323"/>
      <c r="BP417" s="323"/>
      <c r="BQ417" s="323"/>
      <c r="BR417" s="323"/>
      <c r="BS417" s="323"/>
      <c r="BT417" s="323"/>
      <c r="BU417" s="323"/>
      <c r="BV417" s="323"/>
      <c r="BW417" s="323"/>
      <c r="BX417" s="323"/>
      <c r="BY417" s="323"/>
    </row>
    <row r="418" spans="1:77" s="113" customFormat="1" ht="12.75" x14ac:dyDescent="0.2">
      <c r="A418" s="303"/>
      <c r="B418" s="130"/>
      <c r="C418" s="130"/>
      <c r="D418" s="115"/>
      <c r="E418" s="115"/>
      <c r="F418" s="115"/>
      <c r="H418" s="114"/>
      <c r="I418" s="114"/>
      <c r="S418" s="331"/>
      <c r="T418" s="114"/>
      <c r="AS418" s="323"/>
      <c r="AT418" s="323"/>
      <c r="AU418" s="323"/>
      <c r="AV418" s="323"/>
      <c r="AW418" s="323"/>
      <c r="AX418" s="323"/>
      <c r="AY418" s="323"/>
      <c r="AZ418" s="323"/>
      <c r="BA418" s="323"/>
      <c r="BB418" s="323"/>
      <c r="BC418" s="323"/>
      <c r="BD418" s="323"/>
      <c r="BE418" s="323"/>
      <c r="BF418" s="323"/>
      <c r="BG418" s="323"/>
      <c r="BH418" s="323"/>
      <c r="BI418" s="323"/>
      <c r="BJ418" s="323"/>
      <c r="BK418" s="323"/>
      <c r="BL418" s="323"/>
      <c r="BM418" s="323"/>
      <c r="BN418" s="323"/>
      <c r="BO418" s="323"/>
      <c r="BP418" s="323"/>
      <c r="BQ418" s="323"/>
      <c r="BR418" s="323"/>
      <c r="BS418" s="323"/>
      <c r="BT418" s="323"/>
      <c r="BU418" s="323"/>
      <c r="BV418" s="323"/>
      <c r="BW418" s="323"/>
      <c r="BX418" s="323"/>
      <c r="BY418" s="323"/>
    </row>
    <row r="419" spans="1:77" s="113" customFormat="1" ht="12.75" x14ac:dyDescent="0.2">
      <c r="A419" s="303"/>
      <c r="B419" s="130"/>
      <c r="C419" s="130"/>
      <c r="D419" s="115"/>
      <c r="E419" s="115"/>
      <c r="F419" s="115"/>
      <c r="H419" s="114"/>
      <c r="I419" s="114"/>
      <c r="S419" s="331"/>
      <c r="T419" s="114"/>
      <c r="AS419" s="323"/>
      <c r="AT419" s="323"/>
      <c r="AU419" s="323"/>
      <c r="AV419" s="323"/>
      <c r="AW419" s="323"/>
      <c r="AX419" s="323"/>
      <c r="AY419" s="323"/>
      <c r="AZ419" s="323"/>
      <c r="BA419" s="323"/>
      <c r="BB419" s="323"/>
      <c r="BC419" s="323"/>
      <c r="BD419" s="323"/>
      <c r="BE419" s="323"/>
      <c r="BF419" s="323"/>
      <c r="BG419" s="323"/>
      <c r="BH419" s="323"/>
      <c r="BI419" s="323"/>
      <c r="BJ419" s="323"/>
      <c r="BK419" s="323"/>
      <c r="BL419" s="323"/>
      <c r="BM419" s="323"/>
      <c r="BN419" s="323"/>
      <c r="BO419" s="323"/>
      <c r="BP419" s="323"/>
      <c r="BQ419" s="323"/>
      <c r="BR419" s="323"/>
      <c r="BS419" s="323"/>
      <c r="BT419" s="323"/>
      <c r="BU419" s="323"/>
      <c r="BV419" s="323"/>
      <c r="BW419" s="323"/>
      <c r="BX419" s="323"/>
      <c r="BY419" s="323"/>
    </row>
    <row r="420" spans="1:77" s="113" customFormat="1" ht="12.75" x14ac:dyDescent="0.2">
      <c r="A420" s="303"/>
      <c r="B420" s="130"/>
      <c r="C420" s="130"/>
      <c r="D420" s="115"/>
      <c r="E420" s="115"/>
      <c r="F420" s="115"/>
      <c r="H420" s="114"/>
      <c r="I420" s="114"/>
      <c r="S420" s="331"/>
      <c r="T420" s="114"/>
      <c r="AS420" s="323"/>
      <c r="AT420" s="323"/>
      <c r="AU420" s="323"/>
      <c r="AV420" s="323"/>
      <c r="AW420" s="323"/>
      <c r="AX420" s="323"/>
      <c r="AY420" s="323"/>
      <c r="AZ420" s="323"/>
      <c r="BA420" s="323"/>
      <c r="BB420" s="323"/>
      <c r="BC420" s="323"/>
      <c r="BD420" s="323"/>
      <c r="BE420" s="323"/>
      <c r="BF420" s="323"/>
      <c r="BG420" s="323"/>
      <c r="BH420" s="323"/>
      <c r="BI420" s="323"/>
      <c r="BJ420" s="323"/>
      <c r="BK420" s="323"/>
      <c r="BL420" s="323"/>
      <c r="BM420" s="323"/>
      <c r="BN420" s="323"/>
      <c r="BO420" s="323"/>
      <c r="BP420" s="323"/>
      <c r="BQ420" s="323"/>
      <c r="BR420" s="323"/>
      <c r="BS420" s="323"/>
      <c r="BT420" s="323"/>
      <c r="BU420" s="323"/>
      <c r="BV420" s="323"/>
      <c r="BW420" s="323"/>
      <c r="BX420" s="323"/>
      <c r="BY420" s="323"/>
    </row>
    <row r="421" spans="1:77" s="113" customFormat="1" ht="12.75" x14ac:dyDescent="0.2">
      <c r="A421" s="303"/>
      <c r="B421" s="130"/>
      <c r="C421" s="130"/>
      <c r="D421" s="115"/>
      <c r="E421" s="115"/>
      <c r="F421" s="115"/>
      <c r="H421" s="114"/>
      <c r="I421" s="114"/>
      <c r="S421" s="331"/>
      <c r="T421" s="114"/>
      <c r="AS421" s="323"/>
      <c r="AT421" s="323"/>
      <c r="AU421" s="323"/>
      <c r="AV421" s="323"/>
      <c r="AW421" s="323"/>
      <c r="AX421" s="323"/>
      <c r="AY421" s="323"/>
      <c r="AZ421" s="323"/>
      <c r="BA421" s="323"/>
      <c r="BB421" s="323"/>
      <c r="BC421" s="323"/>
      <c r="BD421" s="323"/>
      <c r="BE421" s="323"/>
      <c r="BF421" s="323"/>
      <c r="BG421" s="323"/>
      <c r="BH421" s="323"/>
      <c r="BI421" s="323"/>
      <c r="BJ421" s="323"/>
      <c r="BK421" s="323"/>
      <c r="BL421" s="323"/>
      <c r="BM421" s="323"/>
      <c r="BN421" s="323"/>
      <c r="BO421" s="323"/>
      <c r="BP421" s="323"/>
      <c r="BQ421" s="323"/>
      <c r="BR421" s="323"/>
      <c r="BS421" s="323"/>
      <c r="BT421" s="323"/>
      <c r="BU421" s="323"/>
      <c r="BV421" s="323"/>
      <c r="BW421" s="323"/>
      <c r="BX421" s="323"/>
      <c r="BY421" s="323"/>
    </row>
    <row r="422" spans="1:77" s="113" customFormat="1" ht="12.75" x14ac:dyDescent="0.2">
      <c r="A422" s="303"/>
      <c r="B422" s="130"/>
      <c r="C422" s="130"/>
      <c r="D422" s="115"/>
      <c r="E422" s="115"/>
      <c r="F422" s="115"/>
      <c r="H422" s="114"/>
      <c r="I422" s="114"/>
      <c r="S422" s="331"/>
      <c r="T422" s="114"/>
      <c r="AS422" s="323"/>
      <c r="AT422" s="323"/>
      <c r="AU422" s="323"/>
      <c r="AV422" s="323"/>
      <c r="AW422" s="323"/>
      <c r="AX422" s="323"/>
      <c r="AY422" s="323"/>
      <c r="AZ422" s="323"/>
      <c r="BA422" s="323"/>
      <c r="BB422" s="323"/>
      <c r="BC422" s="323"/>
      <c r="BD422" s="323"/>
      <c r="BE422" s="323"/>
      <c r="BF422" s="323"/>
      <c r="BG422" s="323"/>
      <c r="BH422" s="323"/>
      <c r="BI422" s="323"/>
      <c r="BJ422" s="323"/>
      <c r="BK422" s="323"/>
      <c r="BL422" s="323"/>
      <c r="BM422" s="323"/>
      <c r="BN422" s="323"/>
      <c r="BO422" s="323"/>
      <c r="BP422" s="323"/>
      <c r="BQ422" s="323"/>
      <c r="BR422" s="323"/>
      <c r="BS422" s="323"/>
      <c r="BT422" s="323"/>
      <c r="BU422" s="323"/>
      <c r="BV422" s="323"/>
      <c r="BW422" s="323"/>
      <c r="BX422" s="323"/>
      <c r="BY422" s="323"/>
    </row>
    <row r="423" spans="1:77" s="113" customFormat="1" ht="12.75" x14ac:dyDescent="0.2">
      <c r="A423" s="303"/>
      <c r="B423" s="130"/>
      <c r="C423" s="130"/>
      <c r="D423" s="115"/>
      <c r="E423" s="115"/>
      <c r="F423" s="115"/>
      <c r="H423" s="114"/>
      <c r="I423" s="114"/>
      <c r="S423" s="331"/>
      <c r="T423" s="114"/>
      <c r="AS423" s="323"/>
      <c r="AT423" s="323"/>
      <c r="AU423" s="323"/>
      <c r="AV423" s="323"/>
      <c r="AW423" s="323"/>
      <c r="AX423" s="323"/>
      <c r="AY423" s="323"/>
      <c r="AZ423" s="323"/>
      <c r="BA423" s="323"/>
      <c r="BB423" s="323"/>
      <c r="BC423" s="323"/>
      <c r="BD423" s="323"/>
      <c r="BE423" s="323"/>
      <c r="BF423" s="323"/>
      <c r="BG423" s="323"/>
      <c r="BH423" s="323"/>
      <c r="BI423" s="323"/>
      <c r="BJ423" s="323"/>
      <c r="BK423" s="323"/>
      <c r="BL423" s="323"/>
      <c r="BM423" s="323"/>
      <c r="BN423" s="323"/>
      <c r="BO423" s="323"/>
      <c r="BP423" s="323"/>
      <c r="BQ423" s="323"/>
      <c r="BR423" s="323"/>
      <c r="BS423" s="323"/>
      <c r="BT423" s="323"/>
      <c r="BU423" s="323"/>
      <c r="BV423" s="323"/>
      <c r="BW423" s="323"/>
      <c r="BX423" s="323"/>
      <c r="BY423" s="323"/>
    </row>
    <row r="424" spans="1:77" s="113" customFormat="1" ht="12.75" x14ac:dyDescent="0.2">
      <c r="A424" s="303"/>
      <c r="B424" s="130"/>
      <c r="C424" s="130"/>
      <c r="D424" s="115"/>
      <c r="E424" s="115"/>
      <c r="F424" s="115"/>
      <c r="H424" s="114"/>
      <c r="I424" s="114"/>
      <c r="S424" s="331"/>
      <c r="T424" s="114"/>
      <c r="AS424" s="323"/>
      <c r="AT424" s="323"/>
      <c r="AU424" s="323"/>
      <c r="AV424" s="323"/>
      <c r="AW424" s="323"/>
      <c r="AX424" s="323"/>
      <c r="AY424" s="323"/>
      <c r="AZ424" s="323"/>
      <c r="BA424" s="323"/>
      <c r="BB424" s="323"/>
      <c r="BC424" s="323"/>
      <c r="BD424" s="323"/>
      <c r="BE424" s="323"/>
      <c r="BF424" s="323"/>
      <c r="BG424" s="323"/>
      <c r="BH424" s="323"/>
      <c r="BI424" s="323"/>
      <c r="BJ424" s="323"/>
      <c r="BK424" s="323"/>
      <c r="BL424" s="323"/>
      <c r="BM424" s="323"/>
      <c r="BN424" s="323"/>
      <c r="BO424" s="323"/>
      <c r="BP424" s="323"/>
      <c r="BQ424" s="323"/>
      <c r="BR424" s="323"/>
      <c r="BS424" s="323"/>
      <c r="BT424" s="323"/>
      <c r="BU424" s="323"/>
      <c r="BV424" s="323"/>
      <c r="BW424" s="323"/>
      <c r="BX424" s="323"/>
      <c r="BY424" s="323"/>
    </row>
    <row r="425" spans="1:77" s="113" customFormat="1" ht="12.75" x14ac:dyDescent="0.2">
      <c r="A425" s="303"/>
      <c r="B425" s="130"/>
      <c r="C425" s="130"/>
      <c r="D425" s="115"/>
      <c r="E425" s="115"/>
      <c r="F425" s="115"/>
      <c r="H425" s="114"/>
      <c r="I425" s="114"/>
      <c r="S425" s="331"/>
      <c r="T425" s="114"/>
      <c r="AS425" s="323"/>
      <c r="AT425" s="323"/>
      <c r="AU425" s="323"/>
      <c r="AV425" s="323"/>
      <c r="AW425" s="323"/>
      <c r="AX425" s="323"/>
      <c r="AY425" s="323"/>
      <c r="AZ425" s="323"/>
      <c r="BA425" s="323"/>
      <c r="BB425" s="323"/>
      <c r="BC425" s="323"/>
      <c r="BD425" s="323"/>
      <c r="BE425" s="323"/>
      <c r="BF425" s="323"/>
      <c r="BG425" s="323"/>
      <c r="BH425" s="323"/>
      <c r="BI425" s="323"/>
      <c r="BJ425" s="323"/>
      <c r="BK425" s="323"/>
      <c r="BL425" s="323"/>
      <c r="BM425" s="323"/>
      <c r="BN425" s="323"/>
      <c r="BO425" s="323"/>
      <c r="BP425" s="323"/>
      <c r="BQ425" s="323"/>
      <c r="BR425" s="323"/>
      <c r="BS425" s="323"/>
      <c r="BT425" s="323"/>
      <c r="BU425" s="323"/>
      <c r="BV425" s="323"/>
      <c r="BW425" s="323"/>
      <c r="BX425" s="323"/>
      <c r="BY425" s="323"/>
    </row>
    <row r="426" spans="1:77" s="113" customFormat="1" ht="12.75" x14ac:dyDescent="0.2">
      <c r="A426" s="303"/>
      <c r="B426" s="130"/>
      <c r="C426" s="130"/>
      <c r="D426" s="115"/>
      <c r="E426" s="115"/>
      <c r="F426" s="115"/>
      <c r="H426" s="114"/>
      <c r="I426" s="114"/>
      <c r="S426" s="331"/>
      <c r="T426" s="114"/>
      <c r="AS426" s="323"/>
      <c r="AT426" s="323"/>
      <c r="AU426" s="323"/>
      <c r="AV426" s="323"/>
      <c r="AW426" s="323"/>
      <c r="AX426" s="323"/>
      <c r="AY426" s="323"/>
      <c r="AZ426" s="323"/>
      <c r="BA426" s="323"/>
      <c r="BB426" s="323"/>
      <c r="BC426" s="323"/>
      <c r="BD426" s="323"/>
      <c r="BE426" s="323"/>
      <c r="BF426" s="323"/>
      <c r="BG426" s="323"/>
      <c r="BH426" s="323"/>
      <c r="BI426" s="323"/>
      <c r="BJ426" s="323"/>
      <c r="BK426" s="323"/>
      <c r="BL426" s="323"/>
      <c r="BM426" s="323"/>
      <c r="BN426" s="323"/>
      <c r="BO426" s="323"/>
      <c r="BP426" s="323"/>
      <c r="BQ426" s="323"/>
      <c r="BR426" s="323"/>
      <c r="BS426" s="323"/>
      <c r="BT426" s="323"/>
      <c r="BU426" s="323"/>
      <c r="BV426" s="323"/>
      <c r="BW426" s="323"/>
      <c r="BX426" s="323"/>
      <c r="BY426" s="323"/>
    </row>
    <row r="427" spans="1:77" s="113" customFormat="1" ht="12.75" x14ac:dyDescent="0.2">
      <c r="A427" s="303"/>
      <c r="B427" s="130"/>
      <c r="C427" s="130"/>
      <c r="D427" s="115"/>
      <c r="E427" s="115"/>
      <c r="F427" s="115"/>
      <c r="H427" s="114"/>
      <c r="I427" s="114"/>
      <c r="S427" s="331"/>
      <c r="T427" s="114"/>
      <c r="AS427" s="323"/>
      <c r="AT427" s="323"/>
      <c r="AU427" s="323"/>
      <c r="AV427" s="323"/>
      <c r="AW427" s="323"/>
      <c r="AX427" s="323"/>
      <c r="AY427" s="323"/>
      <c r="AZ427" s="323"/>
      <c r="BA427" s="323"/>
      <c r="BB427" s="323"/>
      <c r="BC427" s="323"/>
      <c r="BD427" s="323"/>
      <c r="BE427" s="323"/>
      <c r="BF427" s="323"/>
      <c r="BG427" s="323"/>
      <c r="BH427" s="323"/>
      <c r="BI427" s="323"/>
      <c r="BJ427" s="323"/>
      <c r="BK427" s="323"/>
      <c r="BL427" s="323"/>
      <c r="BM427" s="323"/>
      <c r="BN427" s="323"/>
      <c r="BO427" s="323"/>
      <c r="BP427" s="323"/>
      <c r="BQ427" s="323"/>
      <c r="BR427" s="323"/>
      <c r="BS427" s="323"/>
      <c r="BT427" s="323"/>
      <c r="BU427" s="323"/>
      <c r="BV427" s="323"/>
      <c r="BW427" s="323"/>
      <c r="BX427" s="323"/>
      <c r="BY427" s="323"/>
    </row>
    <row r="428" spans="1:77" s="113" customFormat="1" ht="12.75" x14ac:dyDescent="0.2">
      <c r="A428" s="303"/>
      <c r="B428" s="130"/>
      <c r="C428" s="130"/>
      <c r="D428" s="115"/>
      <c r="E428" s="115"/>
      <c r="F428" s="115"/>
      <c r="H428" s="114"/>
      <c r="I428" s="114"/>
      <c r="S428" s="331"/>
      <c r="T428" s="114"/>
      <c r="AS428" s="323"/>
      <c r="AT428" s="323"/>
      <c r="AU428" s="323"/>
      <c r="AV428" s="323"/>
      <c r="AW428" s="323"/>
      <c r="AX428" s="323"/>
      <c r="AY428" s="323"/>
      <c r="AZ428" s="323"/>
      <c r="BA428" s="323"/>
      <c r="BB428" s="323"/>
      <c r="BC428" s="323"/>
      <c r="BD428" s="323"/>
      <c r="BE428" s="323"/>
      <c r="BF428" s="323"/>
      <c r="BG428" s="323"/>
      <c r="BH428" s="323"/>
      <c r="BI428" s="323"/>
      <c r="BJ428" s="323"/>
      <c r="BK428" s="323"/>
      <c r="BL428" s="323"/>
      <c r="BM428" s="323"/>
      <c r="BN428" s="323"/>
      <c r="BO428" s="323"/>
      <c r="BP428" s="323"/>
      <c r="BQ428" s="323"/>
      <c r="BR428" s="323"/>
      <c r="BS428" s="323"/>
      <c r="BT428" s="323"/>
      <c r="BU428" s="323"/>
      <c r="BV428" s="323"/>
      <c r="BW428" s="323"/>
      <c r="BX428" s="323"/>
      <c r="BY428" s="323"/>
    </row>
    <row r="429" spans="1:77" s="113" customFormat="1" ht="12.75" x14ac:dyDescent="0.2">
      <c r="A429" s="303"/>
      <c r="B429" s="130"/>
      <c r="C429" s="130"/>
      <c r="D429" s="115"/>
      <c r="E429" s="115"/>
      <c r="F429" s="115"/>
      <c r="H429" s="114"/>
      <c r="I429" s="114"/>
      <c r="S429" s="331"/>
      <c r="T429" s="114"/>
      <c r="AS429" s="323"/>
      <c r="AT429" s="323"/>
      <c r="AU429" s="323"/>
      <c r="AV429" s="323"/>
      <c r="AW429" s="323"/>
      <c r="AX429" s="323"/>
      <c r="AY429" s="323"/>
      <c r="AZ429" s="323"/>
      <c r="BA429" s="323"/>
      <c r="BB429" s="323"/>
      <c r="BC429" s="323"/>
      <c r="BD429" s="323"/>
      <c r="BE429" s="323"/>
      <c r="BF429" s="323"/>
      <c r="BG429" s="323"/>
      <c r="BH429" s="323"/>
      <c r="BI429" s="323"/>
      <c r="BJ429" s="323"/>
      <c r="BK429" s="323"/>
      <c r="BL429" s="323"/>
      <c r="BM429" s="323"/>
      <c r="BN429" s="323"/>
      <c r="BO429" s="323"/>
      <c r="BP429" s="323"/>
      <c r="BQ429" s="323"/>
      <c r="BR429" s="323"/>
      <c r="BS429" s="323"/>
      <c r="BT429" s="323"/>
      <c r="BU429" s="323"/>
      <c r="BV429" s="323"/>
      <c r="BW429" s="323"/>
      <c r="BX429" s="323"/>
      <c r="BY429" s="323"/>
    </row>
    <row r="430" spans="1:77" s="113" customFormat="1" ht="12.75" x14ac:dyDescent="0.2">
      <c r="A430" s="303"/>
      <c r="B430" s="130"/>
      <c r="C430" s="130"/>
      <c r="D430" s="115"/>
      <c r="E430" s="115"/>
      <c r="F430" s="115"/>
      <c r="H430" s="114"/>
      <c r="I430" s="114"/>
      <c r="S430" s="331"/>
      <c r="T430" s="114"/>
      <c r="AS430" s="323"/>
      <c r="AT430" s="323"/>
      <c r="AU430" s="323"/>
      <c r="AV430" s="323"/>
      <c r="AW430" s="323"/>
      <c r="AX430" s="323"/>
      <c r="AY430" s="323"/>
      <c r="AZ430" s="323"/>
      <c r="BA430" s="323"/>
      <c r="BB430" s="323"/>
      <c r="BC430" s="323"/>
      <c r="BD430" s="323"/>
      <c r="BE430" s="323"/>
      <c r="BF430" s="323"/>
      <c r="BG430" s="323"/>
      <c r="BH430" s="323"/>
      <c r="BI430" s="323"/>
      <c r="BJ430" s="323"/>
      <c r="BK430" s="323"/>
      <c r="BL430" s="323"/>
      <c r="BM430" s="323"/>
      <c r="BN430" s="323"/>
      <c r="BO430" s="323"/>
      <c r="BP430" s="323"/>
      <c r="BQ430" s="323"/>
      <c r="BR430" s="323"/>
      <c r="BS430" s="323"/>
      <c r="BT430" s="323"/>
      <c r="BU430" s="323"/>
      <c r="BV430" s="323"/>
      <c r="BW430" s="323"/>
      <c r="BX430" s="323"/>
      <c r="BY430" s="323"/>
    </row>
    <row r="431" spans="1:77" s="113" customFormat="1" ht="12.75" x14ac:dyDescent="0.2">
      <c r="A431" s="303"/>
      <c r="B431" s="130"/>
      <c r="C431" s="130"/>
      <c r="D431" s="115"/>
      <c r="E431" s="115"/>
      <c r="F431" s="115"/>
      <c r="H431" s="114"/>
      <c r="I431" s="114"/>
      <c r="S431" s="331"/>
      <c r="T431" s="114"/>
      <c r="AS431" s="323"/>
      <c r="AT431" s="323"/>
      <c r="AU431" s="323"/>
      <c r="AV431" s="323"/>
      <c r="AW431" s="323"/>
      <c r="AX431" s="323"/>
      <c r="AY431" s="323"/>
      <c r="AZ431" s="323"/>
      <c r="BA431" s="323"/>
      <c r="BB431" s="323"/>
      <c r="BC431" s="323"/>
      <c r="BD431" s="323"/>
      <c r="BE431" s="323"/>
      <c r="BF431" s="323"/>
      <c r="BG431" s="323"/>
      <c r="BH431" s="323"/>
      <c r="BI431" s="323"/>
      <c r="BJ431" s="323"/>
      <c r="BK431" s="323"/>
      <c r="BL431" s="323"/>
      <c r="BM431" s="323"/>
      <c r="BN431" s="323"/>
      <c r="BO431" s="323"/>
      <c r="BP431" s="323"/>
      <c r="BQ431" s="323"/>
      <c r="BR431" s="323"/>
      <c r="BS431" s="323"/>
      <c r="BT431" s="323"/>
      <c r="BU431" s="323"/>
      <c r="BV431" s="323"/>
      <c r="BW431" s="323"/>
      <c r="BX431" s="323"/>
      <c r="BY431" s="323"/>
    </row>
    <row r="432" spans="1:77" s="113" customFormat="1" ht="12.75" x14ac:dyDescent="0.2">
      <c r="A432" s="303"/>
      <c r="B432" s="130"/>
      <c r="C432" s="130"/>
      <c r="D432" s="115"/>
      <c r="E432" s="115"/>
      <c r="F432" s="115"/>
      <c r="H432" s="114"/>
      <c r="I432" s="114"/>
      <c r="S432" s="331"/>
      <c r="T432" s="114"/>
      <c r="AS432" s="323"/>
      <c r="AT432" s="323"/>
      <c r="AU432" s="323"/>
      <c r="AV432" s="323"/>
      <c r="AW432" s="323"/>
      <c r="AX432" s="323"/>
      <c r="AY432" s="323"/>
      <c r="AZ432" s="323"/>
      <c r="BA432" s="323"/>
      <c r="BB432" s="323"/>
      <c r="BC432" s="323"/>
      <c r="BD432" s="323"/>
      <c r="BE432" s="323"/>
      <c r="BF432" s="323"/>
      <c r="BG432" s="323"/>
      <c r="BH432" s="323"/>
      <c r="BI432" s="323"/>
      <c r="BJ432" s="323"/>
      <c r="BK432" s="323"/>
      <c r="BL432" s="323"/>
      <c r="BM432" s="323"/>
      <c r="BN432" s="323"/>
      <c r="BO432" s="323"/>
      <c r="BP432" s="323"/>
      <c r="BQ432" s="323"/>
      <c r="BR432" s="323"/>
      <c r="BS432" s="323"/>
      <c r="BT432" s="323"/>
      <c r="BU432" s="323"/>
      <c r="BV432" s="323"/>
      <c r="BW432" s="323"/>
      <c r="BX432" s="323"/>
      <c r="BY432" s="323"/>
    </row>
    <row r="433" spans="1:77" s="113" customFormat="1" ht="12.75" x14ac:dyDescent="0.2">
      <c r="A433" s="303"/>
      <c r="B433" s="130"/>
      <c r="C433" s="130"/>
      <c r="D433" s="115"/>
      <c r="E433" s="115"/>
      <c r="F433" s="115"/>
      <c r="H433" s="114"/>
      <c r="I433" s="114"/>
      <c r="S433" s="331"/>
      <c r="T433" s="114"/>
      <c r="AS433" s="323"/>
      <c r="AT433" s="323"/>
      <c r="AU433" s="323"/>
      <c r="AV433" s="323"/>
      <c r="AW433" s="323"/>
      <c r="AX433" s="323"/>
      <c r="AY433" s="323"/>
      <c r="AZ433" s="323"/>
      <c r="BA433" s="323"/>
      <c r="BB433" s="323"/>
      <c r="BC433" s="323"/>
      <c r="BD433" s="323"/>
      <c r="BE433" s="323"/>
      <c r="BF433" s="323"/>
      <c r="BG433" s="323"/>
      <c r="BH433" s="323"/>
      <c r="BI433" s="323"/>
      <c r="BJ433" s="323"/>
      <c r="BK433" s="323"/>
      <c r="BL433" s="323"/>
      <c r="BM433" s="323"/>
      <c r="BN433" s="323"/>
      <c r="BO433" s="323"/>
      <c r="BP433" s="323"/>
      <c r="BQ433" s="323"/>
      <c r="BR433" s="323"/>
      <c r="BS433" s="323"/>
      <c r="BT433" s="323"/>
      <c r="BU433" s="323"/>
      <c r="BV433" s="323"/>
      <c r="BW433" s="323"/>
      <c r="BX433" s="323"/>
      <c r="BY433" s="323"/>
    </row>
    <row r="434" spans="1:77" s="113" customFormat="1" ht="12.75" x14ac:dyDescent="0.2">
      <c r="A434" s="303"/>
      <c r="B434" s="130"/>
      <c r="C434" s="130"/>
      <c r="D434" s="115"/>
      <c r="E434" s="115"/>
      <c r="F434" s="115"/>
      <c r="H434" s="114"/>
      <c r="I434" s="114"/>
      <c r="S434" s="331"/>
      <c r="T434" s="114"/>
      <c r="AS434" s="323"/>
      <c r="AT434" s="323"/>
      <c r="AU434" s="323"/>
      <c r="AV434" s="323"/>
      <c r="AW434" s="323"/>
      <c r="AX434" s="323"/>
      <c r="AY434" s="323"/>
      <c r="AZ434" s="323"/>
      <c r="BA434" s="323"/>
      <c r="BB434" s="323"/>
      <c r="BC434" s="323"/>
      <c r="BD434" s="323"/>
      <c r="BE434" s="323"/>
      <c r="BF434" s="323"/>
      <c r="BG434" s="323"/>
      <c r="BH434" s="323"/>
      <c r="BI434" s="323"/>
      <c r="BJ434" s="323"/>
      <c r="BK434" s="323"/>
      <c r="BL434" s="323"/>
      <c r="BM434" s="323"/>
      <c r="BN434" s="323"/>
      <c r="BO434" s="323"/>
      <c r="BP434" s="323"/>
      <c r="BQ434" s="323"/>
      <c r="BR434" s="323"/>
      <c r="BS434" s="323"/>
      <c r="BT434" s="323"/>
      <c r="BU434" s="323"/>
      <c r="BV434" s="323"/>
      <c r="BW434" s="323"/>
      <c r="BX434" s="323"/>
      <c r="BY434" s="323"/>
    </row>
    <row r="435" spans="1:77" s="113" customFormat="1" ht="12.75" x14ac:dyDescent="0.2">
      <c r="A435" s="303"/>
      <c r="B435" s="130"/>
      <c r="C435" s="130"/>
      <c r="D435" s="115"/>
      <c r="E435" s="115"/>
      <c r="F435" s="115"/>
      <c r="H435" s="114"/>
      <c r="I435" s="114"/>
      <c r="S435" s="331"/>
      <c r="T435" s="114"/>
      <c r="AS435" s="323"/>
      <c r="AT435" s="323"/>
      <c r="AU435" s="323"/>
      <c r="AV435" s="323"/>
      <c r="AW435" s="323"/>
      <c r="AX435" s="323"/>
      <c r="AY435" s="323"/>
      <c r="AZ435" s="323"/>
      <c r="BA435" s="323"/>
      <c r="BB435" s="323"/>
      <c r="BC435" s="323"/>
      <c r="BD435" s="323"/>
      <c r="BE435" s="323"/>
      <c r="BF435" s="323"/>
      <c r="BG435" s="323"/>
      <c r="BH435" s="323"/>
      <c r="BI435" s="323"/>
      <c r="BJ435" s="323"/>
      <c r="BK435" s="323"/>
      <c r="BL435" s="323"/>
      <c r="BM435" s="323"/>
      <c r="BN435" s="323"/>
      <c r="BO435" s="323"/>
      <c r="BP435" s="323"/>
      <c r="BQ435" s="323"/>
      <c r="BR435" s="323"/>
      <c r="BS435" s="323"/>
      <c r="BT435" s="323"/>
      <c r="BU435" s="323"/>
      <c r="BV435" s="323"/>
      <c r="BW435" s="323"/>
      <c r="BX435" s="323"/>
      <c r="BY435" s="323"/>
    </row>
    <row r="436" spans="1:77" s="113" customFormat="1" ht="12.75" x14ac:dyDescent="0.2">
      <c r="A436" s="303"/>
      <c r="B436" s="130"/>
      <c r="C436" s="130"/>
      <c r="D436" s="115"/>
      <c r="E436" s="115"/>
      <c r="F436" s="115"/>
      <c r="H436" s="114"/>
      <c r="I436" s="114"/>
      <c r="S436" s="331"/>
      <c r="T436" s="114"/>
      <c r="AS436" s="323"/>
      <c r="AT436" s="323"/>
      <c r="AU436" s="323"/>
      <c r="AV436" s="323"/>
      <c r="AW436" s="323"/>
      <c r="AX436" s="323"/>
      <c r="AY436" s="323"/>
      <c r="AZ436" s="323"/>
      <c r="BA436" s="323"/>
      <c r="BB436" s="323"/>
      <c r="BC436" s="323"/>
      <c r="BD436" s="323"/>
      <c r="BE436" s="323"/>
      <c r="BF436" s="323"/>
      <c r="BG436" s="323"/>
      <c r="BH436" s="323"/>
      <c r="BI436" s="323"/>
      <c r="BJ436" s="323"/>
      <c r="BK436" s="323"/>
      <c r="BL436" s="323"/>
      <c r="BM436" s="323"/>
      <c r="BN436" s="323"/>
      <c r="BO436" s="323"/>
      <c r="BP436" s="323"/>
      <c r="BQ436" s="323"/>
      <c r="BR436" s="323"/>
      <c r="BS436" s="323"/>
      <c r="BT436" s="323"/>
      <c r="BU436" s="323"/>
      <c r="BV436" s="323"/>
      <c r="BW436" s="323"/>
      <c r="BX436" s="323"/>
      <c r="BY436" s="323"/>
    </row>
    <row r="437" spans="1:77" s="113" customFormat="1" ht="12.75" x14ac:dyDescent="0.2">
      <c r="A437" s="303"/>
      <c r="B437" s="130"/>
      <c r="C437" s="130"/>
      <c r="D437" s="115"/>
      <c r="E437" s="115"/>
      <c r="F437" s="115"/>
      <c r="H437" s="114"/>
      <c r="I437" s="114"/>
      <c r="S437" s="331"/>
      <c r="T437" s="114"/>
      <c r="AS437" s="323"/>
      <c r="AT437" s="323"/>
      <c r="AU437" s="323"/>
      <c r="AV437" s="323"/>
      <c r="AW437" s="323"/>
      <c r="AX437" s="323"/>
      <c r="AY437" s="323"/>
      <c r="AZ437" s="323"/>
      <c r="BA437" s="323"/>
      <c r="BB437" s="323"/>
      <c r="BC437" s="323"/>
      <c r="BD437" s="323"/>
      <c r="BE437" s="323"/>
      <c r="BF437" s="323"/>
      <c r="BG437" s="323"/>
      <c r="BH437" s="323"/>
      <c r="BI437" s="323"/>
      <c r="BJ437" s="323"/>
      <c r="BK437" s="323"/>
      <c r="BL437" s="323"/>
      <c r="BM437" s="323"/>
      <c r="BN437" s="323"/>
      <c r="BO437" s="323"/>
      <c r="BP437" s="323"/>
      <c r="BQ437" s="323"/>
      <c r="BR437" s="323"/>
      <c r="BS437" s="323"/>
      <c r="BT437" s="323"/>
      <c r="BU437" s="323"/>
      <c r="BV437" s="323"/>
      <c r="BW437" s="323"/>
      <c r="BX437" s="323"/>
      <c r="BY437" s="323"/>
    </row>
    <row r="438" spans="1:77" s="113" customFormat="1" ht="12.75" x14ac:dyDescent="0.2">
      <c r="A438" s="303"/>
      <c r="B438" s="130"/>
      <c r="C438" s="130"/>
      <c r="D438" s="115"/>
      <c r="E438" s="115"/>
      <c r="F438" s="115"/>
      <c r="H438" s="114"/>
      <c r="I438" s="114"/>
      <c r="S438" s="331"/>
      <c r="T438" s="114"/>
      <c r="AS438" s="323"/>
      <c r="AT438" s="323"/>
      <c r="AU438" s="323"/>
      <c r="AV438" s="323"/>
      <c r="AW438" s="323"/>
      <c r="AX438" s="323"/>
      <c r="AY438" s="323"/>
      <c r="AZ438" s="323"/>
      <c r="BA438" s="323"/>
      <c r="BB438" s="323"/>
      <c r="BC438" s="323"/>
      <c r="BD438" s="323"/>
      <c r="BE438" s="323"/>
      <c r="BF438" s="323"/>
      <c r="BG438" s="323"/>
      <c r="BH438" s="323"/>
      <c r="BI438" s="323"/>
      <c r="BJ438" s="323"/>
      <c r="BK438" s="323"/>
      <c r="BL438" s="323"/>
      <c r="BM438" s="323"/>
      <c r="BN438" s="323"/>
      <c r="BO438" s="323"/>
      <c r="BP438" s="323"/>
      <c r="BQ438" s="323"/>
      <c r="BR438" s="323"/>
      <c r="BS438" s="323"/>
      <c r="BT438" s="323"/>
      <c r="BU438" s="323"/>
      <c r="BV438" s="323"/>
      <c r="BW438" s="323"/>
      <c r="BX438" s="323"/>
      <c r="BY438" s="323"/>
    </row>
    <row r="439" spans="1:77" s="113" customFormat="1" ht="12.75" x14ac:dyDescent="0.2">
      <c r="A439" s="303"/>
      <c r="B439" s="130"/>
      <c r="C439" s="130"/>
      <c r="D439" s="115"/>
      <c r="E439" s="115"/>
      <c r="F439" s="115"/>
      <c r="H439" s="114"/>
      <c r="I439" s="114"/>
      <c r="S439" s="331"/>
      <c r="T439" s="114"/>
      <c r="AS439" s="323"/>
      <c r="AT439" s="323"/>
      <c r="AU439" s="323"/>
      <c r="AV439" s="323"/>
      <c r="AW439" s="323"/>
      <c r="AX439" s="323"/>
      <c r="AY439" s="323"/>
      <c r="AZ439" s="323"/>
      <c r="BA439" s="323"/>
      <c r="BB439" s="323"/>
      <c r="BC439" s="323"/>
      <c r="BD439" s="323"/>
      <c r="BE439" s="323"/>
      <c r="BF439" s="323"/>
      <c r="BG439" s="323"/>
      <c r="BH439" s="323"/>
      <c r="BI439" s="323"/>
      <c r="BJ439" s="323"/>
      <c r="BK439" s="323"/>
      <c r="BL439" s="323"/>
      <c r="BM439" s="323"/>
      <c r="BN439" s="323"/>
      <c r="BO439" s="323"/>
      <c r="BP439" s="323"/>
      <c r="BQ439" s="323"/>
      <c r="BR439" s="323"/>
      <c r="BS439" s="323"/>
      <c r="BT439" s="323"/>
      <c r="BU439" s="323"/>
      <c r="BV439" s="323"/>
      <c r="BW439" s="323"/>
      <c r="BX439" s="323"/>
      <c r="BY439" s="323"/>
    </row>
    <row r="440" spans="1:77" s="113" customFormat="1" ht="12.75" x14ac:dyDescent="0.2">
      <c r="A440" s="303"/>
      <c r="B440" s="130"/>
      <c r="C440" s="130"/>
      <c r="D440" s="115"/>
      <c r="E440" s="115"/>
      <c r="F440" s="115"/>
      <c r="H440" s="114"/>
      <c r="I440" s="114"/>
      <c r="S440" s="331"/>
      <c r="T440" s="114"/>
      <c r="AS440" s="323"/>
      <c r="AT440" s="323"/>
      <c r="AU440" s="323"/>
      <c r="AV440" s="323"/>
      <c r="AW440" s="323"/>
      <c r="AX440" s="323"/>
      <c r="AY440" s="323"/>
      <c r="AZ440" s="323"/>
      <c r="BA440" s="323"/>
      <c r="BB440" s="323"/>
      <c r="BC440" s="323"/>
      <c r="BD440" s="323"/>
      <c r="BE440" s="323"/>
      <c r="BF440" s="323"/>
      <c r="BG440" s="323"/>
      <c r="BH440" s="323"/>
      <c r="BI440" s="323"/>
      <c r="BJ440" s="323"/>
      <c r="BK440" s="323"/>
      <c r="BL440" s="323"/>
      <c r="BM440" s="323"/>
      <c r="BN440" s="323"/>
      <c r="BO440" s="323"/>
      <c r="BP440" s="323"/>
      <c r="BQ440" s="323"/>
      <c r="BR440" s="323"/>
      <c r="BS440" s="323"/>
      <c r="BT440" s="323"/>
      <c r="BU440" s="323"/>
      <c r="BV440" s="323"/>
      <c r="BW440" s="323"/>
      <c r="BX440" s="323"/>
      <c r="BY440" s="323"/>
    </row>
    <row r="441" spans="1:77" s="113" customFormat="1" ht="12.75" x14ac:dyDescent="0.2">
      <c r="A441" s="303"/>
      <c r="B441" s="130"/>
      <c r="C441" s="130"/>
      <c r="D441" s="115"/>
      <c r="E441" s="115"/>
      <c r="F441" s="115"/>
      <c r="H441" s="114"/>
      <c r="I441" s="114"/>
      <c r="S441" s="331"/>
      <c r="T441" s="114"/>
      <c r="AS441" s="323"/>
      <c r="AT441" s="323"/>
      <c r="AU441" s="323"/>
      <c r="AV441" s="323"/>
      <c r="AW441" s="323"/>
      <c r="AX441" s="323"/>
      <c r="AY441" s="323"/>
      <c r="AZ441" s="323"/>
      <c r="BA441" s="323"/>
      <c r="BB441" s="323"/>
      <c r="BC441" s="323"/>
      <c r="BD441" s="323"/>
      <c r="BE441" s="323"/>
      <c r="BF441" s="323"/>
      <c r="BG441" s="323"/>
      <c r="BH441" s="323"/>
      <c r="BI441" s="323"/>
      <c r="BJ441" s="323"/>
      <c r="BK441" s="323"/>
      <c r="BL441" s="323"/>
      <c r="BM441" s="323"/>
      <c r="BN441" s="323"/>
      <c r="BO441" s="323"/>
      <c r="BP441" s="323"/>
      <c r="BQ441" s="323"/>
      <c r="BR441" s="323"/>
      <c r="BS441" s="323"/>
      <c r="BT441" s="323"/>
      <c r="BU441" s="323"/>
      <c r="BV441" s="323"/>
      <c r="BW441" s="323"/>
      <c r="BX441" s="323"/>
      <c r="BY441" s="323"/>
    </row>
    <row r="442" spans="1:77" s="113" customFormat="1" ht="12.75" x14ac:dyDescent="0.2">
      <c r="A442" s="303"/>
      <c r="B442" s="130"/>
      <c r="C442" s="130"/>
      <c r="D442" s="115"/>
      <c r="E442" s="115"/>
      <c r="F442" s="115"/>
      <c r="H442" s="114"/>
      <c r="I442" s="114"/>
      <c r="S442" s="331"/>
      <c r="T442" s="114"/>
      <c r="AS442" s="323"/>
      <c r="AT442" s="323"/>
      <c r="AU442" s="323"/>
      <c r="AV442" s="323"/>
      <c r="AW442" s="323"/>
      <c r="AX442" s="323"/>
      <c r="AY442" s="323"/>
      <c r="AZ442" s="323"/>
      <c r="BA442" s="323"/>
      <c r="BB442" s="323"/>
      <c r="BC442" s="323"/>
      <c r="BD442" s="323"/>
      <c r="BE442" s="323"/>
      <c r="BF442" s="323"/>
      <c r="BG442" s="323"/>
      <c r="BH442" s="323"/>
      <c r="BI442" s="323"/>
      <c r="BJ442" s="323"/>
      <c r="BK442" s="323"/>
      <c r="BL442" s="323"/>
      <c r="BM442" s="323"/>
      <c r="BN442" s="323"/>
      <c r="BO442" s="323"/>
      <c r="BP442" s="323"/>
      <c r="BQ442" s="323"/>
      <c r="BR442" s="323"/>
      <c r="BS442" s="323"/>
      <c r="BT442" s="323"/>
      <c r="BU442" s="323"/>
      <c r="BV442" s="323"/>
      <c r="BW442" s="323"/>
      <c r="BX442" s="323"/>
      <c r="BY442" s="323"/>
    </row>
  </sheetData>
  <dataConsolidate/>
  <mergeCells count="950">
    <mergeCell ref="A301:A306"/>
    <mergeCell ref="B301:B306"/>
    <mergeCell ref="C301:C306"/>
    <mergeCell ref="D301:D306"/>
    <mergeCell ref="E301:E306"/>
    <mergeCell ref="F301:F306"/>
    <mergeCell ref="G301:G306"/>
    <mergeCell ref="H301:H306"/>
    <mergeCell ref="I301:I306"/>
    <mergeCell ref="A319:A324"/>
    <mergeCell ref="B319:B324"/>
    <mergeCell ref="C319:C324"/>
    <mergeCell ref="D319:D324"/>
    <mergeCell ref="E319:E324"/>
    <mergeCell ref="F319:F324"/>
    <mergeCell ref="P307:P312"/>
    <mergeCell ref="Q307:Q312"/>
    <mergeCell ref="A307:A312"/>
    <mergeCell ref="B307:B312"/>
    <mergeCell ref="C307:C312"/>
    <mergeCell ref="D307:D312"/>
    <mergeCell ref="E307:E312"/>
    <mergeCell ref="F307:F312"/>
    <mergeCell ref="G307:G312"/>
    <mergeCell ref="H307:H312"/>
    <mergeCell ref="I307:I312"/>
    <mergeCell ref="J307:J312"/>
    <mergeCell ref="A313:A318"/>
    <mergeCell ref="B313:B318"/>
    <mergeCell ref="C313:C318"/>
    <mergeCell ref="D313:D318"/>
    <mergeCell ref="E313:E318"/>
    <mergeCell ref="F313:F318"/>
    <mergeCell ref="L217:L222"/>
    <mergeCell ref="J283:J288"/>
    <mergeCell ref="K283:K288"/>
    <mergeCell ref="L283:L288"/>
    <mergeCell ref="K313:K318"/>
    <mergeCell ref="K307:K312"/>
    <mergeCell ref="J253:J258"/>
    <mergeCell ref="K253:K258"/>
    <mergeCell ref="L253:L258"/>
    <mergeCell ref="K247:K252"/>
    <mergeCell ref="L247:L252"/>
    <mergeCell ref="A229:A234"/>
    <mergeCell ref="B229:B234"/>
    <mergeCell ref="C229:C234"/>
    <mergeCell ref="D229:D234"/>
    <mergeCell ref="E229:E234"/>
    <mergeCell ref="F229:F234"/>
    <mergeCell ref="G229:G234"/>
    <mergeCell ref="H229:H234"/>
    <mergeCell ref="I229:I234"/>
    <mergeCell ref="A241:A246"/>
    <mergeCell ref="D241:D246"/>
    <mergeCell ref="F241:F246"/>
    <mergeCell ref="J235:J240"/>
    <mergeCell ref="K235:K240"/>
    <mergeCell ref="L235:L240"/>
    <mergeCell ref="M235:M240"/>
    <mergeCell ref="O235:O240"/>
    <mergeCell ref="P235:P240"/>
    <mergeCell ref="B241:B246"/>
    <mergeCell ref="A235:A240"/>
    <mergeCell ref="B235:B240"/>
    <mergeCell ref="C235:C240"/>
    <mergeCell ref="D235:D240"/>
    <mergeCell ref="E235:E240"/>
    <mergeCell ref="F235:F240"/>
    <mergeCell ref="G235:G240"/>
    <mergeCell ref="H235:H240"/>
    <mergeCell ref="I235:I240"/>
    <mergeCell ref="Q235:Q240"/>
    <mergeCell ref="J223:J228"/>
    <mergeCell ref="K223:K228"/>
    <mergeCell ref="L223:L228"/>
    <mergeCell ref="M223:M228"/>
    <mergeCell ref="O223:O228"/>
    <mergeCell ref="P223:P228"/>
    <mergeCell ref="Q223:Q228"/>
    <mergeCell ref="J229:J234"/>
    <mergeCell ref="K229:K234"/>
    <mergeCell ref="L229:L234"/>
    <mergeCell ref="M229:M234"/>
    <mergeCell ref="O229:O234"/>
    <mergeCell ref="P229:P234"/>
    <mergeCell ref="Q229:Q234"/>
    <mergeCell ref="M217:M222"/>
    <mergeCell ref="O217:O222"/>
    <mergeCell ref="P217:P222"/>
    <mergeCell ref="Q217:Q222"/>
    <mergeCell ref="A223:A228"/>
    <mergeCell ref="B223:B228"/>
    <mergeCell ref="C223:C228"/>
    <mergeCell ref="D223:D228"/>
    <mergeCell ref="E223:E228"/>
    <mergeCell ref="F223:F228"/>
    <mergeCell ref="G223:G228"/>
    <mergeCell ref="H223:H228"/>
    <mergeCell ref="I223:I228"/>
    <mergeCell ref="A217:A222"/>
    <mergeCell ref="B217:B222"/>
    <mergeCell ref="C217:C222"/>
    <mergeCell ref="D217:D222"/>
    <mergeCell ref="E217:E222"/>
    <mergeCell ref="F217:F222"/>
    <mergeCell ref="G217:G222"/>
    <mergeCell ref="H217:H222"/>
    <mergeCell ref="I217:I222"/>
    <mergeCell ref="J217:J222"/>
    <mergeCell ref="K217:K222"/>
    <mergeCell ref="A211:A216"/>
    <mergeCell ref="B211:B216"/>
    <mergeCell ref="C211:C216"/>
    <mergeCell ref="D211:D216"/>
    <mergeCell ref="E211:E216"/>
    <mergeCell ref="F211:F216"/>
    <mergeCell ref="G211:G216"/>
    <mergeCell ref="H211:H216"/>
    <mergeCell ref="I211:I216"/>
    <mergeCell ref="J211:J216"/>
    <mergeCell ref="K211:K216"/>
    <mergeCell ref="L211:L216"/>
    <mergeCell ref="M211:M216"/>
    <mergeCell ref="O211:O216"/>
    <mergeCell ref="P211:P216"/>
    <mergeCell ref="Q211:Q216"/>
    <mergeCell ref="J7:J12"/>
    <mergeCell ref="K7:K12"/>
    <mergeCell ref="L7:L12"/>
    <mergeCell ref="M7:M12"/>
    <mergeCell ref="N7:N12"/>
    <mergeCell ref="O7:O12"/>
    <mergeCell ref="P7:P12"/>
    <mergeCell ref="Q7:Q12"/>
    <mergeCell ref="Q19:Q24"/>
    <mergeCell ref="J13:J18"/>
    <mergeCell ref="K13:K18"/>
    <mergeCell ref="L13:L18"/>
    <mergeCell ref="M13:M18"/>
    <mergeCell ref="N13:N18"/>
    <mergeCell ref="O13:O18"/>
    <mergeCell ref="P13:P18"/>
    <mergeCell ref="Q13:Q18"/>
    <mergeCell ref="A7:A12"/>
    <mergeCell ref="B7:B12"/>
    <mergeCell ref="C7:C12"/>
    <mergeCell ref="D7:D12"/>
    <mergeCell ref="E7:E12"/>
    <mergeCell ref="F7:F12"/>
    <mergeCell ref="G7:G12"/>
    <mergeCell ref="H7:H12"/>
    <mergeCell ref="I7:I12"/>
    <mergeCell ref="A13:A18"/>
    <mergeCell ref="B13:B18"/>
    <mergeCell ref="C13:C18"/>
    <mergeCell ref="D13:D18"/>
    <mergeCell ref="E13:E18"/>
    <mergeCell ref="F13:F18"/>
    <mergeCell ref="G13:G18"/>
    <mergeCell ref="H13:H18"/>
    <mergeCell ref="I13:I18"/>
    <mergeCell ref="D19:D24"/>
    <mergeCell ref="E19:E24"/>
    <mergeCell ref="F19:F24"/>
    <mergeCell ref="G19:G24"/>
    <mergeCell ref="H19:H24"/>
    <mergeCell ref="I19:I24"/>
    <mergeCell ref="J19:J24"/>
    <mergeCell ref="K19:K24"/>
    <mergeCell ref="L19:L24"/>
    <mergeCell ref="AO3:AO6"/>
    <mergeCell ref="AR3:AR6"/>
    <mergeCell ref="AN3:AN6"/>
    <mergeCell ref="AP3:AP6"/>
    <mergeCell ref="A25:A30"/>
    <mergeCell ref="B25:B30"/>
    <mergeCell ref="C25:C30"/>
    <mergeCell ref="D25:D30"/>
    <mergeCell ref="E25:E30"/>
    <mergeCell ref="F25:F30"/>
    <mergeCell ref="G25:G30"/>
    <mergeCell ref="H25:H30"/>
    <mergeCell ref="I25:I30"/>
    <mergeCell ref="J25:J30"/>
    <mergeCell ref="K25:K30"/>
    <mergeCell ref="L25:L30"/>
    <mergeCell ref="M25:M30"/>
    <mergeCell ref="N25:N30"/>
    <mergeCell ref="O25:O30"/>
    <mergeCell ref="P25:P30"/>
    <mergeCell ref="Q25:Q30"/>
    <mergeCell ref="A19:A24"/>
    <mergeCell ref="B19:B24"/>
    <mergeCell ref="C19:C24"/>
    <mergeCell ref="B3:B6"/>
    <mergeCell ref="D3:D6"/>
    <mergeCell ref="C3:C6"/>
    <mergeCell ref="L3:L6"/>
    <mergeCell ref="M3:M6"/>
    <mergeCell ref="N3:N6"/>
    <mergeCell ref="O3:O6"/>
    <mergeCell ref="P3:P6"/>
    <mergeCell ref="J3:J6"/>
    <mergeCell ref="I31:I36"/>
    <mergeCell ref="I271:I276"/>
    <mergeCell ref="I289:I294"/>
    <mergeCell ref="I295:I300"/>
    <mergeCell ref="I325:I330"/>
    <mergeCell ref="G3:G6"/>
    <mergeCell ref="E3:F4"/>
    <mergeCell ref="E5:E6"/>
    <mergeCell ref="F5:F6"/>
    <mergeCell ref="H325:H330"/>
    <mergeCell ref="H31:H36"/>
    <mergeCell ref="G31:G36"/>
    <mergeCell ref="H3:H6"/>
    <mergeCell ref="E31:E36"/>
    <mergeCell ref="I3:I6"/>
    <mergeCell ref="G325:G330"/>
    <mergeCell ref="E325:E330"/>
    <mergeCell ref="H265:H270"/>
    <mergeCell ref="I265:I270"/>
    <mergeCell ref="H73:H78"/>
    <mergeCell ref="I73:I78"/>
    <mergeCell ref="E85:E90"/>
    <mergeCell ref="F85:F90"/>
    <mergeCell ref="F325:F330"/>
    <mergeCell ref="P241:P246"/>
    <mergeCell ref="Q241:Q246"/>
    <mergeCell ref="P295:P300"/>
    <mergeCell ref="Q295:Q300"/>
    <mergeCell ref="P331:P336"/>
    <mergeCell ref="Q331:Q336"/>
    <mergeCell ref="P259:P264"/>
    <mergeCell ref="Q259:Q264"/>
    <mergeCell ref="P313:P318"/>
    <mergeCell ref="Q313:Q318"/>
    <mergeCell ref="P265:P270"/>
    <mergeCell ref="Q265:Q270"/>
    <mergeCell ref="P319:P324"/>
    <mergeCell ref="Q319:Q324"/>
    <mergeCell ref="P301:P306"/>
    <mergeCell ref="Q301:Q306"/>
    <mergeCell ref="P283:P288"/>
    <mergeCell ref="Q283:Q288"/>
    <mergeCell ref="L277:L282"/>
    <mergeCell ref="M277:M282"/>
    <mergeCell ref="N295:N300"/>
    <mergeCell ref="O295:O300"/>
    <mergeCell ref="L325:L330"/>
    <mergeCell ref="M325:M330"/>
    <mergeCell ref="L313:L318"/>
    <mergeCell ref="M313:M318"/>
    <mergeCell ref="N313:N318"/>
    <mergeCell ref="O313:O318"/>
    <mergeCell ref="L307:L312"/>
    <mergeCell ref="M307:M312"/>
    <mergeCell ref="N307:N312"/>
    <mergeCell ref="O307:O312"/>
    <mergeCell ref="N325:N330"/>
    <mergeCell ref="O325:O330"/>
    <mergeCell ref="M319:M324"/>
    <mergeCell ref="N319:N324"/>
    <mergeCell ref="O319:O324"/>
    <mergeCell ref="M301:M306"/>
    <mergeCell ref="P325:P330"/>
    <mergeCell ref="Q325:Q330"/>
    <mergeCell ref="A331:A336"/>
    <mergeCell ref="A259:A264"/>
    <mergeCell ref="E331:E336"/>
    <mergeCell ref="A295:A300"/>
    <mergeCell ref="F295:F300"/>
    <mergeCell ref="G295:G300"/>
    <mergeCell ref="H295:H300"/>
    <mergeCell ref="G289:G294"/>
    <mergeCell ref="H289:H294"/>
    <mergeCell ref="B289:B294"/>
    <mergeCell ref="B295:B300"/>
    <mergeCell ref="C289:C294"/>
    <mergeCell ref="C295:C300"/>
    <mergeCell ref="E289:E294"/>
    <mergeCell ref="E295:E300"/>
    <mergeCell ref="A325:A330"/>
    <mergeCell ref="D325:D330"/>
    <mergeCell ref="G313:G318"/>
    <mergeCell ref="H313:H318"/>
    <mergeCell ref="D277:D282"/>
    <mergeCell ref="E277:E282"/>
    <mergeCell ref="F277:F282"/>
    <mergeCell ref="G277:G282"/>
    <mergeCell ref="H277:H282"/>
    <mergeCell ref="I253:I258"/>
    <mergeCell ref="H241:H246"/>
    <mergeCell ref="I319:I324"/>
    <mergeCell ref="J259:J264"/>
    <mergeCell ref="K259:K264"/>
    <mergeCell ref="N301:N306"/>
    <mergeCell ref="O301:O306"/>
    <mergeCell ref="L259:L264"/>
    <mergeCell ref="M259:M264"/>
    <mergeCell ref="N259:N264"/>
    <mergeCell ref="O259:O264"/>
    <mergeCell ref="K289:K294"/>
    <mergeCell ref="M283:M288"/>
    <mergeCell ref="O283:O288"/>
    <mergeCell ref="J319:J324"/>
    <mergeCell ref="K319:K324"/>
    <mergeCell ref="L319:L324"/>
    <mergeCell ref="J313:J318"/>
    <mergeCell ref="J301:J306"/>
    <mergeCell ref="K301:K306"/>
    <mergeCell ref="L301:L306"/>
    <mergeCell ref="J277:J282"/>
    <mergeCell ref="K277:K282"/>
    <mergeCell ref="I313:I318"/>
    <mergeCell ref="J241:J246"/>
    <mergeCell ref="K241:K246"/>
    <mergeCell ref="C241:C246"/>
    <mergeCell ref="I241:I246"/>
    <mergeCell ref="E241:E246"/>
    <mergeCell ref="M241:M246"/>
    <mergeCell ref="N241:N246"/>
    <mergeCell ref="O241:O246"/>
    <mergeCell ref="L241:L246"/>
    <mergeCell ref="G241:G246"/>
    <mergeCell ref="B259:B264"/>
    <mergeCell ref="D259:D264"/>
    <mergeCell ref="F259:F264"/>
    <mergeCell ref="G259:G264"/>
    <mergeCell ref="H259:H264"/>
    <mergeCell ref="B325:B330"/>
    <mergeCell ref="B331:B336"/>
    <mergeCell ref="H331:H336"/>
    <mergeCell ref="G253:G258"/>
    <mergeCell ref="H253:H258"/>
    <mergeCell ref="G319:G324"/>
    <mergeCell ref="H319:H324"/>
    <mergeCell ref="C277:C282"/>
    <mergeCell ref="C325:C330"/>
    <mergeCell ref="C331:C336"/>
    <mergeCell ref="D331:D336"/>
    <mergeCell ref="F331:F336"/>
    <mergeCell ref="G331:G336"/>
    <mergeCell ref="C259:C264"/>
    <mergeCell ref="I259:I264"/>
    <mergeCell ref="E259:E264"/>
    <mergeCell ref="D295:D300"/>
    <mergeCell ref="P271:P276"/>
    <mergeCell ref="Q271:Q276"/>
    <mergeCell ref="O289:O294"/>
    <mergeCell ref="P289:P294"/>
    <mergeCell ref="Q289:Q294"/>
    <mergeCell ref="H271:H276"/>
    <mergeCell ref="J271:J276"/>
    <mergeCell ref="K271:K276"/>
    <mergeCell ref="L271:L276"/>
    <mergeCell ref="L289:L294"/>
    <mergeCell ref="M289:M294"/>
    <mergeCell ref="N289:N294"/>
    <mergeCell ref="H283:H288"/>
    <mergeCell ref="I283:I288"/>
    <mergeCell ref="O277:O282"/>
    <mergeCell ref="P277:P282"/>
    <mergeCell ref="Q277:Q282"/>
    <mergeCell ref="J289:J294"/>
    <mergeCell ref="J265:J270"/>
    <mergeCell ref="K265:K270"/>
    <mergeCell ref="L265:L270"/>
    <mergeCell ref="A289:A294"/>
    <mergeCell ref="A271:A276"/>
    <mergeCell ref="D271:D276"/>
    <mergeCell ref="F271:F276"/>
    <mergeCell ref="G271:G276"/>
    <mergeCell ref="E271:E276"/>
    <mergeCell ref="A265:A270"/>
    <mergeCell ref="B265:B270"/>
    <mergeCell ref="C265:C270"/>
    <mergeCell ref="D265:D270"/>
    <mergeCell ref="E265:E270"/>
    <mergeCell ref="F265:F270"/>
    <mergeCell ref="G265:G270"/>
    <mergeCell ref="D289:D294"/>
    <mergeCell ref="F289:F294"/>
    <mergeCell ref="A283:A288"/>
    <mergeCell ref="B283:B288"/>
    <mergeCell ref="C283:C288"/>
    <mergeCell ref="D283:D288"/>
    <mergeCell ref="E283:E288"/>
    <mergeCell ref="F283:F288"/>
    <mergeCell ref="G283:G288"/>
    <mergeCell ref="A277:A282"/>
    <mergeCell ref="B277:B282"/>
    <mergeCell ref="P31:P36"/>
    <mergeCell ref="Q31:Q36"/>
    <mergeCell ref="J31:J36"/>
    <mergeCell ref="K31:K36"/>
    <mergeCell ref="L31:L36"/>
    <mergeCell ref="M31:M36"/>
    <mergeCell ref="N31:N36"/>
    <mergeCell ref="O31:O36"/>
    <mergeCell ref="AI2:AM2"/>
    <mergeCell ref="AJ3:AJ6"/>
    <mergeCell ref="AK3:AK6"/>
    <mergeCell ref="AL3:AL6"/>
    <mergeCell ref="AM3:AM6"/>
    <mergeCell ref="K2:Q2"/>
    <mergeCell ref="R2:AA2"/>
    <mergeCell ref="K3:K6"/>
    <mergeCell ref="R3:R6"/>
    <mergeCell ref="V3:AA3"/>
    <mergeCell ref="M19:M24"/>
    <mergeCell ref="N19:N24"/>
    <mergeCell ref="O19:O24"/>
    <mergeCell ref="P19:P24"/>
    <mergeCell ref="A1:AR1"/>
    <mergeCell ref="AB3:AB6"/>
    <mergeCell ref="AC3:AC6"/>
    <mergeCell ref="AD3:AD6"/>
    <mergeCell ref="AE3:AE6"/>
    <mergeCell ref="AF3:AF6"/>
    <mergeCell ref="X4:X6"/>
    <mergeCell ref="Y4:Y6"/>
    <mergeCell ref="Z4:Z6"/>
    <mergeCell ref="AA4:AA6"/>
    <mergeCell ref="AB2:AH2"/>
    <mergeCell ref="A2:J2"/>
    <mergeCell ref="S3:S6"/>
    <mergeCell ref="AG3:AG6"/>
    <mergeCell ref="AH3:AH6"/>
    <mergeCell ref="AQ3:AQ6"/>
    <mergeCell ref="T3:T6"/>
    <mergeCell ref="AI3:AI6"/>
    <mergeCell ref="U3:U6"/>
    <mergeCell ref="Q3:Q6"/>
    <mergeCell ref="V4:V6"/>
    <mergeCell ref="W4:W6"/>
    <mergeCell ref="AN2:AR2"/>
    <mergeCell ref="A3:A6"/>
    <mergeCell ref="A31:A36"/>
    <mergeCell ref="D31:D36"/>
    <mergeCell ref="F31:F36"/>
    <mergeCell ref="C31:C36"/>
    <mergeCell ref="B253:B258"/>
    <mergeCell ref="C253:C258"/>
    <mergeCell ref="D253:D258"/>
    <mergeCell ref="E253:E258"/>
    <mergeCell ref="F253:F258"/>
    <mergeCell ref="A43:A48"/>
    <mergeCell ref="A49:A54"/>
    <mergeCell ref="B49:B54"/>
    <mergeCell ref="B31:B36"/>
    <mergeCell ref="A73:A78"/>
    <mergeCell ref="B73:B78"/>
    <mergeCell ref="C73:C78"/>
    <mergeCell ref="D73:D78"/>
    <mergeCell ref="E73:E78"/>
    <mergeCell ref="F73:F78"/>
    <mergeCell ref="A253:A258"/>
    <mergeCell ref="C49:C54"/>
    <mergeCell ref="A79:A84"/>
    <mergeCell ref="B79:B84"/>
    <mergeCell ref="B37:B42"/>
    <mergeCell ref="M253:M258"/>
    <mergeCell ref="O253:O258"/>
    <mergeCell ref="P253:P258"/>
    <mergeCell ref="Q253:Q258"/>
    <mergeCell ref="K49:K54"/>
    <mergeCell ref="L49:L54"/>
    <mergeCell ref="M49:M54"/>
    <mergeCell ref="O49:O54"/>
    <mergeCell ref="J85:J90"/>
    <mergeCell ref="Q61:Q66"/>
    <mergeCell ref="P79:P84"/>
    <mergeCell ref="Q79:Q84"/>
    <mergeCell ref="L85:L90"/>
    <mergeCell ref="P85:P90"/>
    <mergeCell ref="Q85:Q90"/>
    <mergeCell ref="J91:J96"/>
    <mergeCell ref="K91:K96"/>
    <mergeCell ref="L91:L96"/>
    <mergeCell ref="M91:M96"/>
    <mergeCell ref="O91:O96"/>
    <mergeCell ref="P91:P96"/>
    <mergeCell ref="P49:P54"/>
    <mergeCell ref="Q49:Q54"/>
    <mergeCell ref="J247:J252"/>
    <mergeCell ref="M265:M270"/>
    <mergeCell ref="N265:N270"/>
    <mergeCell ref="O265:O270"/>
    <mergeCell ref="C271:C276"/>
    <mergeCell ref="B271:B276"/>
    <mergeCell ref="M271:M276"/>
    <mergeCell ref="N271:N276"/>
    <mergeCell ref="O271:O276"/>
    <mergeCell ref="L331:L336"/>
    <mergeCell ref="M331:M336"/>
    <mergeCell ref="L295:L300"/>
    <mergeCell ref="J295:J300"/>
    <mergeCell ref="K295:K300"/>
    <mergeCell ref="J331:J336"/>
    <mergeCell ref="K331:K336"/>
    <mergeCell ref="J325:J330"/>
    <mergeCell ref="K325:K330"/>
    <mergeCell ref="M295:M300"/>
    <mergeCell ref="N331:N336"/>
    <mergeCell ref="O331:O336"/>
    <mergeCell ref="I331:I336"/>
    <mergeCell ref="I277:I282"/>
    <mergeCell ref="A247:A252"/>
    <mergeCell ref="B247:B252"/>
    <mergeCell ref="C247:C252"/>
    <mergeCell ref="D247:D252"/>
    <mergeCell ref="E247:E252"/>
    <mergeCell ref="F247:F252"/>
    <mergeCell ref="G247:G252"/>
    <mergeCell ref="H247:H252"/>
    <mergeCell ref="I247:I252"/>
    <mergeCell ref="M247:M252"/>
    <mergeCell ref="O247:O252"/>
    <mergeCell ref="P247:P252"/>
    <mergeCell ref="Q247:Q252"/>
    <mergeCell ref="I49:I54"/>
    <mergeCell ref="K73:K78"/>
    <mergeCell ref="P61:P66"/>
    <mergeCell ref="B61:B66"/>
    <mergeCell ref="C61:C66"/>
    <mergeCell ref="D61:D66"/>
    <mergeCell ref="E61:E66"/>
    <mergeCell ref="F61:F66"/>
    <mergeCell ref="G61:G66"/>
    <mergeCell ref="C79:C84"/>
    <mergeCell ref="D79:D84"/>
    <mergeCell ref="E79:E84"/>
    <mergeCell ref="F79:F84"/>
    <mergeCell ref="G79:G84"/>
    <mergeCell ref="H79:H84"/>
    <mergeCell ref="I79:I84"/>
    <mergeCell ref="J79:J84"/>
    <mergeCell ref="K79:K84"/>
    <mergeCell ref="P73:P78"/>
    <mergeCell ref="Q73:Q78"/>
    <mergeCell ref="C37:C42"/>
    <mergeCell ref="D37:D42"/>
    <mergeCell ref="E37:E42"/>
    <mergeCell ref="F37:F42"/>
    <mergeCell ref="G37:G42"/>
    <mergeCell ref="H37:H42"/>
    <mergeCell ref="I37:I42"/>
    <mergeCell ref="J49:J54"/>
    <mergeCell ref="J37:J42"/>
    <mergeCell ref="C43:C48"/>
    <mergeCell ref="D43:D48"/>
    <mergeCell ref="E43:E48"/>
    <mergeCell ref="F43:F48"/>
    <mergeCell ref="G43:G48"/>
    <mergeCell ref="H43:H48"/>
    <mergeCell ref="I43:I48"/>
    <mergeCell ref="J43:J48"/>
    <mergeCell ref="D49:D54"/>
    <mergeCell ref="E49:E54"/>
    <mergeCell ref="F49:F54"/>
    <mergeCell ref="G49:G54"/>
    <mergeCell ref="H49:H54"/>
    <mergeCell ref="K37:K42"/>
    <mergeCell ref="L37:L42"/>
    <mergeCell ref="M37:M42"/>
    <mergeCell ref="O37:O42"/>
    <mergeCell ref="P37:P42"/>
    <mergeCell ref="Q37:Q42"/>
    <mergeCell ref="A55:A60"/>
    <mergeCell ref="B55:B60"/>
    <mergeCell ref="C55:C60"/>
    <mergeCell ref="D55:D60"/>
    <mergeCell ref="E55:E60"/>
    <mergeCell ref="F55:F60"/>
    <mergeCell ref="G55:G60"/>
    <mergeCell ref="H55:H60"/>
    <mergeCell ref="I55:I60"/>
    <mergeCell ref="J55:J60"/>
    <mergeCell ref="K55:K60"/>
    <mergeCell ref="L55:L60"/>
    <mergeCell ref="M55:M60"/>
    <mergeCell ref="O55:O60"/>
    <mergeCell ref="P55:P60"/>
    <mergeCell ref="Q55:Q60"/>
    <mergeCell ref="A37:A42"/>
    <mergeCell ref="B43:B48"/>
    <mergeCell ref="K43:K48"/>
    <mergeCell ref="L43:L48"/>
    <mergeCell ref="M43:M48"/>
    <mergeCell ref="O43:O48"/>
    <mergeCell ref="P43:P48"/>
    <mergeCell ref="Q43:Q48"/>
    <mergeCell ref="J73:J78"/>
    <mergeCell ref="A67:A72"/>
    <mergeCell ref="B67:B72"/>
    <mergeCell ref="C67:C72"/>
    <mergeCell ref="D67:D72"/>
    <mergeCell ref="E67:E72"/>
    <mergeCell ref="F67:F72"/>
    <mergeCell ref="G67:G72"/>
    <mergeCell ref="H67:H72"/>
    <mergeCell ref="I67:I72"/>
    <mergeCell ref="J67:J72"/>
    <mergeCell ref="K67:K72"/>
    <mergeCell ref="L67:L72"/>
    <mergeCell ref="M67:M72"/>
    <mergeCell ref="O67:O72"/>
    <mergeCell ref="P67:P72"/>
    <mergeCell ref="Q67:Q72"/>
    <mergeCell ref="A61:A66"/>
    <mergeCell ref="G73:G78"/>
    <mergeCell ref="I85:I90"/>
    <mergeCell ref="K61:K66"/>
    <mergeCell ref="L61:L66"/>
    <mergeCell ref="M61:M66"/>
    <mergeCell ref="O61:O66"/>
    <mergeCell ref="H61:H66"/>
    <mergeCell ref="I61:I66"/>
    <mergeCell ref="J61:J66"/>
    <mergeCell ref="L73:L78"/>
    <mergeCell ref="M73:M78"/>
    <mergeCell ref="O73:O78"/>
    <mergeCell ref="M85:M90"/>
    <mergeCell ref="O85:O90"/>
    <mergeCell ref="L79:L84"/>
    <mergeCell ref="M79:M84"/>
    <mergeCell ref="O79:O84"/>
    <mergeCell ref="K85:K90"/>
    <mergeCell ref="A91:A96"/>
    <mergeCell ref="B91:B96"/>
    <mergeCell ref="C91:C96"/>
    <mergeCell ref="D91:D96"/>
    <mergeCell ref="E91:E96"/>
    <mergeCell ref="F91:F96"/>
    <mergeCell ref="G91:G96"/>
    <mergeCell ref="H91:H96"/>
    <mergeCell ref="I91:I96"/>
    <mergeCell ref="Q91:Q96"/>
    <mergeCell ref="A85:A90"/>
    <mergeCell ref="B85:B90"/>
    <mergeCell ref="C85:C90"/>
    <mergeCell ref="D85:D90"/>
    <mergeCell ref="G85:G90"/>
    <mergeCell ref="H85:H90"/>
    <mergeCell ref="A109:A114"/>
    <mergeCell ref="B109:B114"/>
    <mergeCell ref="C109:C114"/>
    <mergeCell ref="D109:D114"/>
    <mergeCell ref="E109:E114"/>
    <mergeCell ref="F109:F114"/>
    <mergeCell ref="G109:G114"/>
    <mergeCell ref="H109:H114"/>
    <mergeCell ref="I109:I114"/>
    <mergeCell ref="J109:J114"/>
    <mergeCell ref="K109:K114"/>
    <mergeCell ref="L109:L114"/>
    <mergeCell ref="M109:M114"/>
    <mergeCell ref="O109:O114"/>
    <mergeCell ref="P109:P114"/>
    <mergeCell ref="Q109:Q114"/>
    <mergeCell ref="O103:O108"/>
    <mergeCell ref="A115:A120"/>
    <mergeCell ref="C103:C108"/>
    <mergeCell ref="D103:D108"/>
    <mergeCell ref="E103:E108"/>
    <mergeCell ref="F103:F108"/>
    <mergeCell ref="G103:G108"/>
    <mergeCell ref="H103:H108"/>
    <mergeCell ref="I103:I108"/>
    <mergeCell ref="J103:J108"/>
    <mergeCell ref="D133:D138"/>
    <mergeCell ref="E133:E138"/>
    <mergeCell ref="F133:F138"/>
    <mergeCell ref="G133:G138"/>
    <mergeCell ref="K103:K108"/>
    <mergeCell ref="L103:L108"/>
    <mergeCell ref="M103:M108"/>
    <mergeCell ref="L115:L120"/>
    <mergeCell ref="M115:M120"/>
    <mergeCell ref="F115:F120"/>
    <mergeCell ref="G115:G120"/>
    <mergeCell ref="H115:H120"/>
    <mergeCell ref="I115:I120"/>
    <mergeCell ref="J115:J120"/>
    <mergeCell ref="J133:J138"/>
    <mergeCell ref="K133:K138"/>
    <mergeCell ref="M133:M138"/>
    <mergeCell ref="P103:P108"/>
    <mergeCell ref="Q103:Q108"/>
    <mergeCell ref="A97:A102"/>
    <mergeCell ref="B97:B102"/>
    <mergeCell ref="C97:C102"/>
    <mergeCell ref="D97:D102"/>
    <mergeCell ref="E97:E102"/>
    <mergeCell ref="F97:F102"/>
    <mergeCell ref="G97:G102"/>
    <mergeCell ref="H97:H102"/>
    <mergeCell ref="I97:I102"/>
    <mergeCell ref="J97:J102"/>
    <mergeCell ref="K97:K102"/>
    <mergeCell ref="L97:L102"/>
    <mergeCell ref="M97:M102"/>
    <mergeCell ref="O97:O102"/>
    <mergeCell ref="P97:P102"/>
    <mergeCell ref="Q97:Q102"/>
    <mergeCell ref="A103:A108"/>
    <mergeCell ref="B103:B108"/>
    <mergeCell ref="O115:O120"/>
    <mergeCell ref="P115:P120"/>
    <mergeCell ref="Q115:Q120"/>
    <mergeCell ref="A121:A126"/>
    <mergeCell ref="B121:B126"/>
    <mergeCell ref="C121:C126"/>
    <mergeCell ref="D121:D126"/>
    <mergeCell ref="E121:E126"/>
    <mergeCell ref="F121:F126"/>
    <mergeCell ref="G121:G126"/>
    <mergeCell ref="H121:H126"/>
    <mergeCell ref="I121:I126"/>
    <mergeCell ref="J121:J126"/>
    <mergeCell ref="K121:K126"/>
    <mergeCell ref="L121:L126"/>
    <mergeCell ref="M121:M126"/>
    <mergeCell ref="O121:O126"/>
    <mergeCell ref="P121:P126"/>
    <mergeCell ref="Q121:Q126"/>
    <mergeCell ref="B115:B120"/>
    <mergeCell ref="C115:C120"/>
    <mergeCell ref="D115:D120"/>
    <mergeCell ref="K115:K120"/>
    <mergeCell ref="E115:E120"/>
    <mergeCell ref="O133:O138"/>
    <mergeCell ref="P133:P138"/>
    <mergeCell ref="Q133:Q138"/>
    <mergeCell ref="A127:A132"/>
    <mergeCell ref="B127:B132"/>
    <mergeCell ref="C127:C132"/>
    <mergeCell ref="D127:D132"/>
    <mergeCell ref="E127:E132"/>
    <mergeCell ref="F127:F132"/>
    <mergeCell ref="G127:G132"/>
    <mergeCell ref="H127:H132"/>
    <mergeCell ref="I127:I132"/>
    <mergeCell ref="J127:J132"/>
    <mergeCell ref="K127:K132"/>
    <mergeCell ref="L127:L132"/>
    <mergeCell ref="M127:M132"/>
    <mergeCell ref="O127:O132"/>
    <mergeCell ref="P127:P132"/>
    <mergeCell ref="Q127:Q132"/>
    <mergeCell ref="A133:A138"/>
    <mergeCell ref="H133:H138"/>
    <mergeCell ref="I133:I138"/>
    <mergeCell ref="B133:B138"/>
    <mergeCell ref="C133:C138"/>
    <mergeCell ref="E145:E150"/>
    <mergeCell ref="F145:F150"/>
    <mergeCell ref="G145:G150"/>
    <mergeCell ref="H145:H150"/>
    <mergeCell ref="I145:I150"/>
    <mergeCell ref="L133:L138"/>
    <mergeCell ref="J145:J150"/>
    <mergeCell ref="K145:K150"/>
    <mergeCell ref="L145:L150"/>
    <mergeCell ref="M145:M150"/>
    <mergeCell ref="O145:O150"/>
    <mergeCell ref="P145:P150"/>
    <mergeCell ref="Q145:Q150"/>
    <mergeCell ref="A139:A144"/>
    <mergeCell ref="B139:B144"/>
    <mergeCell ref="C139:C144"/>
    <mergeCell ref="D139:D144"/>
    <mergeCell ref="E139:E144"/>
    <mergeCell ref="F139:F144"/>
    <mergeCell ref="G139:G144"/>
    <mergeCell ref="H139:H144"/>
    <mergeCell ref="I139:I144"/>
    <mergeCell ref="J139:J144"/>
    <mergeCell ref="K139:K144"/>
    <mergeCell ref="L139:L144"/>
    <mergeCell ref="M139:M144"/>
    <mergeCell ref="O139:O144"/>
    <mergeCell ref="P139:P144"/>
    <mergeCell ref="Q139:Q144"/>
    <mergeCell ref="A145:A150"/>
    <mergeCell ref="B145:B150"/>
    <mergeCell ref="C145:C150"/>
    <mergeCell ref="D145:D150"/>
    <mergeCell ref="A151:A156"/>
    <mergeCell ref="B151:B156"/>
    <mergeCell ref="C151:C156"/>
    <mergeCell ref="D151:D156"/>
    <mergeCell ref="E151:E156"/>
    <mergeCell ref="F151:F156"/>
    <mergeCell ref="G151:G156"/>
    <mergeCell ref="H151:H156"/>
    <mergeCell ref="I151:I156"/>
    <mergeCell ref="J151:J156"/>
    <mergeCell ref="K151:K156"/>
    <mergeCell ref="L151:L156"/>
    <mergeCell ref="M151:M156"/>
    <mergeCell ref="O151:O156"/>
    <mergeCell ref="P151:P156"/>
    <mergeCell ref="Q151:Q156"/>
    <mergeCell ref="A181:A186"/>
    <mergeCell ref="B181:B186"/>
    <mergeCell ref="C181:C186"/>
    <mergeCell ref="D181:D186"/>
    <mergeCell ref="E181:E186"/>
    <mergeCell ref="F181:F186"/>
    <mergeCell ref="G181:G186"/>
    <mergeCell ref="H181:H186"/>
    <mergeCell ref="I181:I186"/>
    <mergeCell ref="J181:J186"/>
    <mergeCell ref="K181:K186"/>
    <mergeCell ref="L181:L186"/>
    <mergeCell ref="M181:M186"/>
    <mergeCell ref="O181:O186"/>
    <mergeCell ref="P181:P186"/>
    <mergeCell ref="Q181:Q186"/>
    <mergeCell ref="A157:A162"/>
    <mergeCell ref="P187:P192"/>
    <mergeCell ref="Q187:Q192"/>
    <mergeCell ref="A163:A168"/>
    <mergeCell ref="B163:B168"/>
    <mergeCell ref="C163:C168"/>
    <mergeCell ref="D163:D168"/>
    <mergeCell ref="E163:E168"/>
    <mergeCell ref="F163:F168"/>
    <mergeCell ref="G163:G168"/>
    <mergeCell ref="H163:H168"/>
    <mergeCell ref="I163:I168"/>
    <mergeCell ref="J163:J168"/>
    <mergeCell ref="K163:K168"/>
    <mergeCell ref="L163:L168"/>
    <mergeCell ref="M163:M168"/>
    <mergeCell ref="O163:O168"/>
    <mergeCell ref="P163:P168"/>
    <mergeCell ref="Q163:Q168"/>
    <mergeCell ref="C169:C174"/>
    <mergeCell ref="A187:A192"/>
    <mergeCell ref="B187:B192"/>
    <mergeCell ref="C187:C192"/>
    <mergeCell ref="D187:D192"/>
    <mergeCell ref="E187:E192"/>
    <mergeCell ref="G157:G162"/>
    <mergeCell ref="H157:H162"/>
    <mergeCell ref="I157:I162"/>
    <mergeCell ref="J157:J162"/>
    <mergeCell ref="J187:J192"/>
    <mergeCell ref="K187:K192"/>
    <mergeCell ref="L187:L192"/>
    <mergeCell ref="M187:M192"/>
    <mergeCell ref="O187:O192"/>
    <mergeCell ref="G187:G192"/>
    <mergeCell ref="H187:H192"/>
    <mergeCell ref="I187:I192"/>
    <mergeCell ref="I169:I174"/>
    <mergeCell ref="J169:J174"/>
    <mergeCell ref="K169:K174"/>
    <mergeCell ref="L169:L174"/>
    <mergeCell ref="K157:K162"/>
    <mergeCell ref="L157:L162"/>
    <mergeCell ref="M157:M162"/>
    <mergeCell ref="O157:O162"/>
    <mergeCell ref="Q157:Q162"/>
    <mergeCell ref="A175:A180"/>
    <mergeCell ref="B175:B180"/>
    <mergeCell ref="C175:C180"/>
    <mergeCell ref="D175:D180"/>
    <mergeCell ref="E175:E180"/>
    <mergeCell ref="F175:F180"/>
    <mergeCell ref="G175:G180"/>
    <mergeCell ref="H175:H180"/>
    <mergeCell ref="I175:I180"/>
    <mergeCell ref="J175:J180"/>
    <mergeCell ref="K175:K180"/>
    <mergeCell ref="L175:L180"/>
    <mergeCell ref="M175:M180"/>
    <mergeCell ref="O175:O180"/>
    <mergeCell ref="P175:P180"/>
    <mergeCell ref="Q175:Q180"/>
    <mergeCell ref="A169:A174"/>
    <mergeCell ref="B169:B174"/>
    <mergeCell ref="B157:B162"/>
    <mergeCell ref="C157:C162"/>
    <mergeCell ref="D157:D162"/>
    <mergeCell ref="E157:E162"/>
    <mergeCell ref="F157:F162"/>
    <mergeCell ref="P157:P162"/>
    <mergeCell ref="A199:A204"/>
    <mergeCell ref="B199:B204"/>
    <mergeCell ref="C199:C204"/>
    <mergeCell ref="D199:D204"/>
    <mergeCell ref="D169:D174"/>
    <mergeCell ref="E169:E174"/>
    <mergeCell ref="F169:F174"/>
    <mergeCell ref="G169:G174"/>
    <mergeCell ref="H169:H174"/>
    <mergeCell ref="F187:F192"/>
    <mergeCell ref="J199:J204"/>
    <mergeCell ref="K199:K204"/>
    <mergeCell ref="L199:L204"/>
    <mergeCell ref="M199:M204"/>
    <mergeCell ref="M169:M174"/>
    <mergeCell ref="O169:O174"/>
    <mergeCell ref="P169:P174"/>
    <mergeCell ref="E193:E198"/>
    <mergeCell ref="F193:F198"/>
    <mergeCell ref="G193:G198"/>
    <mergeCell ref="H193:H198"/>
    <mergeCell ref="I193:I198"/>
    <mergeCell ref="J193:J198"/>
    <mergeCell ref="Q169:Q174"/>
    <mergeCell ref="A205:A210"/>
    <mergeCell ref="B205:B210"/>
    <mergeCell ref="C205:C210"/>
    <mergeCell ref="D205:D210"/>
    <mergeCell ref="E205:E210"/>
    <mergeCell ref="F205:F210"/>
    <mergeCell ref="G205:G210"/>
    <mergeCell ref="H205:H210"/>
    <mergeCell ref="I205:I210"/>
    <mergeCell ref="J205:J210"/>
    <mergeCell ref="K205:K210"/>
    <mergeCell ref="L205:L210"/>
    <mergeCell ref="M205:M210"/>
    <mergeCell ref="O205:O210"/>
    <mergeCell ref="P205:P210"/>
    <mergeCell ref="Q205:Q210"/>
    <mergeCell ref="O199:O204"/>
    <mergeCell ref="P199:P204"/>
    <mergeCell ref="Q199:Q204"/>
    <mergeCell ref="A193:A198"/>
    <mergeCell ref="B193:B198"/>
    <mergeCell ref="C193:C198"/>
    <mergeCell ref="D193:D198"/>
    <mergeCell ref="K193:K198"/>
    <mergeCell ref="L193:L198"/>
    <mergeCell ref="M193:M198"/>
    <mergeCell ref="O193:O198"/>
    <mergeCell ref="P193:P198"/>
    <mergeCell ref="Q193:Q198"/>
    <mergeCell ref="E199:E204"/>
    <mergeCell ref="F199:F204"/>
    <mergeCell ref="G199:G204"/>
    <mergeCell ref="H199:H204"/>
    <mergeCell ref="I199:I204"/>
  </mergeCells>
  <conditionalFormatting sqref="K271 K289 K295 K325 K331 K259 K31">
    <cfRule type="cellIs" dxfId="2832" priority="2969" operator="equal">
      <formula>"Muy Alta"</formula>
    </cfRule>
    <cfRule type="cellIs" dxfId="2831" priority="2970" operator="equal">
      <formula>"Alta"</formula>
    </cfRule>
    <cfRule type="cellIs" dxfId="2830" priority="2971" operator="equal">
      <formula>"Media"</formula>
    </cfRule>
    <cfRule type="cellIs" dxfId="2829" priority="2972" operator="equal">
      <formula>"Baja"</formula>
    </cfRule>
    <cfRule type="cellIs" dxfId="2828" priority="2973" operator="equal">
      <formula>"Muy Baja"</formula>
    </cfRule>
  </conditionalFormatting>
  <conditionalFormatting sqref="O31 O271 O289 O295 O325 O331 O259">
    <cfRule type="cellIs" dxfId="2827" priority="2964" operator="equal">
      <formula>"Catastrófico"</formula>
    </cfRule>
    <cfRule type="cellIs" dxfId="2826" priority="2965" operator="equal">
      <formula>"Mayor"</formula>
    </cfRule>
    <cfRule type="cellIs" dxfId="2825" priority="2966" operator="equal">
      <formula>"Moderado"</formula>
    </cfRule>
    <cfRule type="cellIs" dxfId="2824" priority="2967" operator="equal">
      <formula>"Menor"</formula>
    </cfRule>
    <cfRule type="cellIs" dxfId="2823" priority="2968" operator="equal">
      <formula>"Leve"</formula>
    </cfRule>
  </conditionalFormatting>
  <conditionalFormatting sqref="Q31">
    <cfRule type="cellIs" dxfId="2822" priority="2890" operator="equal">
      <formula>"Extremo"</formula>
    </cfRule>
    <cfRule type="cellIs" dxfId="2821" priority="2891" operator="equal">
      <formula>"Alto"</formula>
    </cfRule>
    <cfRule type="cellIs" dxfId="2820" priority="2892" operator="equal">
      <formula>"Moderado"</formula>
    </cfRule>
    <cfRule type="cellIs" dxfId="2819" priority="2893" operator="equal">
      <formula>"Bajo"</formula>
    </cfRule>
  </conditionalFormatting>
  <conditionalFormatting sqref="AC31:AC36">
    <cfRule type="cellIs" dxfId="2818" priority="2885" operator="equal">
      <formula>"Muy Alta"</formula>
    </cfRule>
    <cfRule type="cellIs" dxfId="2817" priority="2886" operator="equal">
      <formula>"Alta"</formula>
    </cfRule>
    <cfRule type="cellIs" dxfId="2816" priority="2887" operator="equal">
      <formula>"Media"</formula>
    </cfRule>
    <cfRule type="cellIs" dxfId="2815" priority="2888" operator="equal">
      <formula>"Baja"</formula>
    </cfRule>
    <cfRule type="cellIs" dxfId="2814" priority="2889" operator="equal">
      <formula>"Muy Baja"</formula>
    </cfRule>
  </conditionalFormatting>
  <conditionalFormatting sqref="AE31:AE36">
    <cfRule type="cellIs" dxfId="2813" priority="2880" operator="equal">
      <formula>"Catastrófico"</formula>
    </cfRule>
    <cfRule type="cellIs" dxfId="2812" priority="2881" operator="equal">
      <formula>"Mayor"</formula>
    </cfRule>
    <cfRule type="cellIs" dxfId="2811" priority="2882" operator="equal">
      <formula>"Moderado"</formula>
    </cfRule>
    <cfRule type="cellIs" dxfId="2810" priority="2883" operator="equal">
      <formula>"Menor"</formula>
    </cfRule>
    <cfRule type="cellIs" dxfId="2809" priority="2884" operator="equal">
      <formula>"Leve"</formula>
    </cfRule>
  </conditionalFormatting>
  <conditionalFormatting sqref="AG31:AG36">
    <cfRule type="cellIs" dxfId="2808" priority="2876" operator="equal">
      <formula>"Extremo"</formula>
    </cfRule>
    <cfRule type="cellIs" dxfId="2807" priority="2877" operator="equal">
      <formula>"Alto"</formula>
    </cfRule>
    <cfRule type="cellIs" dxfId="2806" priority="2878" operator="equal">
      <formula>"Moderado"</formula>
    </cfRule>
    <cfRule type="cellIs" dxfId="2805" priority="2879" operator="equal">
      <formula>"Bajo"</formula>
    </cfRule>
  </conditionalFormatting>
  <conditionalFormatting sqref="Q271">
    <cfRule type="cellIs" dxfId="2804" priority="2834" operator="equal">
      <formula>"Extremo"</formula>
    </cfRule>
    <cfRule type="cellIs" dxfId="2803" priority="2835" operator="equal">
      <formula>"Alto"</formula>
    </cfRule>
    <cfRule type="cellIs" dxfId="2802" priority="2836" operator="equal">
      <formula>"Moderado"</formula>
    </cfRule>
    <cfRule type="cellIs" dxfId="2801" priority="2837" operator="equal">
      <formula>"Bajo"</formula>
    </cfRule>
  </conditionalFormatting>
  <conditionalFormatting sqref="AC271:AC276">
    <cfRule type="cellIs" dxfId="2800" priority="2829" operator="equal">
      <formula>"Muy Alta"</formula>
    </cfRule>
    <cfRule type="cellIs" dxfId="2799" priority="2830" operator="equal">
      <formula>"Alta"</formula>
    </cfRule>
    <cfRule type="cellIs" dxfId="2798" priority="2831" operator="equal">
      <formula>"Media"</formula>
    </cfRule>
    <cfRule type="cellIs" dxfId="2797" priority="2832" operator="equal">
      <formula>"Baja"</formula>
    </cfRule>
    <cfRule type="cellIs" dxfId="2796" priority="2833" operator="equal">
      <formula>"Muy Baja"</formula>
    </cfRule>
  </conditionalFormatting>
  <conditionalFormatting sqref="AE271:AE276">
    <cfRule type="cellIs" dxfId="2795" priority="2824" operator="equal">
      <formula>"Catastrófico"</formula>
    </cfRule>
    <cfRule type="cellIs" dxfId="2794" priority="2825" operator="equal">
      <formula>"Mayor"</formula>
    </cfRule>
    <cfRule type="cellIs" dxfId="2793" priority="2826" operator="equal">
      <formula>"Moderado"</formula>
    </cfRule>
    <cfRule type="cellIs" dxfId="2792" priority="2827" operator="equal">
      <formula>"Menor"</formula>
    </cfRule>
    <cfRule type="cellIs" dxfId="2791" priority="2828" operator="equal">
      <formula>"Leve"</formula>
    </cfRule>
  </conditionalFormatting>
  <conditionalFormatting sqref="AG271:AG276">
    <cfRule type="cellIs" dxfId="2790" priority="2820" operator="equal">
      <formula>"Extremo"</formula>
    </cfRule>
    <cfRule type="cellIs" dxfId="2789" priority="2821" operator="equal">
      <formula>"Alto"</formula>
    </cfRule>
    <cfRule type="cellIs" dxfId="2788" priority="2822" operator="equal">
      <formula>"Moderado"</formula>
    </cfRule>
    <cfRule type="cellIs" dxfId="2787" priority="2823" operator="equal">
      <formula>"Bajo"</formula>
    </cfRule>
  </conditionalFormatting>
  <conditionalFormatting sqref="Q289">
    <cfRule type="cellIs" dxfId="2786" priority="2806" operator="equal">
      <formula>"Extremo"</formula>
    </cfRule>
    <cfRule type="cellIs" dxfId="2785" priority="2807" operator="equal">
      <formula>"Alto"</formula>
    </cfRule>
    <cfRule type="cellIs" dxfId="2784" priority="2808" operator="equal">
      <formula>"Moderado"</formula>
    </cfRule>
    <cfRule type="cellIs" dxfId="2783" priority="2809" operator="equal">
      <formula>"Bajo"</formula>
    </cfRule>
  </conditionalFormatting>
  <conditionalFormatting sqref="AC289:AC294">
    <cfRule type="cellIs" dxfId="2782" priority="2801" operator="equal">
      <formula>"Muy Alta"</formula>
    </cfRule>
    <cfRule type="cellIs" dxfId="2781" priority="2802" operator="equal">
      <formula>"Alta"</formula>
    </cfRule>
    <cfRule type="cellIs" dxfId="2780" priority="2803" operator="equal">
      <formula>"Media"</formula>
    </cfRule>
    <cfRule type="cellIs" dxfId="2779" priority="2804" operator="equal">
      <formula>"Baja"</formula>
    </cfRule>
    <cfRule type="cellIs" dxfId="2778" priority="2805" operator="equal">
      <formula>"Muy Baja"</formula>
    </cfRule>
  </conditionalFormatting>
  <conditionalFormatting sqref="AE289:AE294">
    <cfRule type="cellIs" dxfId="2777" priority="2796" operator="equal">
      <formula>"Catastrófico"</formula>
    </cfRule>
    <cfRule type="cellIs" dxfId="2776" priority="2797" operator="equal">
      <formula>"Mayor"</formula>
    </cfRule>
    <cfRule type="cellIs" dxfId="2775" priority="2798" operator="equal">
      <formula>"Moderado"</formula>
    </cfRule>
    <cfRule type="cellIs" dxfId="2774" priority="2799" operator="equal">
      <formula>"Menor"</formula>
    </cfRule>
    <cfRule type="cellIs" dxfId="2773" priority="2800" operator="equal">
      <formula>"Leve"</formula>
    </cfRule>
  </conditionalFormatting>
  <conditionalFormatting sqref="AG289:AG294">
    <cfRule type="cellIs" dxfId="2772" priority="2792" operator="equal">
      <formula>"Extremo"</formula>
    </cfRule>
    <cfRule type="cellIs" dxfId="2771" priority="2793" operator="equal">
      <formula>"Alto"</formula>
    </cfRule>
    <cfRule type="cellIs" dxfId="2770" priority="2794" operator="equal">
      <formula>"Moderado"</formula>
    </cfRule>
    <cfRule type="cellIs" dxfId="2769" priority="2795" operator="equal">
      <formula>"Bajo"</formula>
    </cfRule>
  </conditionalFormatting>
  <conditionalFormatting sqref="Q295">
    <cfRule type="cellIs" dxfId="2768" priority="2778" operator="equal">
      <formula>"Extremo"</formula>
    </cfRule>
    <cfRule type="cellIs" dxfId="2767" priority="2779" operator="equal">
      <formula>"Alto"</formula>
    </cfRule>
    <cfRule type="cellIs" dxfId="2766" priority="2780" operator="equal">
      <formula>"Moderado"</formula>
    </cfRule>
    <cfRule type="cellIs" dxfId="2765" priority="2781" operator="equal">
      <formula>"Bajo"</formula>
    </cfRule>
  </conditionalFormatting>
  <conditionalFormatting sqref="AC295:AC300">
    <cfRule type="cellIs" dxfId="2764" priority="2773" operator="equal">
      <formula>"Muy Alta"</formula>
    </cfRule>
    <cfRule type="cellIs" dxfId="2763" priority="2774" operator="equal">
      <formula>"Alta"</formula>
    </cfRule>
    <cfRule type="cellIs" dxfId="2762" priority="2775" operator="equal">
      <formula>"Media"</formula>
    </cfRule>
    <cfRule type="cellIs" dxfId="2761" priority="2776" operator="equal">
      <formula>"Baja"</formula>
    </cfRule>
    <cfRule type="cellIs" dxfId="2760" priority="2777" operator="equal">
      <formula>"Muy Baja"</formula>
    </cfRule>
  </conditionalFormatting>
  <conditionalFormatting sqref="AE295:AE300">
    <cfRule type="cellIs" dxfId="2759" priority="2768" operator="equal">
      <formula>"Catastrófico"</formula>
    </cfRule>
    <cfRule type="cellIs" dxfId="2758" priority="2769" operator="equal">
      <formula>"Mayor"</formula>
    </cfRule>
    <cfRule type="cellIs" dxfId="2757" priority="2770" operator="equal">
      <formula>"Moderado"</formula>
    </cfRule>
    <cfRule type="cellIs" dxfId="2756" priority="2771" operator="equal">
      <formula>"Menor"</formula>
    </cfRule>
    <cfRule type="cellIs" dxfId="2755" priority="2772" operator="equal">
      <formula>"Leve"</formula>
    </cfRule>
  </conditionalFormatting>
  <conditionalFormatting sqref="AG295:AG300">
    <cfRule type="cellIs" dxfId="2754" priority="2764" operator="equal">
      <formula>"Extremo"</formula>
    </cfRule>
    <cfRule type="cellIs" dxfId="2753" priority="2765" operator="equal">
      <formula>"Alto"</formula>
    </cfRule>
    <cfRule type="cellIs" dxfId="2752" priority="2766" operator="equal">
      <formula>"Moderado"</formula>
    </cfRule>
    <cfRule type="cellIs" dxfId="2751" priority="2767" operator="equal">
      <formula>"Bajo"</formula>
    </cfRule>
  </conditionalFormatting>
  <conditionalFormatting sqref="Q325">
    <cfRule type="cellIs" dxfId="2750" priority="2750" operator="equal">
      <formula>"Extremo"</formula>
    </cfRule>
    <cfRule type="cellIs" dxfId="2749" priority="2751" operator="equal">
      <formula>"Alto"</formula>
    </cfRule>
    <cfRule type="cellIs" dxfId="2748" priority="2752" operator="equal">
      <formula>"Moderado"</formula>
    </cfRule>
    <cfRule type="cellIs" dxfId="2747" priority="2753" operator="equal">
      <formula>"Bajo"</formula>
    </cfRule>
  </conditionalFormatting>
  <conditionalFormatting sqref="AC325:AC330">
    <cfRule type="cellIs" dxfId="2746" priority="2745" operator="equal">
      <formula>"Muy Alta"</formula>
    </cfRule>
    <cfRule type="cellIs" dxfId="2745" priority="2746" operator="equal">
      <formula>"Alta"</formula>
    </cfRule>
    <cfRule type="cellIs" dxfId="2744" priority="2747" operator="equal">
      <formula>"Media"</formula>
    </cfRule>
    <cfRule type="cellIs" dxfId="2743" priority="2748" operator="equal">
      <formula>"Baja"</formula>
    </cfRule>
    <cfRule type="cellIs" dxfId="2742" priority="2749" operator="equal">
      <formula>"Muy Baja"</formula>
    </cfRule>
  </conditionalFormatting>
  <conditionalFormatting sqref="AE325:AE330">
    <cfRule type="cellIs" dxfId="2741" priority="2740" operator="equal">
      <formula>"Catastrófico"</formula>
    </cfRule>
    <cfRule type="cellIs" dxfId="2740" priority="2741" operator="equal">
      <formula>"Mayor"</formula>
    </cfRule>
    <cfRule type="cellIs" dxfId="2739" priority="2742" operator="equal">
      <formula>"Moderado"</formula>
    </cfRule>
    <cfRule type="cellIs" dxfId="2738" priority="2743" operator="equal">
      <formula>"Menor"</formula>
    </cfRule>
    <cfRule type="cellIs" dxfId="2737" priority="2744" operator="equal">
      <formula>"Leve"</formula>
    </cfRule>
  </conditionalFormatting>
  <conditionalFormatting sqref="AG325:AG330">
    <cfRule type="cellIs" dxfId="2736" priority="2736" operator="equal">
      <formula>"Extremo"</formula>
    </cfRule>
    <cfRule type="cellIs" dxfId="2735" priority="2737" operator="equal">
      <formula>"Alto"</formula>
    </cfRule>
    <cfRule type="cellIs" dxfId="2734" priority="2738" operator="equal">
      <formula>"Moderado"</formula>
    </cfRule>
    <cfRule type="cellIs" dxfId="2733" priority="2739" operator="equal">
      <formula>"Bajo"</formula>
    </cfRule>
  </conditionalFormatting>
  <conditionalFormatting sqref="Q331">
    <cfRule type="cellIs" dxfId="2732" priority="2722" operator="equal">
      <formula>"Extremo"</formula>
    </cfRule>
    <cfRule type="cellIs" dxfId="2731" priority="2723" operator="equal">
      <formula>"Alto"</formula>
    </cfRule>
    <cfRule type="cellIs" dxfId="2730" priority="2724" operator="equal">
      <formula>"Moderado"</formula>
    </cfRule>
    <cfRule type="cellIs" dxfId="2729" priority="2725" operator="equal">
      <formula>"Bajo"</formula>
    </cfRule>
  </conditionalFormatting>
  <conditionalFormatting sqref="AC331:AC336">
    <cfRule type="cellIs" dxfId="2728" priority="2717" operator="equal">
      <formula>"Muy Alta"</formula>
    </cfRule>
    <cfRule type="cellIs" dxfId="2727" priority="2718" operator="equal">
      <formula>"Alta"</formula>
    </cfRule>
    <cfRule type="cellIs" dxfId="2726" priority="2719" operator="equal">
      <formula>"Media"</formula>
    </cfRule>
    <cfRule type="cellIs" dxfId="2725" priority="2720" operator="equal">
      <formula>"Baja"</formula>
    </cfRule>
    <cfRule type="cellIs" dxfId="2724" priority="2721" operator="equal">
      <formula>"Muy Baja"</formula>
    </cfRule>
  </conditionalFormatting>
  <conditionalFormatting sqref="AE331:AE336">
    <cfRule type="cellIs" dxfId="2723" priority="2712" operator="equal">
      <formula>"Catastrófico"</formula>
    </cfRule>
    <cfRule type="cellIs" dxfId="2722" priority="2713" operator="equal">
      <formula>"Mayor"</formula>
    </cfRule>
    <cfRule type="cellIs" dxfId="2721" priority="2714" operator="equal">
      <formula>"Moderado"</formula>
    </cfRule>
    <cfRule type="cellIs" dxfId="2720" priority="2715" operator="equal">
      <formula>"Menor"</formula>
    </cfRule>
    <cfRule type="cellIs" dxfId="2719" priority="2716" operator="equal">
      <formula>"Leve"</formula>
    </cfRule>
  </conditionalFormatting>
  <conditionalFormatting sqref="AG331:AG336">
    <cfRule type="cellIs" dxfId="2718" priority="2708" operator="equal">
      <formula>"Extremo"</formula>
    </cfRule>
    <cfRule type="cellIs" dxfId="2717" priority="2709" operator="equal">
      <formula>"Alto"</formula>
    </cfRule>
    <cfRule type="cellIs" dxfId="2716" priority="2710" operator="equal">
      <formula>"Moderado"</formula>
    </cfRule>
    <cfRule type="cellIs" dxfId="2715" priority="2711" operator="equal">
      <formula>"Bajo"</formula>
    </cfRule>
  </conditionalFormatting>
  <conditionalFormatting sqref="Q259">
    <cfRule type="cellIs" dxfId="2714" priority="2694" operator="equal">
      <formula>"Extremo"</formula>
    </cfRule>
    <cfRule type="cellIs" dxfId="2713" priority="2695" operator="equal">
      <formula>"Alto"</formula>
    </cfRule>
    <cfRule type="cellIs" dxfId="2712" priority="2696" operator="equal">
      <formula>"Moderado"</formula>
    </cfRule>
    <cfRule type="cellIs" dxfId="2711" priority="2697" operator="equal">
      <formula>"Bajo"</formula>
    </cfRule>
  </conditionalFormatting>
  <conditionalFormatting sqref="AC259:AC264">
    <cfRule type="cellIs" dxfId="2710" priority="2689" operator="equal">
      <formula>"Muy Alta"</formula>
    </cfRule>
    <cfRule type="cellIs" dxfId="2709" priority="2690" operator="equal">
      <formula>"Alta"</formula>
    </cfRule>
    <cfRule type="cellIs" dxfId="2708" priority="2691" operator="equal">
      <formula>"Media"</formula>
    </cfRule>
    <cfRule type="cellIs" dxfId="2707" priority="2692" operator="equal">
      <formula>"Baja"</formula>
    </cfRule>
    <cfRule type="cellIs" dxfId="2706" priority="2693" operator="equal">
      <formula>"Muy Baja"</formula>
    </cfRule>
  </conditionalFormatting>
  <conditionalFormatting sqref="AE259:AE264">
    <cfRule type="cellIs" dxfId="2705" priority="2684" operator="equal">
      <formula>"Catastrófico"</formula>
    </cfRule>
    <cfRule type="cellIs" dxfId="2704" priority="2685" operator="equal">
      <formula>"Mayor"</formula>
    </cfRule>
    <cfRule type="cellIs" dxfId="2703" priority="2686" operator="equal">
      <formula>"Moderado"</formula>
    </cfRule>
    <cfRule type="cellIs" dxfId="2702" priority="2687" operator="equal">
      <formula>"Menor"</formula>
    </cfRule>
    <cfRule type="cellIs" dxfId="2701" priority="2688" operator="equal">
      <formula>"Leve"</formula>
    </cfRule>
  </conditionalFormatting>
  <conditionalFormatting sqref="AG259:AG264">
    <cfRule type="cellIs" dxfId="2700" priority="2680" operator="equal">
      <formula>"Extremo"</formula>
    </cfRule>
    <cfRule type="cellIs" dxfId="2699" priority="2681" operator="equal">
      <formula>"Alto"</formula>
    </cfRule>
    <cfRule type="cellIs" dxfId="2698" priority="2682" operator="equal">
      <formula>"Moderado"</formula>
    </cfRule>
    <cfRule type="cellIs" dxfId="2697" priority="2683" operator="equal">
      <formula>"Bajo"</formula>
    </cfRule>
  </conditionalFormatting>
  <conditionalFormatting sqref="Q25">
    <cfRule type="cellIs" dxfId="2696" priority="2619" operator="equal">
      <formula>"Extremo"</formula>
    </cfRule>
    <cfRule type="cellIs" dxfId="2695" priority="2620" operator="equal">
      <formula>"Alto"</formula>
    </cfRule>
    <cfRule type="cellIs" dxfId="2694" priority="2621" operator="equal">
      <formula>"Moderado"</formula>
    </cfRule>
    <cfRule type="cellIs" dxfId="2693" priority="2622" operator="equal">
      <formula>"Bajo"</formula>
    </cfRule>
  </conditionalFormatting>
  <conditionalFormatting sqref="AE25:AE30">
    <cfRule type="cellIs" dxfId="2692" priority="2609" operator="equal">
      <formula>"Catastrófico"</formula>
    </cfRule>
    <cfRule type="cellIs" dxfId="2691" priority="2610" operator="equal">
      <formula>"Mayor"</formula>
    </cfRule>
    <cfRule type="cellIs" dxfId="2690" priority="2611" operator="equal">
      <formula>"Moderado"</formula>
    </cfRule>
    <cfRule type="cellIs" dxfId="2689" priority="2612" operator="equal">
      <formula>"Menor"</formula>
    </cfRule>
    <cfRule type="cellIs" dxfId="2688" priority="2613" operator="equal">
      <formula>"Leve"</formula>
    </cfRule>
  </conditionalFormatting>
  <conditionalFormatting sqref="N31:N36 N271:N276 N289:N300 N325:N336 N259:N264">
    <cfRule type="containsText" dxfId="2687" priority="2651" operator="containsText" text="❌">
      <formula>NOT(ISERROR(SEARCH("❌",N31)))</formula>
    </cfRule>
  </conditionalFormatting>
  <conditionalFormatting sqref="B7 B13 B19 B25 B31 B265 B271 B289 B295 B325 B331 B259">
    <cfRule type="cellIs" dxfId="2686" priority="2633" operator="equal">
      <formula>#REF!</formula>
    </cfRule>
    <cfRule type="cellIs" dxfId="2685" priority="2634" operator="equal">
      <formula>#REF!</formula>
    </cfRule>
    <cfRule type="cellIs" dxfId="2684" priority="2635" operator="equal">
      <formula>#REF!</formula>
    </cfRule>
    <cfRule type="cellIs" dxfId="2683" priority="2636" operator="equal">
      <formula>#REF!</formula>
    </cfRule>
    <cfRule type="cellIs" dxfId="2682" priority="2637" operator="equal">
      <formula>#REF!</formula>
    </cfRule>
    <cfRule type="cellIs" dxfId="2681" priority="2638" operator="equal">
      <formula>#REF!</formula>
    </cfRule>
    <cfRule type="cellIs" dxfId="2680" priority="2639" operator="equal">
      <formula>#REF!</formula>
    </cfRule>
    <cfRule type="cellIs" dxfId="2679" priority="2640" operator="equal">
      <formula>#REF!</formula>
    </cfRule>
    <cfRule type="cellIs" dxfId="2678" priority="2641" operator="equal">
      <formula>#REF!</formula>
    </cfRule>
    <cfRule type="cellIs" dxfId="2677" priority="2642" operator="equal">
      <formula>#REF!</formula>
    </cfRule>
    <cfRule type="cellIs" dxfId="2676" priority="2643" operator="equal">
      <formula>#REF!</formula>
    </cfRule>
    <cfRule type="cellIs" dxfId="2675" priority="2644" operator="equal">
      <formula>#REF!</formula>
    </cfRule>
    <cfRule type="cellIs" dxfId="2674" priority="2645" operator="equal">
      <formula>#REF!</formula>
    </cfRule>
    <cfRule type="cellIs" dxfId="2673" priority="2646" operator="equal">
      <formula>#REF!</formula>
    </cfRule>
    <cfRule type="cellIs" dxfId="2672" priority="2647" operator="equal">
      <formula>#REF!</formula>
    </cfRule>
    <cfRule type="cellIs" dxfId="2671" priority="2648" operator="equal">
      <formula>#REF!</formula>
    </cfRule>
    <cfRule type="cellIs" dxfId="2670" priority="2649" operator="equal">
      <formula>#REF!</formula>
    </cfRule>
    <cfRule type="cellIs" dxfId="2669" priority="2650" operator="equal">
      <formula>#REF!</formula>
    </cfRule>
  </conditionalFormatting>
  <conditionalFormatting sqref="K25">
    <cfRule type="cellIs" dxfId="2668" priority="2628" operator="equal">
      <formula>"Muy Alta"</formula>
    </cfRule>
    <cfRule type="cellIs" dxfId="2667" priority="2629" operator="equal">
      <formula>"Alta"</formula>
    </cfRule>
    <cfRule type="cellIs" dxfId="2666" priority="2630" operator="equal">
      <formula>"Media"</formula>
    </cfRule>
    <cfRule type="cellIs" dxfId="2665" priority="2631" operator="equal">
      <formula>"Baja"</formula>
    </cfRule>
    <cfRule type="cellIs" dxfId="2664" priority="2632" operator="equal">
      <formula>"Muy Baja"</formula>
    </cfRule>
  </conditionalFormatting>
  <conditionalFormatting sqref="O25">
    <cfRule type="cellIs" dxfId="2663" priority="2623" operator="equal">
      <formula>"Catastrófico"</formula>
    </cfRule>
    <cfRule type="cellIs" dxfId="2662" priority="2624" operator="equal">
      <formula>"Mayor"</formula>
    </cfRule>
    <cfRule type="cellIs" dxfId="2661" priority="2625" operator="equal">
      <formula>"Moderado"</formula>
    </cfRule>
    <cfRule type="cellIs" dxfId="2660" priority="2626" operator="equal">
      <formula>"Menor"</formula>
    </cfRule>
    <cfRule type="cellIs" dxfId="2659" priority="2627" operator="equal">
      <formula>"Leve"</formula>
    </cfRule>
  </conditionalFormatting>
  <conditionalFormatting sqref="AC25:AC30">
    <cfRule type="cellIs" dxfId="2658" priority="2614" operator="equal">
      <formula>"Muy Alta"</formula>
    </cfRule>
    <cfRule type="cellIs" dxfId="2657" priority="2615" operator="equal">
      <formula>"Alta"</formula>
    </cfRule>
    <cfRule type="cellIs" dxfId="2656" priority="2616" operator="equal">
      <formula>"Media"</formula>
    </cfRule>
    <cfRule type="cellIs" dxfId="2655" priority="2617" operator="equal">
      <formula>"Baja"</formula>
    </cfRule>
    <cfRule type="cellIs" dxfId="2654" priority="2618" operator="equal">
      <formula>"Muy Baja"</formula>
    </cfRule>
  </conditionalFormatting>
  <conditionalFormatting sqref="AG25:AG30">
    <cfRule type="cellIs" dxfId="2653" priority="2605" operator="equal">
      <formula>"Extremo"</formula>
    </cfRule>
    <cfRule type="cellIs" dxfId="2652" priority="2606" operator="equal">
      <formula>"Alto"</formula>
    </cfRule>
    <cfRule type="cellIs" dxfId="2651" priority="2607" operator="equal">
      <formula>"Moderado"</formula>
    </cfRule>
    <cfRule type="cellIs" dxfId="2650" priority="2608" operator="equal">
      <formula>"Bajo"</formula>
    </cfRule>
  </conditionalFormatting>
  <conditionalFormatting sqref="N25:N30">
    <cfRule type="containsText" dxfId="2649" priority="2604" operator="containsText" text="❌">
      <formula>NOT(ISERROR(SEARCH("❌",N25)))</formula>
    </cfRule>
  </conditionalFormatting>
  <conditionalFormatting sqref="K19">
    <cfRule type="cellIs" dxfId="2648" priority="2581" operator="equal">
      <formula>"Muy Alta"</formula>
    </cfRule>
    <cfRule type="cellIs" dxfId="2647" priority="2582" operator="equal">
      <formula>"Alta"</formula>
    </cfRule>
    <cfRule type="cellIs" dxfId="2646" priority="2583" operator="equal">
      <formula>"Media"</formula>
    </cfRule>
    <cfRule type="cellIs" dxfId="2645" priority="2584" operator="equal">
      <formula>"Baja"</formula>
    </cfRule>
    <cfRule type="cellIs" dxfId="2644" priority="2585" operator="equal">
      <formula>"Muy Baja"</formula>
    </cfRule>
  </conditionalFormatting>
  <conditionalFormatting sqref="O19">
    <cfRule type="cellIs" dxfId="2643" priority="2576" operator="equal">
      <formula>"Catastrófico"</formula>
    </cfRule>
    <cfRule type="cellIs" dxfId="2642" priority="2577" operator="equal">
      <formula>"Mayor"</formula>
    </cfRule>
    <cfRule type="cellIs" dxfId="2641" priority="2578" operator="equal">
      <formula>"Moderado"</formula>
    </cfRule>
    <cfRule type="cellIs" dxfId="2640" priority="2579" operator="equal">
      <formula>"Menor"</formula>
    </cfRule>
    <cfRule type="cellIs" dxfId="2639" priority="2580" operator="equal">
      <formula>"Leve"</formula>
    </cfRule>
  </conditionalFormatting>
  <conditionalFormatting sqref="Q19">
    <cfRule type="cellIs" dxfId="2638" priority="2572" operator="equal">
      <formula>"Extremo"</formula>
    </cfRule>
    <cfRule type="cellIs" dxfId="2637" priority="2573" operator="equal">
      <formula>"Alto"</formula>
    </cfRule>
    <cfRule type="cellIs" dxfId="2636" priority="2574" operator="equal">
      <formula>"Moderado"</formula>
    </cfRule>
    <cfRule type="cellIs" dxfId="2635" priority="2575" operator="equal">
      <formula>"Bajo"</formula>
    </cfRule>
  </conditionalFormatting>
  <conditionalFormatting sqref="AC19:AC24">
    <cfRule type="cellIs" dxfId="2634" priority="2567" operator="equal">
      <formula>"Muy Alta"</formula>
    </cfRule>
    <cfRule type="cellIs" dxfId="2633" priority="2568" operator="equal">
      <formula>"Alta"</formula>
    </cfRule>
    <cfRule type="cellIs" dxfId="2632" priority="2569" operator="equal">
      <formula>"Media"</formula>
    </cfRule>
    <cfRule type="cellIs" dxfId="2631" priority="2570" operator="equal">
      <formula>"Baja"</formula>
    </cfRule>
    <cfRule type="cellIs" dxfId="2630" priority="2571" operator="equal">
      <formula>"Muy Baja"</formula>
    </cfRule>
  </conditionalFormatting>
  <conditionalFormatting sqref="AE19:AE24">
    <cfRule type="cellIs" dxfId="2629" priority="2562" operator="equal">
      <formula>"Catastrófico"</formula>
    </cfRule>
    <cfRule type="cellIs" dxfId="2628" priority="2563" operator="equal">
      <formula>"Mayor"</formula>
    </cfRule>
    <cfRule type="cellIs" dxfId="2627" priority="2564" operator="equal">
      <formula>"Moderado"</formula>
    </cfRule>
    <cfRule type="cellIs" dxfId="2626" priority="2565" operator="equal">
      <formula>"Menor"</formula>
    </cfRule>
    <cfRule type="cellIs" dxfId="2625" priority="2566" operator="equal">
      <formula>"Leve"</formula>
    </cfRule>
  </conditionalFormatting>
  <conditionalFormatting sqref="AG19:AG24">
    <cfRule type="cellIs" dxfId="2624" priority="2558" operator="equal">
      <formula>"Extremo"</formula>
    </cfRule>
    <cfRule type="cellIs" dxfId="2623" priority="2559" operator="equal">
      <formula>"Alto"</formula>
    </cfRule>
    <cfRule type="cellIs" dxfId="2622" priority="2560" operator="equal">
      <formula>"Moderado"</formula>
    </cfRule>
    <cfRule type="cellIs" dxfId="2621" priority="2561" operator="equal">
      <formula>"Bajo"</formula>
    </cfRule>
  </conditionalFormatting>
  <conditionalFormatting sqref="N19:N24">
    <cfRule type="containsText" dxfId="2620" priority="2557" operator="containsText" text="❌">
      <formula>NOT(ISERROR(SEARCH("❌",N19)))</formula>
    </cfRule>
  </conditionalFormatting>
  <conditionalFormatting sqref="K13">
    <cfRule type="cellIs" dxfId="2619" priority="2534" operator="equal">
      <formula>"Muy Alta"</formula>
    </cfRule>
    <cfRule type="cellIs" dxfId="2618" priority="2535" operator="equal">
      <formula>"Alta"</formula>
    </cfRule>
    <cfRule type="cellIs" dxfId="2617" priority="2536" operator="equal">
      <formula>"Media"</formula>
    </cfRule>
    <cfRule type="cellIs" dxfId="2616" priority="2537" operator="equal">
      <formula>"Baja"</formula>
    </cfRule>
    <cfRule type="cellIs" dxfId="2615" priority="2538" operator="equal">
      <formula>"Muy Baja"</formula>
    </cfRule>
  </conditionalFormatting>
  <conditionalFormatting sqref="O13">
    <cfRule type="cellIs" dxfId="2614" priority="2529" operator="equal">
      <formula>"Catastrófico"</formula>
    </cfRule>
    <cfRule type="cellIs" dxfId="2613" priority="2530" operator="equal">
      <formula>"Mayor"</formula>
    </cfRule>
    <cfRule type="cellIs" dxfId="2612" priority="2531" operator="equal">
      <formula>"Moderado"</formula>
    </cfRule>
    <cfRule type="cellIs" dxfId="2611" priority="2532" operator="equal">
      <formula>"Menor"</formula>
    </cfRule>
    <cfRule type="cellIs" dxfId="2610" priority="2533" operator="equal">
      <formula>"Leve"</formula>
    </cfRule>
  </conditionalFormatting>
  <conditionalFormatting sqref="Q13">
    <cfRule type="cellIs" dxfId="2609" priority="2525" operator="equal">
      <formula>"Extremo"</formula>
    </cfRule>
    <cfRule type="cellIs" dxfId="2608" priority="2526" operator="equal">
      <formula>"Alto"</formula>
    </cfRule>
    <cfRule type="cellIs" dxfId="2607" priority="2527" operator="equal">
      <formula>"Moderado"</formula>
    </cfRule>
    <cfRule type="cellIs" dxfId="2606" priority="2528" operator="equal">
      <formula>"Bajo"</formula>
    </cfRule>
  </conditionalFormatting>
  <conditionalFormatting sqref="AC13:AC18">
    <cfRule type="cellIs" dxfId="2605" priority="2520" operator="equal">
      <formula>"Muy Alta"</formula>
    </cfRule>
    <cfRule type="cellIs" dxfId="2604" priority="2521" operator="equal">
      <formula>"Alta"</formula>
    </cfRule>
    <cfRule type="cellIs" dxfId="2603" priority="2522" operator="equal">
      <formula>"Media"</formula>
    </cfRule>
    <cfRule type="cellIs" dxfId="2602" priority="2523" operator="equal">
      <formula>"Baja"</formula>
    </cfRule>
    <cfRule type="cellIs" dxfId="2601" priority="2524" operator="equal">
      <formula>"Muy Baja"</formula>
    </cfRule>
  </conditionalFormatting>
  <conditionalFormatting sqref="AE13:AE18">
    <cfRule type="cellIs" dxfId="2600" priority="2515" operator="equal">
      <formula>"Catastrófico"</formula>
    </cfRule>
    <cfRule type="cellIs" dxfId="2599" priority="2516" operator="equal">
      <formula>"Mayor"</formula>
    </cfRule>
    <cfRule type="cellIs" dxfId="2598" priority="2517" operator="equal">
      <formula>"Moderado"</formula>
    </cfRule>
    <cfRule type="cellIs" dxfId="2597" priority="2518" operator="equal">
      <formula>"Menor"</formula>
    </cfRule>
    <cfRule type="cellIs" dxfId="2596" priority="2519" operator="equal">
      <formula>"Leve"</formula>
    </cfRule>
  </conditionalFormatting>
  <conditionalFormatting sqref="AG13:AG18">
    <cfRule type="cellIs" dxfId="2595" priority="2511" operator="equal">
      <formula>"Extremo"</formula>
    </cfRule>
    <cfRule type="cellIs" dxfId="2594" priority="2512" operator="equal">
      <formula>"Alto"</formula>
    </cfRule>
    <cfRule type="cellIs" dxfId="2593" priority="2513" operator="equal">
      <formula>"Moderado"</formula>
    </cfRule>
    <cfRule type="cellIs" dxfId="2592" priority="2514" operator="equal">
      <formula>"Bajo"</formula>
    </cfRule>
  </conditionalFormatting>
  <conditionalFormatting sqref="N13:N18">
    <cfRule type="containsText" dxfId="2591" priority="2510" operator="containsText" text="❌">
      <formula>NOT(ISERROR(SEARCH("❌",N13)))</formula>
    </cfRule>
  </conditionalFormatting>
  <conditionalFormatting sqref="K7">
    <cfRule type="cellIs" dxfId="2590" priority="2487" operator="equal">
      <formula>"Muy Alta"</formula>
    </cfRule>
    <cfRule type="cellIs" dxfId="2589" priority="2488" operator="equal">
      <formula>"Alta"</formula>
    </cfRule>
    <cfRule type="cellIs" dxfId="2588" priority="2489" operator="equal">
      <formula>"Media"</formula>
    </cfRule>
    <cfRule type="cellIs" dxfId="2587" priority="2490" operator="equal">
      <formula>"Baja"</formula>
    </cfRule>
    <cfRule type="cellIs" dxfId="2586" priority="2491" operator="equal">
      <formula>"Muy Baja"</formula>
    </cfRule>
  </conditionalFormatting>
  <conditionalFormatting sqref="O7">
    <cfRule type="cellIs" dxfId="2585" priority="2482" operator="equal">
      <formula>"Catastrófico"</formula>
    </cfRule>
    <cfRule type="cellIs" dxfId="2584" priority="2483" operator="equal">
      <formula>"Mayor"</formula>
    </cfRule>
    <cfRule type="cellIs" dxfId="2583" priority="2484" operator="equal">
      <formula>"Moderado"</formula>
    </cfRule>
    <cfRule type="cellIs" dxfId="2582" priority="2485" operator="equal">
      <formula>"Menor"</formula>
    </cfRule>
    <cfRule type="cellIs" dxfId="2581" priority="2486" operator="equal">
      <formula>"Leve"</formula>
    </cfRule>
  </conditionalFormatting>
  <conditionalFormatting sqref="Q7">
    <cfRule type="cellIs" dxfId="2580" priority="2478" operator="equal">
      <formula>"Extremo"</formula>
    </cfRule>
    <cfRule type="cellIs" dxfId="2579" priority="2479" operator="equal">
      <formula>"Alto"</formula>
    </cfRule>
    <cfRule type="cellIs" dxfId="2578" priority="2480" operator="equal">
      <formula>"Moderado"</formula>
    </cfRule>
    <cfRule type="cellIs" dxfId="2577" priority="2481" operator="equal">
      <formula>"Bajo"</formula>
    </cfRule>
  </conditionalFormatting>
  <conditionalFormatting sqref="AC7:AC12">
    <cfRule type="cellIs" dxfId="2576" priority="2473" operator="equal">
      <formula>"Muy Alta"</formula>
    </cfRule>
    <cfRule type="cellIs" dxfId="2575" priority="2474" operator="equal">
      <formula>"Alta"</formula>
    </cfRule>
    <cfRule type="cellIs" dxfId="2574" priority="2475" operator="equal">
      <formula>"Media"</formula>
    </cfRule>
    <cfRule type="cellIs" dxfId="2573" priority="2476" operator="equal">
      <formula>"Baja"</formula>
    </cfRule>
    <cfRule type="cellIs" dxfId="2572" priority="2477" operator="equal">
      <formula>"Muy Baja"</formula>
    </cfRule>
  </conditionalFormatting>
  <conditionalFormatting sqref="AE7:AE12">
    <cfRule type="cellIs" dxfId="2571" priority="2468" operator="equal">
      <formula>"Catastrófico"</formula>
    </cfRule>
    <cfRule type="cellIs" dxfId="2570" priority="2469" operator="equal">
      <formula>"Mayor"</formula>
    </cfRule>
    <cfRule type="cellIs" dxfId="2569" priority="2470" operator="equal">
      <formula>"Moderado"</formula>
    </cfRule>
    <cfRule type="cellIs" dxfId="2568" priority="2471" operator="equal">
      <formula>"Menor"</formula>
    </cfRule>
    <cfRule type="cellIs" dxfId="2567" priority="2472" operator="equal">
      <formula>"Leve"</formula>
    </cfRule>
  </conditionalFormatting>
  <conditionalFormatting sqref="AG7:AG12">
    <cfRule type="cellIs" dxfId="2566" priority="2464" operator="equal">
      <formula>"Extremo"</formula>
    </cfRule>
    <cfRule type="cellIs" dxfId="2565" priority="2465" operator="equal">
      <formula>"Alto"</formula>
    </cfRule>
    <cfRule type="cellIs" dxfId="2564" priority="2466" operator="equal">
      <formula>"Moderado"</formula>
    </cfRule>
    <cfRule type="cellIs" dxfId="2563" priority="2467" operator="equal">
      <formula>"Bajo"</formula>
    </cfRule>
  </conditionalFormatting>
  <conditionalFormatting sqref="N7:N12">
    <cfRule type="containsText" dxfId="2562" priority="2463" operator="containsText" text="❌">
      <formula>NOT(ISERROR(SEARCH("❌",N7)))</formula>
    </cfRule>
  </conditionalFormatting>
  <conditionalFormatting sqref="K265">
    <cfRule type="cellIs" dxfId="2561" priority="2393" operator="equal">
      <formula>"Muy Alta"</formula>
    </cfRule>
    <cfRule type="cellIs" dxfId="2560" priority="2394" operator="equal">
      <formula>"Alta"</formula>
    </cfRule>
    <cfRule type="cellIs" dxfId="2559" priority="2395" operator="equal">
      <formula>"Media"</formula>
    </cfRule>
    <cfRule type="cellIs" dxfId="2558" priority="2396" operator="equal">
      <formula>"Baja"</formula>
    </cfRule>
    <cfRule type="cellIs" dxfId="2557" priority="2397" operator="equal">
      <formula>"Muy Baja"</formula>
    </cfRule>
  </conditionalFormatting>
  <conditionalFormatting sqref="O265">
    <cfRule type="cellIs" dxfId="2556" priority="2388" operator="equal">
      <formula>"Catastrófico"</formula>
    </cfRule>
    <cfRule type="cellIs" dxfId="2555" priority="2389" operator="equal">
      <formula>"Mayor"</formula>
    </cfRule>
    <cfRule type="cellIs" dxfId="2554" priority="2390" operator="equal">
      <formula>"Moderado"</formula>
    </cfRule>
    <cfRule type="cellIs" dxfId="2553" priority="2391" operator="equal">
      <formula>"Menor"</formula>
    </cfRule>
    <cfRule type="cellIs" dxfId="2552" priority="2392" operator="equal">
      <formula>"Leve"</formula>
    </cfRule>
  </conditionalFormatting>
  <conditionalFormatting sqref="Q265">
    <cfRule type="cellIs" dxfId="2551" priority="2384" operator="equal">
      <formula>"Extremo"</formula>
    </cfRule>
    <cfRule type="cellIs" dxfId="2550" priority="2385" operator="equal">
      <formula>"Alto"</formula>
    </cfRule>
    <cfRule type="cellIs" dxfId="2549" priority="2386" operator="equal">
      <formula>"Moderado"</formula>
    </cfRule>
    <cfRule type="cellIs" dxfId="2548" priority="2387" operator="equal">
      <formula>"Bajo"</formula>
    </cfRule>
  </conditionalFormatting>
  <conditionalFormatting sqref="AC265:AC270">
    <cfRule type="cellIs" dxfId="2547" priority="2379" operator="equal">
      <formula>"Muy Alta"</formula>
    </cfRule>
    <cfRule type="cellIs" dxfId="2546" priority="2380" operator="equal">
      <formula>"Alta"</formula>
    </cfRule>
    <cfRule type="cellIs" dxfId="2545" priority="2381" operator="equal">
      <formula>"Media"</formula>
    </cfRule>
    <cfRule type="cellIs" dxfId="2544" priority="2382" operator="equal">
      <formula>"Baja"</formula>
    </cfRule>
    <cfRule type="cellIs" dxfId="2543" priority="2383" operator="equal">
      <formula>"Muy Baja"</formula>
    </cfRule>
  </conditionalFormatting>
  <conditionalFormatting sqref="AE265:AE270">
    <cfRule type="cellIs" dxfId="2542" priority="2374" operator="equal">
      <formula>"Catastrófico"</formula>
    </cfRule>
    <cfRule type="cellIs" dxfId="2541" priority="2375" operator="equal">
      <formula>"Mayor"</formula>
    </cfRule>
    <cfRule type="cellIs" dxfId="2540" priority="2376" operator="equal">
      <formula>"Moderado"</formula>
    </cfRule>
    <cfRule type="cellIs" dxfId="2539" priority="2377" operator="equal">
      <formula>"Menor"</formula>
    </cfRule>
    <cfRule type="cellIs" dxfId="2538" priority="2378" operator="equal">
      <formula>"Leve"</formula>
    </cfRule>
  </conditionalFormatting>
  <conditionalFormatting sqref="AG265:AG270">
    <cfRule type="cellIs" dxfId="2537" priority="2370" operator="equal">
      <formula>"Extremo"</formula>
    </cfRule>
    <cfRule type="cellIs" dxfId="2536" priority="2371" operator="equal">
      <formula>"Alto"</formula>
    </cfRule>
    <cfRule type="cellIs" dxfId="2535" priority="2372" operator="equal">
      <formula>"Moderado"</formula>
    </cfRule>
    <cfRule type="cellIs" dxfId="2534" priority="2373" operator="equal">
      <formula>"Bajo"</formula>
    </cfRule>
  </conditionalFormatting>
  <conditionalFormatting sqref="N265:N270">
    <cfRule type="containsText" dxfId="2533" priority="2369" operator="containsText" text="❌">
      <formula>NOT(ISERROR(SEARCH("❌",N265)))</formula>
    </cfRule>
  </conditionalFormatting>
  <conditionalFormatting sqref="B253">
    <cfRule type="cellIs" dxfId="2532" priority="2304" operator="equal">
      <formula>#REF!</formula>
    </cfRule>
    <cfRule type="cellIs" dxfId="2531" priority="2305" operator="equal">
      <formula>#REF!</formula>
    </cfRule>
    <cfRule type="cellIs" dxfId="2530" priority="2306" operator="equal">
      <formula>#REF!</formula>
    </cfRule>
    <cfRule type="cellIs" dxfId="2529" priority="2307" operator="equal">
      <formula>#REF!</formula>
    </cfRule>
    <cfRule type="cellIs" dxfId="2528" priority="2308" operator="equal">
      <formula>#REF!</formula>
    </cfRule>
    <cfRule type="cellIs" dxfId="2527" priority="2309" operator="equal">
      <formula>#REF!</formula>
    </cfRule>
    <cfRule type="cellIs" dxfId="2526" priority="2310" operator="equal">
      <formula>#REF!</formula>
    </cfRule>
    <cfRule type="cellIs" dxfId="2525" priority="2311" operator="equal">
      <formula>#REF!</formula>
    </cfRule>
    <cfRule type="cellIs" dxfId="2524" priority="2312" operator="equal">
      <formula>#REF!</formula>
    </cfRule>
    <cfRule type="cellIs" dxfId="2523" priority="2313" operator="equal">
      <formula>#REF!</formula>
    </cfRule>
    <cfRule type="cellIs" dxfId="2522" priority="2314" operator="equal">
      <formula>#REF!</formula>
    </cfRule>
    <cfRule type="cellIs" dxfId="2521" priority="2315" operator="equal">
      <formula>#REF!</formula>
    </cfRule>
    <cfRule type="cellIs" dxfId="2520" priority="2316" operator="equal">
      <formula>#REF!</formula>
    </cfRule>
    <cfRule type="cellIs" dxfId="2519" priority="2317" operator="equal">
      <formula>#REF!</formula>
    </cfRule>
    <cfRule type="cellIs" dxfId="2518" priority="2318" operator="equal">
      <formula>#REF!</formula>
    </cfRule>
    <cfRule type="cellIs" dxfId="2517" priority="2319" operator="equal">
      <formula>#REF!</formula>
    </cfRule>
    <cfRule type="cellIs" dxfId="2516" priority="2320" operator="equal">
      <formula>#REF!</formula>
    </cfRule>
    <cfRule type="cellIs" dxfId="2515" priority="2321" operator="equal">
      <formula>#REF!</formula>
    </cfRule>
  </conditionalFormatting>
  <conditionalFormatting sqref="K253">
    <cfRule type="cellIs" dxfId="2514" priority="2346" operator="equal">
      <formula>"Muy Alta"</formula>
    </cfRule>
    <cfRule type="cellIs" dxfId="2513" priority="2347" operator="equal">
      <formula>"Alta"</formula>
    </cfRule>
    <cfRule type="cellIs" dxfId="2512" priority="2348" operator="equal">
      <formula>"Media"</formula>
    </cfRule>
    <cfRule type="cellIs" dxfId="2511" priority="2349" operator="equal">
      <formula>"Baja"</formula>
    </cfRule>
    <cfRule type="cellIs" dxfId="2510" priority="2350" operator="equal">
      <formula>"Muy Baja"</formula>
    </cfRule>
  </conditionalFormatting>
  <conditionalFormatting sqref="O253">
    <cfRule type="cellIs" dxfId="2509" priority="2341" operator="equal">
      <formula>"Catastrófico"</formula>
    </cfRule>
    <cfRule type="cellIs" dxfId="2508" priority="2342" operator="equal">
      <formula>"Mayor"</formula>
    </cfRule>
    <cfRule type="cellIs" dxfId="2507" priority="2343" operator="equal">
      <formula>"Moderado"</formula>
    </cfRule>
    <cfRule type="cellIs" dxfId="2506" priority="2344" operator="equal">
      <formula>"Menor"</formula>
    </cfRule>
    <cfRule type="cellIs" dxfId="2505" priority="2345" operator="equal">
      <formula>"Leve"</formula>
    </cfRule>
  </conditionalFormatting>
  <conditionalFormatting sqref="Q253">
    <cfRule type="cellIs" dxfId="2504" priority="2337" operator="equal">
      <formula>"Extremo"</formula>
    </cfRule>
    <cfRule type="cellIs" dxfId="2503" priority="2338" operator="equal">
      <formula>"Alto"</formula>
    </cfRule>
    <cfRule type="cellIs" dxfId="2502" priority="2339" operator="equal">
      <formula>"Moderado"</formula>
    </cfRule>
    <cfRule type="cellIs" dxfId="2501" priority="2340" operator="equal">
      <formula>"Bajo"</formula>
    </cfRule>
  </conditionalFormatting>
  <conditionalFormatting sqref="AC253:AC258">
    <cfRule type="cellIs" dxfId="2500" priority="2332" operator="equal">
      <formula>"Muy Alta"</formula>
    </cfRule>
    <cfRule type="cellIs" dxfId="2499" priority="2333" operator="equal">
      <formula>"Alta"</formula>
    </cfRule>
    <cfRule type="cellIs" dxfId="2498" priority="2334" operator="equal">
      <formula>"Media"</formula>
    </cfRule>
    <cfRule type="cellIs" dxfId="2497" priority="2335" operator="equal">
      <formula>"Baja"</formula>
    </cfRule>
    <cfRule type="cellIs" dxfId="2496" priority="2336" operator="equal">
      <formula>"Muy Baja"</formula>
    </cfRule>
  </conditionalFormatting>
  <conditionalFormatting sqref="AE253:AE258">
    <cfRule type="cellIs" dxfId="2495" priority="2327" operator="equal">
      <formula>"Catastrófico"</formula>
    </cfRule>
    <cfRule type="cellIs" dxfId="2494" priority="2328" operator="equal">
      <formula>"Mayor"</formula>
    </cfRule>
    <cfRule type="cellIs" dxfId="2493" priority="2329" operator="equal">
      <formula>"Moderado"</formula>
    </cfRule>
    <cfRule type="cellIs" dxfId="2492" priority="2330" operator="equal">
      <formula>"Menor"</formula>
    </cfRule>
    <cfRule type="cellIs" dxfId="2491" priority="2331" operator="equal">
      <formula>"Leve"</formula>
    </cfRule>
  </conditionalFormatting>
  <conditionalFormatting sqref="AG253:AG258">
    <cfRule type="cellIs" dxfId="2490" priority="2323" operator="equal">
      <formula>"Extremo"</formula>
    </cfRule>
    <cfRule type="cellIs" dxfId="2489" priority="2324" operator="equal">
      <formula>"Alto"</formula>
    </cfRule>
    <cfRule type="cellIs" dxfId="2488" priority="2325" operator="equal">
      <formula>"Moderado"</formula>
    </cfRule>
    <cfRule type="cellIs" dxfId="2487" priority="2326" operator="equal">
      <formula>"Bajo"</formula>
    </cfRule>
  </conditionalFormatting>
  <conditionalFormatting sqref="N253:N258">
    <cfRule type="containsText" dxfId="2486" priority="2322" operator="containsText" text="❌">
      <formula>NOT(ISERROR(SEARCH("❌",N253)))</formula>
    </cfRule>
  </conditionalFormatting>
  <conditionalFormatting sqref="B247">
    <cfRule type="cellIs" dxfId="2485" priority="2257" operator="equal">
      <formula>#REF!</formula>
    </cfRule>
    <cfRule type="cellIs" dxfId="2484" priority="2258" operator="equal">
      <formula>#REF!</formula>
    </cfRule>
    <cfRule type="cellIs" dxfId="2483" priority="2259" operator="equal">
      <formula>#REF!</formula>
    </cfRule>
    <cfRule type="cellIs" dxfId="2482" priority="2260" operator="equal">
      <formula>#REF!</formula>
    </cfRule>
    <cfRule type="cellIs" dxfId="2481" priority="2261" operator="equal">
      <formula>#REF!</formula>
    </cfRule>
    <cfRule type="cellIs" dxfId="2480" priority="2262" operator="equal">
      <formula>#REF!</formula>
    </cfRule>
    <cfRule type="cellIs" dxfId="2479" priority="2263" operator="equal">
      <formula>#REF!</formula>
    </cfRule>
    <cfRule type="cellIs" dxfId="2478" priority="2264" operator="equal">
      <formula>#REF!</formula>
    </cfRule>
    <cfRule type="cellIs" dxfId="2477" priority="2265" operator="equal">
      <formula>#REF!</formula>
    </cfRule>
    <cfRule type="cellIs" dxfId="2476" priority="2266" operator="equal">
      <formula>#REF!</formula>
    </cfRule>
    <cfRule type="cellIs" dxfId="2475" priority="2267" operator="equal">
      <formula>#REF!</formula>
    </cfRule>
    <cfRule type="cellIs" dxfId="2474" priority="2268" operator="equal">
      <formula>#REF!</formula>
    </cfRule>
    <cfRule type="cellIs" dxfId="2473" priority="2269" operator="equal">
      <formula>#REF!</formula>
    </cfRule>
    <cfRule type="cellIs" dxfId="2472" priority="2270" operator="equal">
      <formula>#REF!</formula>
    </cfRule>
    <cfRule type="cellIs" dxfId="2471" priority="2271" operator="equal">
      <formula>#REF!</formula>
    </cfRule>
    <cfRule type="cellIs" dxfId="2470" priority="2272" operator="equal">
      <formula>#REF!</formula>
    </cfRule>
    <cfRule type="cellIs" dxfId="2469" priority="2273" operator="equal">
      <formula>#REF!</formula>
    </cfRule>
    <cfRule type="cellIs" dxfId="2468" priority="2274" operator="equal">
      <formula>#REF!</formula>
    </cfRule>
  </conditionalFormatting>
  <conditionalFormatting sqref="K247">
    <cfRule type="cellIs" dxfId="2467" priority="2299" operator="equal">
      <formula>"Muy Alta"</formula>
    </cfRule>
    <cfRule type="cellIs" dxfId="2466" priority="2300" operator="equal">
      <formula>"Alta"</formula>
    </cfRule>
    <cfRule type="cellIs" dxfId="2465" priority="2301" operator="equal">
      <formula>"Media"</formula>
    </cfRule>
    <cfRule type="cellIs" dxfId="2464" priority="2302" operator="equal">
      <formula>"Baja"</formula>
    </cfRule>
    <cfRule type="cellIs" dxfId="2463" priority="2303" operator="equal">
      <formula>"Muy Baja"</formula>
    </cfRule>
  </conditionalFormatting>
  <conditionalFormatting sqref="O247">
    <cfRule type="cellIs" dxfId="2462" priority="2294" operator="equal">
      <formula>"Catastrófico"</formula>
    </cfRule>
    <cfRule type="cellIs" dxfId="2461" priority="2295" operator="equal">
      <formula>"Mayor"</formula>
    </cfRule>
    <cfRule type="cellIs" dxfId="2460" priority="2296" operator="equal">
      <formula>"Moderado"</formula>
    </cfRule>
    <cfRule type="cellIs" dxfId="2459" priority="2297" operator="equal">
      <formula>"Menor"</formula>
    </cfRule>
    <cfRule type="cellIs" dxfId="2458" priority="2298" operator="equal">
      <formula>"Leve"</formula>
    </cfRule>
  </conditionalFormatting>
  <conditionalFormatting sqref="Q247">
    <cfRule type="cellIs" dxfId="2457" priority="2290" operator="equal">
      <formula>"Extremo"</formula>
    </cfRule>
    <cfRule type="cellIs" dxfId="2456" priority="2291" operator="equal">
      <formula>"Alto"</formula>
    </cfRule>
    <cfRule type="cellIs" dxfId="2455" priority="2292" operator="equal">
      <formula>"Moderado"</formula>
    </cfRule>
    <cfRule type="cellIs" dxfId="2454" priority="2293" operator="equal">
      <formula>"Bajo"</formula>
    </cfRule>
  </conditionalFormatting>
  <conditionalFormatting sqref="AC247:AC252">
    <cfRule type="cellIs" dxfId="2453" priority="2285" operator="equal">
      <formula>"Muy Alta"</formula>
    </cfRule>
    <cfRule type="cellIs" dxfId="2452" priority="2286" operator="equal">
      <formula>"Alta"</formula>
    </cfRule>
    <cfRule type="cellIs" dxfId="2451" priority="2287" operator="equal">
      <formula>"Media"</formula>
    </cfRule>
    <cfRule type="cellIs" dxfId="2450" priority="2288" operator="equal">
      <formula>"Baja"</formula>
    </cfRule>
    <cfRule type="cellIs" dxfId="2449" priority="2289" operator="equal">
      <formula>"Muy Baja"</formula>
    </cfRule>
  </conditionalFormatting>
  <conditionalFormatting sqref="AE247:AE252">
    <cfRule type="cellIs" dxfId="2448" priority="2280" operator="equal">
      <formula>"Catastrófico"</formula>
    </cfRule>
    <cfRule type="cellIs" dxfId="2447" priority="2281" operator="equal">
      <formula>"Mayor"</formula>
    </cfRule>
    <cfRule type="cellIs" dxfId="2446" priority="2282" operator="equal">
      <formula>"Moderado"</formula>
    </cfRule>
    <cfRule type="cellIs" dxfId="2445" priority="2283" operator="equal">
      <formula>"Menor"</formula>
    </cfRule>
    <cfRule type="cellIs" dxfId="2444" priority="2284" operator="equal">
      <formula>"Leve"</formula>
    </cfRule>
  </conditionalFormatting>
  <conditionalFormatting sqref="AG247:AG252">
    <cfRule type="cellIs" dxfId="2443" priority="2276" operator="equal">
      <formula>"Extremo"</formula>
    </cfRule>
    <cfRule type="cellIs" dxfId="2442" priority="2277" operator="equal">
      <formula>"Alto"</formula>
    </cfRule>
    <cfRule type="cellIs" dxfId="2441" priority="2278" operator="equal">
      <formula>"Moderado"</formula>
    </cfRule>
    <cfRule type="cellIs" dxfId="2440" priority="2279" operator="equal">
      <formula>"Bajo"</formula>
    </cfRule>
  </conditionalFormatting>
  <conditionalFormatting sqref="N247:N252">
    <cfRule type="containsText" dxfId="2439" priority="2275" operator="containsText" text="❌">
      <formula>NOT(ISERROR(SEARCH("❌",N247)))</formula>
    </cfRule>
  </conditionalFormatting>
  <conditionalFormatting sqref="K37">
    <cfRule type="cellIs" dxfId="2438" priority="2158" operator="equal">
      <formula>"Muy Alta"</formula>
    </cfRule>
    <cfRule type="cellIs" dxfId="2437" priority="2159" operator="equal">
      <formula>"Alta"</formula>
    </cfRule>
    <cfRule type="cellIs" dxfId="2436" priority="2160" operator="equal">
      <formula>"Media"</formula>
    </cfRule>
    <cfRule type="cellIs" dxfId="2435" priority="2161" operator="equal">
      <formula>"Baja"</formula>
    </cfRule>
    <cfRule type="cellIs" dxfId="2434" priority="2162" operator="equal">
      <formula>"Muy Baja"</formula>
    </cfRule>
  </conditionalFormatting>
  <conditionalFormatting sqref="O37">
    <cfRule type="cellIs" dxfId="2433" priority="2153" operator="equal">
      <formula>"Catastrófico"</formula>
    </cfRule>
    <cfRule type="cellIs" dxfId="2432" priority="2154" operator="equal">
      <formula>"Mayor"</formula>
    </cfRule>
    <cfRule type="cellIs" dxfId="2431" priority="2155" operator="equal">
      <formula>"Moderado"</formula>
    </cfRule>
    <cfRule type="cellIs" dxfId="2430" priority="2156" operator="equal">
      <formula>"Menor"</formula>
    </cfRule>
    <cfRule type="cellIs" dxfId="2429" priority="2157" operator="equal">
      <formula>"Leve"</formula>
    </cfRule>
  </conditionalFormatting>
  <conditionalFormatting sqref="Q37">
    <cfRule type="cellIs" dxfId="2428" priority="2149" operator="equal">
      <formula>"Extremo"</formula>
    </cfRule>
    <cfRule type="cellIs" dxfId="2427" priority="2150" operator="equal">
      <formula>"Alto"</formula>
    </cfRule>
    <cfRule type="cellIs" dxfId="2426" priority="2151" operator="equal">
      <formula>"Moderado"</formula>
    </cfRule>
    <cfRule type="cellIs" dxfId="2425" priority="2152" operator="equal">
      <formula>"Bajo"</formula>
    </cfRule>
  </conditionalFormatting>
  <conditionalFormatting sqref="AC37:AC42">
    <cfRule type="cellIs" dxfId="2424" priority="2144" operator="equal">
      <formula>"Muy Alta"</formula>
    </cfRule>
    <cfRule type="cellIs" dxfId="2423" priority="2145" operator="equal">
      <formula>"Alta"</formula>
    </cfRule>
    <cfRule type="cellIs" dxfId="2422" priority="2146" operator="equal">
      <formula>"Media"</formula>
    </cfRule>
    <cfRule type="cellIs" dxfId="2421" priority="2147" operator="equal">
      <formula>"Baja"</formula>
    </cfRule>
    <cfRule type="cellIs" dxfId="2420" priority="2148" operator="equal">
      <formula>"Muy Baja"</formula>
    </cfRule>
  </conditionalFormatting>
  <conditionalFormatting sqref="AE37:AE42">
    <cfRule type="cellIs" dxfId="2419" priority="2139" operator="equal">
      <formula>"Catastrófico"</formula>
    </cfRule>
    <cfRule type="cellIs" dxfId="2418" priority="2140" operator="equal">
      <formula>"Mayor"</formula>
    </cfRule>
    <cfRule type="cellIs" dxfId="2417" priority="2141" operator="equal">
      <formula>"Moderado"</formula>
    </cfRule>
    <cfRule type="cellIs" dxfId="2416" priority="2142" operator="equal">
      <formula>"Menor"</formula>
    </cfRule>
    <cfRule type="cellIs" dxfId="2415" priority="2143" operator="equal">
      <formula>"Leve"</formula>
    </cfRule>
  </conditionalFormatting>
  <conditionalFormatting sqref="AG37:AG42">
    <cfRule type="cellIs" dxfId="2414" priority="2135" operator="equal">
      <formula>"Extremo"</formula>
    </cfRule>
    <cfRule type="cellIs" dxfId="2413" priority="2136" operator="equal">
      <formula>"Alto"</formula>
    </cfRule>
    <cfRule type="cellIs" dxfId="2412" priority="2137" operator="equal">
      <formula>"Moderado"</formula>
    </cfRule>
    <cfRule type="cellIs" dxfId="2411" priority="2138" operator="equal">
      <formula>"Bajo"</formula>
    </cfRule>
  </conditionalFormatting>
  <conditionalFormatting sqref="N37:N42">
    <cfRule type="containsText" dxfId="2410" priority="2134" operator="containsText" text="❌">
      <formula>NOT(ISERROR(SEARCH("❌",N37)))</formula>
    </cfRule>
  </conditionalFormatting>
  <conditionalFormatting sqref="B37">
    <cfRule type="cellIs" dxfId="2409" priority="2116" operator="equal">
      <formula>#REF!</formula>
    </cfRule>
    <cfRule type="cellIs" dxfId="2408" priority="2117" operator="equal">
      <formula>#REF!</formula>
    </cfRule>
    <cfRule type="cellIs" dxfId="2407" priority="2118" operator="equal">
      <formula>#REF!</formula>
    </cfRule>
    <cfRule type="cellIs" dxfId="2406" priority="2119" operator="equal">
      <formula>#REF!</formula>
    </cfRule>
    <cfRule type="cellIs" dxfId="2405" priority="2120" operator="equal">
      <formula>#REF!</formula>
    </cfRule>
    <cfRule type="cellIs" dxfId="2404" priority="2121" operator="equal">
      <formula>#REF!</formula>
    </cfRule>
    <cfRule type="cellIs" dxfId="2403" priority="2122" operator="equal">
      <formula>#REF!</formula>
    </cfRule>
    <cfRule type="cellIs" dxfId="2402" priority="2123" operator="equal">
      <formula>#REF!</formula>
    </cfRule>
    <cfRule type="cellIs" dxfId="2401" priority="2124" operator="equal">
      <formula>#REF!</formula>
    </cfRule>
    <cfRule type="cellIs" dxfId="2400" priority="2125" operator="equal">
      <formula>#REF!</formula>
    </cfRule>
    <cfRule type="cellIs" dxfId="2399" priority="2126" operator="equal">
      <formula>#REF!</formula>
    </cfRule>
    <cfRule type="cellIs" dxfId="2398" priority="2127" operator="equal">
      <formula>#REF!</formula>
    </cfRule>
    <cfRule type="cellIs" dxfId="2397" priority="2128" operator="equal">
      <formula>#REF!</formula>
    </cfRule>
    <cfRule type="cellIs" dxfId="2396" priority="2129" operator="equal">
      <formula>#REF!</formula>
    </cfRule>
    <cfRule type="cellIs" dxfId="2395" priority="2130" operator="equal">
      <formula>#REF!</formula>
    </cfRule>
    <cfRule type="cellIs" dxfId="2394" priority="2131" operator="equal">
      <formula>#REF!</formula>
    </cfRule>
    <cfRule type="cellIs" dxfId="2393" priority="2132" operator="equal">
      <formula>#REF!</formula>
    </cfRule>
    <cfRule type="cellIs" dxfId="2392" priority="2133" operator="equal">
      <formula>#REF!</formula>
    </cfRule>
  </conditionalFormatting>
  <conditionalFormatting sqref="K55">
    <cfRule type="cellIs" dxfId="2391" priority="2064" operator="equal">
      <formula>"Muy Alta"</formula>
    </cfRule>
    <cfRule type="cellIs" dxfId="2390" priority="2065" operator="equal">
      <formula>"Alta"</formula>
    </cfRule>
    <cfRule type="cellIs" dxfId="2389" priority="2066" operator="equal">
      <formula>"Media"</formula>
    </cfRule>
    <cfRule type="cellIs" dxfId="2388" priority="2067" operator="equal">
      <formula>"Baja"</formula>
    </cfRule>
    <cfRule type="cellIs" dxfId="2387" priority="2068" operator="equal">
      <formula>"Muy Baja"</formula>
    </cfRule>
  </conditionalFormatting>
  <conditionalFormatting sqref="O55">
    <cfRule type="cellIs" dxfId="2386" priority="2059" operator="equal">
      <formula>"Catastrófico"</formula>
    </cfRule>
    <cfRule type="cellIs" dxfId="2385" priority="2060" operator="equal">
      <formula>"Mayor"</formula>
    </cfRule>
    <cfRule type="cellIs" dxfId="2384" priority="2061" operator="equal">
      <formula>"Moderado"</formula>
    </cfRule>
    <cfRule type="cellIs" dxfId="2383" priority="2062" operator="equal">
      <formula>"Menor"</formula>
    </cfRule>
    <cfRule type="cellIs" dxfId="2382" priority="2063" operator="equal">
      <formula>"Leve"</formula>
    </cfRule>
  </conditionalFormatting>
  <conditionalFormatting sqref="Q55">
    <cfRule type="cellIs" dxfId="2381" priority="2055" operator="equal">
      <formula>"Extremo"</formula>
    </cfRule>
    <cfRule type="cellIs" dxfId="2380" priority="2056" operator="equal">
      <formula>"Alto"</formula>
    </cfRule>
    <cfRule type="cellIs" dxfId="2379" priority="2057" operator="equal">
      <formula>"Moderado"</formula>
    </cfRule>
    <cfRule type="cellIs" dxfId="2378" priority="2058" operator="equal">
      <formula>"Bajo"</formula>
    </cfRule>
  </conditionalFormatting>
  <conditionalFormatting sqref="AC55:AC60">
    <cfRule type="cellIs" dxfId="2377" priority="2050" operator="equal">
      <formula>"Muy Alta"</formula>
    </cfRule>
    <cfRule type="cellIs" dxfId="2376" priority="2051" operator="equal">
      <formula>"Alta"</formula>
    </cfRule>
    <cfRule type="cellIs" dxfId="2375" priority="2052" operator="equal">
      <formula>"Media"</formula>
    </cfRule>
    <cfRule type="cellIs" dxfId="2374" priority="2053" operator="equal">
      <formula>"Baja"</formula>
    </cfRule>
    <cfRule type="cellIs" dxfId="2373" priority="2054" operator="equal">
      <formula>"Muy Baja"</formula>
    </cfRule>
  </conditionalFormatting>
  <conditionalFormatting sqref="AE55:AE60">
    <cfRule type="cellIs" dxfId="2372" priority="2045" operator="equal">
      <formula>"Catastrófico"</formula>
    </cfRule>
    <cfRule type="cellIs" dxfId="2371" priority="2046" operator="equal">
      <formula>"Mayor"</formula>
    </cfRule>
    <cfRule type="cellIs" dxfId="2370" priority="2047" operator="equal">
      <formula>"Moderado"</formula>
    </cfRule>
    <cfRule type="cellIs" dxfId="2369" priority="2048" operator="equal">
      <formula>"Menor"</formula>
    </cfRule>
    <cfRule type="cellIs" dxfId="2368" priority="2049" operator="equal">
      <formula>"Leve"</formula>
    </cfRule>
  </conditionalFormatting>
  <conditionalFormatting sqref="AG55:AG60">
    <cfRule type="cellIs" dxfId="2367" priority="2041" operator="equal">
      <formula>"Extremo"</formula>
    </cfRule>
    <cfRule type="cellIs" dxfId="2366" priority="2042" operator="equal">
      <formula>"Alto"</formula>
    </cfRule>
    <cfRule type="cellIs" dxfId="2365" priority="2043" operator="equal">
      <formula>"Moderado"</formula>
    </cfRule>
    <cfRule type="cellIs" dxfId="2364" priority="2044" operator="equal">
      <formula>"Bajo"</formula>
    </cfRule>
  </conditionalFormatting>
  <conditionalFormatting sqref="N55:N60">
    <cfRule type="containsText" dxfId="2363" priority="2040" operator="containsText" text="❌">
      <formula>NOT(ISERROR(SEARCH("❌",N55)))</formula>
    </cfRule>
  </conditionalFormatting>
  <conditionalFormatting sqref="B55">
    <cfRule type="cellIs" dxfId="2362" priority="2022" operator="equal">
      <formula>#REF!</formula>
    </cfRule>
    <cfRule type="cellIs" dxfId="2361" priority="2023" operator="equal">
      <formula>#REF!</formula>
    </cfRule>
    <cfRule type="cellIs" dxfId="2360" priority="2024" operator="equal">
      <formula>#REF!</formula>
    </cfRule>
    <cfRule type="cellIs" dxfId="2359" priority="2025" operator="equal">
      <formula>#REF!</formula>
    </cfRule>
    <cfRule type="cellIs" dxfId="2358" priority="2026" operator="equal">
      <formula>#REF!</formula>
    </cfRule>
    <cfRule type="cellIs" dxfId="2357" priority="2027" operator="equal">
      <formula>#REF!</formula>
    </cfRule>
    <cfRule type="cellIs" dxfId="2356" priority="2028" operator="equal">
      <formula>#REF!</formula>
    </cfRule>
    <cfRule type="cellIs" dxfId="2355" priority="2029" operator="equal">
      <formula>#REF!</formula>
    </cfRule>
    <cfRule type="cellIs" dxfId="2354" priority="2030" operator="equal">
      <formula>#REF!</formula>
    </cfRule>
    <cfRule type="cellIs" dxfId="2353" priority="2031" operator="equal">
      <formula>#REF!</formula>
    </cfRule>
    <cfRule type="cellIs" dxfId="2352" priority="2032" operator="equal">
      <formula>#REF!</formula>
    </cfRule>
    <cfRule type="cellIs" dxfId="2351" priority="2033" operator="equal">
      <formula>#REF!</formula>
    </cfRule>
    <cfRule type="cellIs" dxfId="2350" priority="2034" operator="equal">
      <formula>#REF!</formula>
    </cfRule>
    <cfRule type="cellIs" dxfId="2349" priority="2035" operator="equal">
      <formula>#REF!</formula>
    </cfRule>
    <cfRule type="cellIs" dxfId="2348" priority="2036" operator="equal">
      <formula>#REF!</formula>
    </cfRule>
    <cfRule type="cellIs" dxfId="2347" priority="2037" operator="equal">
      <formula>#REF!</formula>
    </cfRule>
    <cfRule type="cellIs" dxfId="2346" priority="2038" operator="equal">
      <formula>#REF!</formula>
    </cfRule>
    <cfRule type="cellIs" dxfId="2345" priority="2039" operator="equal">
      <formula>#REF!</formula>
    </cfRule>
  </conditionalFormatting>
  <conditionalFormatting sqref="K43">
    <cfRule type="cellIs" dxfId="2344" priority="2017" operator="equal">
      <formula>"Muy Alta"</formula>
    </cfRule>
    <cfRule type="cellIs" dxfId="2343" priority="2018" operator="equal">
      <formula>"Alta"</formula>
    </cfRule>
    <cfRule type="cellIs" dxfId="2342" priority="2019" operator="equal">
      <formula>"Media"</formula>
    </cfRule>
    <cfRule type="cellIs" dxfId="2341" priority="2020" operator="equal">
      <formula>"Baja"</formula>
    </cfRule>
    <cfRule type="cellIs" dxfId="2340" priority="2021" operator="equal">
      <formula>"Muy Baja"</formula>
    </cfRule>
  </conditionalFormatting>
  <conditionalFormatting sqref="O43">
    <cfRule type="cellIs" dxfId="2339" priority="2012" operator="equal">
      <formula>"Catastrófico"</formula>
    </cfRule>
    <cfRule type="cellIs" dxfId="2338" priority="2013" operator="equal">
      <formula>"Mayor"</formula>
    </cfRule>
    <cfRule type="cellIs" dxfId="2337" priority="2014" operator="equal">
      <formula>"Moderado"</formula>
    </cfRule>
    <cfRule type="cellIs" dxfId="2336" priority="2015" operator="equal">
      <formula>"Menor"</formula>
    </cfRule>
    <cfRule type="cellIs" dxfId="2335" priority="2016" operator="equal">
      <formula>"Leve"</formula>
    </cfRule>
  </conditionalFormatting>
  <conditionalFormatting sqref="Q43">
    <cfRule type="cellIs" dxfId="2334" priority="2008" operator="equal">
      <formula>"Extremo"</formula>
    </cfRule>
    <cfRule type="cellIs" dxfId="2333" priority="2009" operator="equal">
      <formula>"Alto"</formula>
    </cfRule>
    <cfRule type="cellIs" dxfId="2332" priority="2010" operator="equal">
      <formula>"Moderado"</formula>
    </cfRule>
    <cfRule type="cellIs" dxfId="2331" priority="2011" operator="equal">
      <formula>"Bajo"</formula>
    </cfRule>
  </conditionalFormatting>
  <conditionalFormatting sqref="AC43:AC48">
    <cfRule type="cellIs" dxfId="2330" priority="2003" operator="equal">
      <formula>"Muy Alta"</formula>
    </cfRule>
    <cfRule type="cellIs" dxfId="2329" priority="2004" operator="equal">
      <formula>"Alta"</formula>
    </cfRule>
    <cfRule type="cellIs" dxfId="2328" priority="2005" operator="equal">
      <formula>"Media"</formula>
    </cfRule>
    <cfRule type="cellIs" dxfId="2327" priority="2006" operator="equal">
      <formula>"Baja"</formula>
    </cfRule>
    <cfRule type="cellIs" dxfId="2326" priority="2007" operator="equal">
      <formula>"Muy Baja"</formula>
    </cfRule>
  </conditionalFormatting>
  <conditionalFormatting sqref="AE43:AE48">
    <cfRule type="cellIs" dxfId="2325" priority="1998" operator="equal">
      <formula>"Catastrófico"</formula>
    </cfRule>
    <cfRule type="cellIs" dxfId="2324" priority="1999" operator="equal">
      <formula>"Mayor"</formula>
    </cfRule>
    <cfRule type="cellIs" dxfId="2323" priority="2000" operator="equal">
      <formula>"Moderado"</formula>
    </cfRule>
    <cfRule type="cellIs" dxfId="2322" priority="2001" operator="equal">
      <formula>"Menor"</formula>
    </cfRule>
    <cfRule type="cellIs" dxfId="2321" priority="2002" operator="equal">
      <formula>"Leve"</formula>
    </cfRule>
  </conditionalFormatting>
  <conditionalFormatting sqref="AG43:AG48">
    <cfRule type="cellIs" dxfId="2320" priority="1994" operator="equal">
      <formula>"Extremo"</formula>
    </cfRule>
    <cfRule type="cellIs" dxfId="2319" priority="1995" operator="equal">
      <formula>"Alto"</formula>
    </cfRule>
    <cfRule type="cellIs" dxfId="2318" priority="1996" operator="equal">
      <formula>"Moderado"</formula>
    </cfRule>
    <cfRule type="cellIs" dxfId="2317" priority="1997" operator="equal">
      <formula>"Bajo"</formula>
    </cfRule>
  </conditionalFormatting>
  <conditionalFormatting sqref="N43:N48">
    <cfRule type="containsText" dxfId="2316" priority="1993" operator="containsText" text="❌">
      <formula>NOT(ISERROR(SEARCH("❌",N43)))</formula>
    </cfRule>
  </conditionalFormatting>
  <conditionalFormatting sqref="B43">
    <cfRule type="cellIs" dxfId="2315" priority="1975" operator="equal">
      <formula>#REF!</formula>
    </cfRule>
    <cfRule type="cellIs" dxfId="2314" priority="1976" operator="equal">
      <formula>#REF!</formula>
    </cfRule>
    <cfRule type="cellIs" dxfId="2313" priority="1977" operator="equal">
      <formula>#REF!</formula>
    </cfRule>
    <cfRule type="cellIs" dxfId="2312" priority="1978" operator="equal">
      <formula>#REF!</formula>
    </cfRule>
    <cfRule type="cellIs" dxfId="2311" priority="1979" operator="equal">
      <formula>#REF!</formula>
    </cfRule>
    <cfRule type="cellIs" dxfId="2310" priority="1980" operator="equal">
      <formula>#REF!</formula>
    </cfRule>
    <cfRule type="cellIs" dxfId="2309" priority="1981" operator="equal">
      <formula>#REF!</formula>
    </cfRule>
    <cfRule type="cellIs" dxfId="2308" priority="1982" operator="equal">
      <formula>#REF!</formula>
    </cfRule>
    <cfRule type="cellIs" dxfId="2307" priority="1983" operator="equal">
      <formula>#REF!</formula>
    </cfRule>
    <cfRule type="cellIs" dxfId="2306" priority="1984" operator="equal">
      <formula>#REF!</formula>
    </cfRule>
    <cfRule type="cellIs" dxfId="2305" priority="1985" operator="equal">
      <formula>#REF!</formula>
    </cfRule>
    <cfRule type="cellIs" dxfId="2304" priority="1986" operator="equal">
      <formula>#REF!</formula>
    </cfRule>
    <cfRule type="cellIs" dxfId="2303" priority="1987" operator="equal">
      <formula>#REF!</formula>
    </cfRule>
    <cfRule type="cellIs" dxfId="2302" priority="1988" operator="equal">
      <formula>#REF!</formula>
    </cfRule>
    <cfRule type="cellIs" dxfId="2301" priority="1989" operator="equal">
      <formula>#REF!</formula>
    </cfRule>
    <cfRule type="cellIs" dxfId="2300" priority="1990" operator="equal">
      <formula>#REF!</formula>
    </cfRule>
    <cfRule type="cellIs" dxfId="2299" priority="1991" operator="equal">
      <formula>#REF!</formula>
    </cfRule>
    <cfRule type="cellIs" dxfId="2298" priority="1992" operator="equal">
      <formula>#REF!</formula>
    </cfRule>
  </conditionalFormatting>
  <conditionalFormatting sqref="B49">
    <cfRule type="cellIs" dxfId="2297" priority="1928" operator="equal">
      <formula>#REF!</formula>
    </cfRule>
    <cfRule type="cellIs" dxfId="2296" priority="1929" operator="equal">
      <formula>#REF!</formula>
    </cfRule>
    <cfRule type="cellIs" dxfId="2295" priority="1930" operator="equal">
      <formula>#REF!</formula>
    </cfRule>
    <cfRule type="cellIs" dxfId="2294" priority="1931" operator="equal">
      <formula>#REF!</formula>
    </cfRule>
    <cfRule type="cellIs" dxfId="2293" priority="1932" operator="equal">
      <formula>#REF!</formula>
    </cfRule>
    <cfRule type="cellIs" dxfId="2292" priority="1933" operator="equal">
      <formula>#REF!</formula>
    </cfRule>
    <cfRule type="cellIs" dxfId="2291" priority="1934" operator="equal">
      <formula>#REF!</formula>
    </cfRule>
    <cfRule type="cellIs" dxfId="2290" priority="1935" operator="equal">
      <formula>#REF!</formula>
    </cfRule>
    <cfRule type="cellIs" dxfId="2289" priority="1936" operator="equal">
      <formula>#REF!</formula>
    </cfRule>
    <cfRule type="cellIs" dxfId="2288" priority="1937" operator="equal">
      <formula>#REF!</formula>
    </cfRule>
    <cfRule type="cellIs" dxfId="2287" priority="1938" operator="equal">
      <formula>#REF!</formula>
    </cfRule>
    <cfRule type="cellIs" dxfId="2286" priority="1939" operator="equal">
      <formula>#REF!</formula>
    </cfRule>
    <cfRule type="cellIs" dxfId="2285" priority="1940" operator="equal">
      <formula>#REF!</formula>
    </cfRule>
    <cfRule type="cellIs" dxfId="2284" priority="1941" operator="equal">
      <formula>#REF!</formula>
    </cfRule>
    <cfRule type="cellIs" dxfId="2283" priority="1942" operator="equal">
      <formula>#REF!</formula>
    </cfRule>
    <cfRule type="cellIs" dxfId="2282" priority="1943" operator="equal">
      <formula>#REF!</formula>
    </cfRule>
    <cfRule type="cellIs" dxfId="2281" priority="1944" operator="equal">
      <formula>#REF!</formula>
    </cfRule>
    <cfRule type="cellIs" dxfId="2280" priority="1945" operator="equal">
      <formula>#REF!</formula>
    </cfRule>
  </conditionalFormatting>
  <conditionalFormatting sqref="K49">
    <cfRule type="cellIs" dxfId="2279" priority="1970" operator="equal">
      <formula>"Muy Alta"</formula>
    </cfRule>
    <cfRule type="cellIs" dxfId="2278" priority="1971" operator="equal">
      <formula>"Alta"</formula>
    </cfRule>
    <cfRule type="cellIs" dxfId="2277" priority="1972" operator="equal">
      <formula>"Media"</formula>
    </cfRule>
    <cfRule type="cellIs" dxfId="2276" priority="1973" operator="equal">
      <formula>"Baja"</formula>
    </cfRule>
    <cfRule type="cellIs" dxfId="2275" priority="1974" operator="equal">
      <formula>"Muy Baja"</formula>
    </cfRule>
  </conditionalFormatting>
  <conditionalFormatting sqref="O49">
    <cfRule type="cellIs" dxfId="2274" priority="1965" operator="equal">
      <formula>"Catastrófico"</formula>
    </cfRule>
    <cfRule type="cellIs" dxfId="2273" priority="1966" operator="equal">
      <formula>"Mayor"</formula>
    </cfRule>
    <cfRule type="cellIs" dxfId="2272" priority="1967" operator="equal">
      <formula>"Moderado"</formula>
    </cfRule>
    <cfRule type="cellIs" dxfId="2271" priority="1968" operator="equal">
      <formula>"Menor"</formula>
    </cfRule>
    <cfRule type="cellIs" dxfId="2270" priority="1969" operator="equal">
      <formula>"Leve"</formula>
    </cfRule>
  </conditionalFormatting>
  <conditionalFormatting sqref="Q49">
    <cfRule type="cellIs" dxfId="2269" priority="1961" operator="equal">
      <formula>"Extremo"</formula>
    </cfRule>
    <cfRule type="cellIs" dxfId="2268" priority="1962" operator="equal">
      <formula>"Alto"</formula>
    </cfRule>
    <cfRule type="cellIs" dxfId="2267" priority="1963" operator="equal">
      <formula>"Moderado"</formula>
    </cfRule>
    <cfRule type="cellIs" dxfId="2266" priority="1964" operator="equal">
      <formula>"Bajo"</formula>
    </cfRule>
  </conditionalFormatting>
  <conditionalFormatting sqref="AC49:AC54">
    <cfRule type="cellIs" dxfId="2265" priority="1956" operator="equal">
      <formula>"Muy Alta"</formula>
    </cfRule>
    <cfRule type="cellIs" dxfId="2264" priority="1957" operator="equal">
      <formula>"Alta"</formula>
    </cfRule>
    <cfRule type="cellIs" dxfId="2263" priority="1958" operator="equal">
      <formula>"Media"</formula>
    </cfRule>
    <cfRule type="cellIs" dxfId="2262" priority="1959" operator="equal">
      <formula>"Baja"</formula>
    </cfRule>
    <cfRule type="cellIs" dxfId="2261" priority="1960" operator="equal">
      <formula>"Muy Baja"</formula>
    </cfRule>
  </conditionalFormatting>
  <conditionalFormatting sqref="AE49:AE54">
    <cfRule type="cellIs" dxfId="2260" priority="1951" operator="equal">
      <formula>"Catastrófico"</formula>
    </cfRule>
    <cfRule type="cellIs" dxfId="2259" priority="1952" operator="equal">
      <formula>"Mayor"</formula>
    </cfRule>
    <cfRule type="cellIs" dxfId="2258" priority="1953" operator="equal">
      <formula>"Moderado"</formula>
    </cfRule>
    <cfRule type="cellIs" dxfId="2257" priority="1954" operator="equal">
      <formula>"Menor"</formula>
    </cfRule>
    <cfRule type="cellIs" dxfId="2256" priority="1955" operator="equal">
      <formula>"Leve"</formula>
    </cfRule>
  </conditionalFormatting>
  <conditionalFormatting sqref="AG49:AG54">
    <cfRule type="cellIs" dxfId="2255" priority="1947" operator="equal">
      <formula>"Extremo"</formula>
    </cfRule>
    <cfRule type="cellIs" dxfId="2254" priority="1948" operator="equal">
      <formula>"Alto"</formula>
    </cfRule>
    <cfRule type="cellIs" dxfId="2253" priority="1949" operator="equal">
      <formula>"Moderado"</formula>
    </cfRule>
    <cfRule type="cellIs" dxfId="2252" priority="1950" operator="equal">
      <formula>"Bajo"</formula>
    </cfRule>
  </conditionalFormatting>
  <conditionalFormatting sqref="N49:N54">
    <cfRule type="containsText" dxfId="2251" priority="1946" operator="containsText" text="❌">
      <formula>NOT(ISERROR(SEARCH("❌",N49)))</formula>
    </cfRule>
  </conditionalFormatting>
  <conditionalFormatting sqref="B73">
    <cfRule type="cellIs" dxfId="2250" priority="1881" operator="equal">
      <formula>#REF!</formula>
    </cfRule>
    <cfRule type="cellIs" dxfId="2249" priority="1882" operator="equal">
      <formula>#REF!</formula>
    </cfRule>
    <cfRule type="cellIs" dxfId="2248" priority="1883" operator="equal">
      <formula>#REF!</formula>
    </cfRule>
    <cfRule type="cellIs" dxfId="2247" priority="1884" operator="equal">
      <formula>#REF!</formula>
    </cfRule>
    <cfRule type="cellIs" dxfId="2246" priority="1885" operator="equal">
      <formula>#REF!</formula>
    </cfRule>
    <cfRule type="cellIs" dxfId="2245" priority="1886" operator="equal">
      <formula>#REF!</formula>
    </cfRule>
    <cfRule type="cellIs" dxfId="2244" priority="1887" operator="equal">
      <formula>#REF!</formula>
    </cfRule>
    <cfRule type="cellIs" dxfId="2243" priority="1888" operator="equal">
      <formula>#REF!</formula>
    </cfRule>
    <cfRule type="cellIs" dxfId="2242" priority="1889" operator="equal">
      <formula>#REF!</formula>
    </cfRule>
    <cfRule type="cellIs" dxfId="2241" priority="1890" operator="equal">
      <formula>#REF!</formula>
    </cfRule>
    <cfRule type="cellIs" dxfId="2240" priority="1891" operator="equal">
      <formula>#REF!</formula>
    </cfRule>
    <cfRule type="cellIs" dxfId="2239" priority="1892" operator="equal">
      <formula>#REF!</formula>
    </cfRule>
    <cfRule type="cellIs" dxfId="2238" priority="1893" operator="equal">
      <formula>#REF!</formula>
    </cfRule>
    <cfRule type="cellIs" dxfId="2237" priority="1894" operator="equal">
      <formula>#REF!</formula>
    </cfRule>
    <cfRule type="cellIs" dxfId="2236" priority="1895" operator="equal">
      <formula>#REF!</formula>
    </cfRule>
    <cfRule type="cellIs" dxfId="2235" priority="1896" operator="equal">
      <formula>#REF!</formula>
    </cfRule>
    <cfRule type="cellIs" dxfId="2234" priority="1897" operator="equal">
      <formula>#REF!</formula>
    </cfRule>
    <cfRule type="cellIs" dxfId="2233" priority="1898" operator="equal">
      <formula>#REF!</formula>
    </cfRule>
  </conditionalFormatting>
  <conditionalFormatting sqref="B67">
    <cfRule type="cellIs" dxfId="2232" priority="1834" operator="equal">
      <formula>#REF!</formula>
    </cfRule>
    <cfRule type="cellIs" dxfId="2231" priority="1835" operator="equal">
      <formula>#REF!</formula>
    </cfRule>
    <cfRule type="cellIs" dxfId="2230" priority="1836" operator="equal">
      <formula>#REF!</formula>
    </cfRule>
    <cfRule type="cellIs" dxfId="2229" priority="1837" operator="equal">
      <formula>#REF!</formula>
    </cfRule>
    <cfRule type="cellIs" dxfId="2228" priority="1838" operator="equal">
      <formula>#REF!</formula>
    </cfRule>
    <cfRule type="cellIs" dxfId="2227" priority="1839" operator="equal">
      <formula>#REF!</formula>
    </cfRule>
    <cfRule type="cellIs" dxfId="2226" priority="1840" operator="equal">
      <formula>#REF!</formula>
    </cfRule>
    <cfRule type="cellIs" dxfId="2225" priority="1841" operator="equal">
      <formula>#REF!</formula>
    </cfRule>
    <cfRule type="cellIs" dxfId="2224" priority="1842" operator="equal">
      <formula>#REF!</formula>
    </cfRule>
    <cfRule type="cellIs" dxfId="2223" priority="1843" operator="equal">
      <formula>#REF!</formula>
    </cfRule>
    <cfRule type="cellIs" dxfId="2222" priority="1844" operator="equal">
      <formula>#REF!</formula>
    </cfRule>
    <cfRule type="cellIs" dxfId="2221" priority="1845" operator="equal">
      <formula>#REF!</formula>
    </cfRule>
    <cfRule type="cellIs" dxfId="2220" priority="1846" operator="equal">
      <formula>#REF!</formula>
    </cfRule>
    <cfRule type="cellIs" dxfId="2219" priority="1847" operator="equal">
      <formula>#REF!</formula>
    </cfRule>
    <cfRule type="cellIs" dxfId="2218" priority="1848" operator="equal">
      <formula>#REF!</formula>
    </cfRule>
    <cfRule type="cellIs" dxfId="2217" priority="1849" operator="equal">
      <formula>#REF!</formula>
    </cfRule>
    <cfRule type="cellIs" dxfId="2216" priority="1850" operator="equal">
      <formula>#REF!</formula>
    </cfRule>
    <cfRule type="cellIs" dxfId="2215" priority="1851" operator="equal">
      <formula>#REF!</formula>
    </cfRule>
  </conditionalFormatting>
  <conditionalFormatting sqref="K73">
    <cfRule type="cellIs" dxfId="2214" priority="1923" operator="equal">
      <formula>"Muy Alta"</formula>
    </cfRule>
    <cfRule type="cellIs" dxfId="2213" priority="1924" operator="equal">
      <formula>"Alta"</formula>
    </cfRule>
    <cfRule type="cellIs" dxfId="2212" priority="1925" operator="equal">
      <formula>"Media"</formula>
    </cfRule>
    <cfRule type="cellIs" dxfId="2211" priority="1926" operator="equal">
      <formula>"Baja"</formula>
    </cfRule>
    <cfRule type="cellIs" dxfId="2210" priority="1927" operator="equal">
      <formula>"Muy Baja"</formula>
    </cfRule>
  </conditionalFormatting>
  <conditionalFormatting sqref="O73">
    <cfRule type="cellIs" dxfId="2209" priority="1918" operator="equal">
      <formula>"Catastrófico"</formula>
    </cfRule>
    <cfRule type="cellIs" dxfId="2208" priority="1919" operator="equal">
      <formula>"Mayor"</formula>
    </cfRule>
    <cfRule type="cellIs" dxfId="2207" priority="1920" operator="equal">
      <formula>"Moderado"</formula>
    </cfRule>
    <cfRule type="cellIs" dxfId="2206" priority="1921" operator="equal">
      <formula>"Menor"</formula>
    </cfRule>
    <cfRule type="cellIs" dxfId="2205" priority="1922" operator="equal">
      <formula>"Leve"</formula>
    </cfRule>
  </conditionalFormatting>
  <conditionalFormatting sqref="Q73">
    <cfRule type="cellIs" dxfId="2204" priority="1914" operator="equal">
      <formula>"Extremo"</formula>
    </cfRule>
    <cfRule type="cellIs" dxfId="2203" priority="1915" operator="equal">
      <formula>"Alto"</formula>
    </cfRule>
    <cfRule type="cellIs" dxfId="2202" priority="1916" operator="equal">
      <formula>"Moderado"</formula>
    </cfRule>
    <cfRule type="cellIs" dxfId="2201" priority="1917" operator="equal">
      <formula>"Bajo"</formula>
    </cfRule>
  </conditionalFormatting>
  <conditionalFormatting sqref="AC73:AC78">
    <cfRule type="cellIs" dxfId="2200" priority="1909" operator="equal">
      <formula>"Muy Alta"</formula>
    </cfRule>
    <cfRule type="cellIs" dxfId="2199" priority="1910" operator="equal">
      <formula>"Alta"</formula>
    </cfRule>
    <cfRule type="cellIs" dxfId="2198" priority="1911" operator="equal">
      <formula>"Media"</formula>
    </cfRule>
    <cfRule type="cellIs" dxfId="2197" priority="1912" operator="equal">
      <formula>"Baja"</formula>
    </cfRule>
    <cfRule type="cellIs" dxfId="2196" priority="1913" operator="equal">
      <formula>"Muy Baja"</formula>
    </cfRule>
  </conditionalFormatting>
  <conditionalFormatting sqref="AE73:AE78">
    <cfRule type="cellIs" dxfId="2195" priority="1904" operator="equal">
      <formula>"Catastrófico"</formula>
    </cfRule>
    <cfRule type="cellIs" dxfId="2194" priority="1905" operator="equal">
      <formula>"Mayor"</formula>
    </cfRule>
    <cfRule type="cellIs" dxfId="2193" priority="1906" operator="equal">
      <formula>"Moderado"</formula>
    </cfRule>
    <cfRule type="cellIs" dxfId="2192" priority="1907" operator="equal">
      <formula>"Menor"</formula>
    </cfRule>
    <cfRule type="cellIs" dxfId="2191" priority="1908" operator="equal">
      <formula>"Leve"</formula>
    </cfRule>
  </conditionalFormatting>
  <conditionalFormatting sqref="AG73:AG78">
    <cfRule type="cellIs" dxfId="2190" priority="1900" operator="equal">
      <formula>"Extremo"</formula>
    </cfRule>
    <cfRule type="cellIs" dxfId="2189" priority="1901" operator="equal">
      <formula>"Alto"</formula>
    </cfRule>
    <cfRule type="cellIs" dxfId="2188" priority="1902" operator="equal">
      <formula>"Moderado"</formula>
    </cfRule>
    <cfRule type="cellIs" dxfId="2187" priority="1903" operator="equal">
      <formula>"Bajo"</formula>
    </cfRule>
  </conditionalFormatting>
  <conditionalFormatting sqref="N73:N78">
    <cfRule type="containsText" dxfId="2186" priority="1899" operator="containsText" text="❌">
      <formula>NOT(ISERROR(SEARCH("❌",N73)))</formula>
    </cfRule>
  </conditionalFormatting>
  <conditionalFormatting sqref="K67">
    <cfRule type="cellIs" dxfId="2185" priority="1876" operator="equal">
      <formula>"Muy Alta"</formula>
    </cfRule>
    <cfRule type="cellIs" dxfId="2184" priority="1877" operator="equal">
      <formula>"Alta"</formula>
    </cfRule>
    <cfRule type="cellIs" dxfId="2183" priority="1878" operator="equal">
      <formula>"Media"</formula>
    </cfRule>
    <cfRule type="cellIs" dxfId="2182" priority="1879" operator="equal">
      <formula>"Baja"</formula>
    </cfRule>
    <cfRule type="cellIs" dxfId="2181" priority="1880" operator="equal">
      <formula>"Muy Baja"</formula>
    </cfRule>
  </conditionalFormatting>
  <conditionalFormatting sqref="O67">
    <cfRule type="cellIs" dxfId="2180" priority="1871" operator="equal">
      <formula>"Catastrófico"</formula>
    </cfRule>
    <cfRule type="cellIs" dxfId="2179" priority="1872" operator="equal">
      <formula>"Mayor"</formula>
    </cfRule>
    <cfRule type="cellIs" dxfId="2178" priority="1873" operator="equal">
      <formula>"Moderado"</formula>
    </cfRule>
    <cfRule type="cellIs" dxfId="2177" priority="1874" operator="equal">
      <formula>"Menor"</formula>
    </cfRule>
    <cfRule type="cellIs" dxfId="2176" priority="1875" operator="equal">
      <formula>"Leve"</formula>
    </cfRule>
  </conditionalFormatting>
  <conditionalFormatting sqref="Q67">
    <cfRule type="cellIs" dxfId="2175" priority="1867" operator="equal">
      <formula>"Extremo"</formula>
    </cfRule>
    <cfRule type="cellIs" dxfId="2174" priority="1868" operator="equal">
      <formula>"Alto"</formula>
    </cfRule>
    <cfRule type="cellIs" dxfId="2173" priority="1869" operator="equal">
      <formula>"Moderado"</formula>
    </cfRule>
    <cfRule type="cellIs" dxfId="2172" priority="1870" operator="equal">
      <formula>"Bajo"</formula>
    </cfRule>
  </conditionalFormatting>
  <conditionalFormatting sqref="AC67:AC72">
    <cfRule type="cellIs" dxfId="2171" priority="1862" operator="equal">
      <formula>"Muy Alta"</formula>
    </cfRule>
    <cfRule type="cellIs" dxfId="2170" priority="1863" operator="equal">
      <formula>"Alta"</formula>
    </cfRule>
    <cfRule type="cellIs" dxfId="2169" priority="1864" operator="equal">
      <formula>"Media"</formula>
    </cfRule>
    <cfRule type="cellIs" dxfId="2168" priority="1865" operator="equal">
      <formula>"Baja"</formula>
    </cfRule>
    <cfRule type="cellIs" dxfId="2167" priority="1866" operator="equal">
      <formula>"Muy Baja"</formula>
    </cfRule>
  </conditionalFormatting>
  <conditionalFormatting sqref="AE67:AE72">
    <cfRule type="cellIs" dxfId="2166" priority="1857" operator="equal">
      <formula>"Catastrófico"</formula>
    </cfRule>
    <cfRule type="cellIs" dxfId="2165" priority="1858" operator="equal">
      <formula>"Mayor"</formula>
    </cfRule>
    <cfRule type="cellIs" dxfId="2164" priority="1859" operator="equal">
      <formula>"Moderado"</formula>
    </cfRule>
    <cfRule type="cellIs" dxfId="2163" priority="1860" operator="equal">
      <formula>"Menor"</formula>
    </cfRule>
    <cfRule type="cellIs" dxfId="2162" priority="1861" operator="equal">
      <formula>"Leve"</formula>
    </cfRule>
  </conditionalFormatting>
  <conditionalFormatting sqref="AG67:AG72">
    <cfRule type="cellIs" dxfId="2161" priority="1853" operator="equal">
      <formula>"Extremo"</formula>
    </cfRule>
    <cfRule type="cellIs" dxfId="2160" priority="1854" operator="equal">
      <formula>"Alto"</formula>
    </cfRule>
    <cfRule type="cellIs" dxfId="2159" priority="1855" operator="equal">
      <formula>"Moderado"</formula>
    </cfRule>
    <cfRule type="cellIs" dxfId="2158" priority="1856" operator="equal">
      <formula>"Bajo"</formula>
    </cfRule>
  </conditionalFormatting>
  <conditionalFormatting sqref="N67:N72">
    <cfRule type="containsText" dxfId="2157" priority="1852" operator="containsText" text="❌">
      <formula>NOT(ISERROR(SEARCH("❌",N67)))</formula>
    </cfRule>
  </conditionalFormatting>
  <conditionalFormatting sqref="B61">
    <cfRule type="cellIs" dxfId="2156" priority="1787" operator="equal">
      <formula>#REF!</formula>
    </cfRule>
    <cfRule type="cellIs" dxfId="2155" priority="1788" operator="equal">
      <formula>#REF!</formula>
    </cfRule>
    <cfRule type="cellIs" dxfId="2154" priority="1789" operator="equal">
      <formula>#REF!</formula>
    </cfRule>
    <cfRule type="cellIs" dxfId="2153" priority="1790" operator="equal">
      <formula>#REF!</formula>
    </cfRule>
    <cfRule type="cellIs" dxfId="2152" priority="1791" operator="equal">
      <formula>#REF!</formula>
    </cfRule>
    <cfRule type="cellIs" dxfId="2151" priority="1792" operator="equal">
      <formula>#REF!</formula>
    </cfRule>
    <cfRule type="cellIs" dxfId="2150" priority="1793" operator="equal">
      <formula>#REF!</formula>
    </cfRule>
    <cfRule type="cellIs" dxfId="2149" priority="1794" operator="equal">
      <formula>#REF!</formula>
    </cfRule>
    <cfRule type="cellIs" dxfId="2148" priority="1795" operator="equal">
      <formula>#REF!</formula>
    </cfRule>
    <cfRule type="cellIs" dxfId="2147" priority="1796" operator="equal">
      <formula>#REF!</formula>
    </cfRule>
    <cfRule type="cellIs" dxfId="2146" priority="1797" operator="equal">
      <formula>#REF!</formula>
    </cfRule>
    <cfRule type="cellIs" dxfId="2145" priority="1798" operator="equal">
      <formula>#REF!</formula>
    </cfRule>
    <cfRule type="cellIs" dxfId="2144" priority="1799" operator="equal">
      <formula>#REF!</formula>
    </cfRule>
    <cfRule type="cellIs" dxfId="2143" priority="1800" operator="equal">
      <formula>#REF!</formula>
    </cfRule>
    <cfRule type="cellIs" dxfId="2142" priority="1801" operator="equal">
      <formula>#REF!</formula>
    </cfRule>
    <cfRule type="cellIs" dxfId="2141" priority="1802" operator="equal">
      <formula>#REF!</formula>
    </cfRule>
    <cfRule type="cellIs" dxfId="2140" priority="1803" operator="equal">
      <formula>#REF!</formula>
    </cfRule>
    <cfRule type="cellIs" dxfId="2139" priority="1804" operator="equal">
      <formula>#REF!</formula>
    </cfRule>
  </conditionalFormatting>
  <conditionalFormatting sqref="B79">
    <cfRule type="cellIs" dxfId="2138" priority="1740" operator="equal">
      <formula>#REF!</formula>
    </cfRule>
    <cfRule type="cellIs" dxfId="2137" priority="1741" operator="equal">
      <formula>#REF!</formula>
    </cfRule>
    <cfRule type="cellIs" dxfId="2136" priority="1742" operator="equal">
      <formula>#REF!</formula>
    </cfRule>
    <cfRule type="cellIs" dxfId="2135" priority="1743" operator="equal">
      <formula>#REF!</formula>
    </cfRule>
    <cfRule type="cellIs" dxfId="2134" priority="1744" operator="equal">
      <formula>#REF!</formula>
    </cfRule>
    <cfRule type="cellIs" dxfId="2133" priority="1745" operator="equal">
      <formula>#REF!</formula>
    </cfRule>
    <cfRule type="cellIs" dxfId="2132" priority="1746" operator="equal">
      <formula>#REF!</formula>
    </cfRule>
    <cfRule type="cellIs" dxfId="2131" priority="1747" operator="equal">
      <formula>#REF!</formula>
    </cfRule>
    <cfRule type="cellIs" dxfId="2130" priority="1748" operator="equal">
      <formula>#REF!</formula>
    </cfRule>
    <cfRule type="cellIs" dxfId="2129" priority="1749" operator="equal">
      <formula>#REF!</formula>
    </cfRule>
    <cfRule type="cellIs" dxfId="2128" priority="1750" operator="equal">
      <formula>#REF!</formula>
    </cfRule>
    <cfRule type="cellIs" dxfId="2127" priority="1751" operator="equal">
      <formula>#REF!</formula>
    </cfRule>
    <cfRule type="cellIs" dxfId="2126" priority="1752" operator="equal">
      <formula>#REF!</formula>
    </cfRule>
    <cfRule type="cellIs" dxfId="2125" priority="1753" operator="equal">
      <formula>#REF!</formula>
    </cfRule>
    <cfRule type="cellIs" dxfId="2124" priority="1754" operator="equal">
      <formula>#REF!</formula>
    </cfRule>
    <cfRule type="cellIs" dxfId="2123" priority="1755" operator="equal">
      <formula>#REF!</formula>
    </cfRule>
    <cfRule type="cellIs" dxfId="2122" priority="1756" operator="equal">
      <formula>#REF!</formula>
    </cfRule>
    <cfRule type="cellIs" dxfId="2121" priority="1757" operator="equal">
      <formula>#REF!</formula>
    </cfRule>
  </conditionalFormatting>
  <conditionalFormatting sqref="K61">
    <cfRule type="cellIs" dxfId="2120" priority="1829" operator="equal">
      <formula>"Muy Alta"</formula>
    </cfRule>
    <cfRule type="cellIs" dxfId="2119" priority="1830" operator="equal">
      <formula>"Alta"</formula>
    </cfRule>
    <cfRule type="cellIs" dxfId="2118" priority="1831" operator="equal">
      <formula>"Media"</formula>
    </cfRule>
    <cfRule type="cellIs" dxfId="2117" priority="1832" operator="equal">
      <formula>"Baja"</formula>
    </cfRule>
    <cfRule type="cellIs" dxfId="2116" priority="1833" operator="equal">
      <formula>"Muy Baja"</formula>
    </cfRule>
  </conditionalFormatting>
  <conditionalFormatting sqref="O61">
    <cfRule type="cellIs" dxfId="2115" priority="1824" operator="equal">
      <formula>"Catastrófico"</formula>
    </cfRule>
    <cfRule type="cellIs" dxfId="2114" priority="1825" operator="equal">
      <formula>"Mayor"</formula>
    </cfRule>
    <cfRule type="cellIs" dxfId="2113" priority="1826" operator="equal">
      <formula>"Moderado"</formula>
    </cfRule>
    <cfRule type="cellIs" dxfId="2112" priority="1827" operator="equal">
      <formula>"Menor"</formula>
    </cfRule>
    <cfRule type="cellIs" dxfId="2111" priority="1828" operator="equal">
      <formula>"Leve"</formula>
    </cfRule>
  </conditionalFormatting>
  <conditionalFormatting sqref="Q61">
    <cfRule type="cellIs" dxfId="2110" priority="1820" operator="equal">
      <formula>"Extremo"</formula>
    </cfRule>
    <cfRule type="cellIs" dxfId="2109" priority="1821" operator="equal">
      <formula>"Alto"</formula>
    </cfRule>
    <cfRule type="cellIs" dxfId="2108" priority="1822" operator="equal">
      <formula>"Moderado"</formula>
    </cfRule>
    <cfRule type="cellIs" dxfId="2107" priority="1823" operator="equal">
      <formula>"Bajo"</formula>
    </cfRule>
  </conditionalFormatting>
  <conditionalFormatting sqref="AC61:AC66">
    <cfRule type="cellIs" dxfId="2106" priority="1815" operator="equal">
      <formula>"Muy Alta"</formula>
    </cfRule>
    <cfRule type="cellIs" dxfId="2105" priority="1816" operator="equal">
      <formula>"Alta"</formula>
    </cfRule>
    <cfRule type="cellIs" dxfId="2104" priority="1817" operator="equal">
      <formula>"Media"</formula>
    </cfRule>
    <cfRule type="cellIs" dxfId="2103" priority="1818" operator="equal">
      <formula>"Baja"</formula>
    </cfRule>
    <cfRule type="cellIs" dxfId="2102" priority="1819" operator="equal">
      <formula>"Muy Baja"</formula>
    </cfRule>
  </conditionalFormatting>
  <conditionalFormatting sqref="AE61:AE66">
    <cfRule type="cellIs" dxfId="2101" priority="1810" operator="equal">
      <formula>"Catastrófico"</formula>
    </cfRule>
    <cfRule type="cellIs" dxfId="2100" priority="1811" operator="equal">
      <formula>"Mayor"</formula>
    </cfRule>
    <cfRule type="cellIs" dxfId="2099" priority="1812" operator="equal">
      <formula>"Moderado"</formula>
    </cfRule>
    <cfRule type="cellIs" dxfId="2098" priority="1813" operator="equal">
      <formula>"Menor"</formula>
    </cfRule>
    <cfRule type="cellIs" dxfId="2097" priority="1814" operator="equal">
      <formula>"Leve"</formula>
    </cfRule>
  </conditionalFormatting>
  <conditionalFormatting sqref="AG61:AG66">
    <cfRule type="cellIs" dxfId="2096" priority="1806" operator="equal">
      <formula>"Extremo"</formula>
    </cfRule>
    <cfRule type="cellIs" dxfId="2095" priority="1807" operator="equal">
      <formula>"Alto"</formula>
    </cfRule>
    <cfRule type="cellIs" dxfId="2094" priority="1808" operator="equal">
      <formula>"Moderado"</formula>
    </cfRule>
    <cfRule type="cellIs" dxfId="2093" priority="1809" operator="equal">
      <formula>"Bajo"</formula>
    </cfRule>
  </conditionalFormatting>
  <conditionalFormatting sqref="N61:N66">
    <cfRule type="containsText" dxfId="2092" priority="1805" operator="containsText" text="❌">
      <formula>NOT(ISERROR(SEARCH("❌",N61)))</formula>
    </cfRule>
  </conditionalFormatting>
  <conditionalFormatting sqref="K79">
    <cfRule type="cellIs" dxfId="2091" priority="1782" operator="equal">
      <formula>"Muy Alta"</formula>
    </cfRule>
    <cfRule type="cellIs" dxfId="2090" priority="1783" operator="equal">
      <formula>"Alta"</formula>
    </cfRule>
    <cfRule type="cellIs" dxfId="2089" priority="1784" operator="equal">
      <formula>"Media"</formula>
    </cfRule>
    <cfRule type="cellIs" dxfId="2088" priority="1785" operator="equal">
      <formula>"Baja"</formula>
    </cfRule>
    <cfRule type="cellIs" dxfId="2087" priority="1786" operator="equal">
      <formula>"Muy Baja"</formula>
    </cfRule>
  </conditionalFormatting>
  <conditionalFormatting sqref="O79">
    <cfRule type="cellIs" dxfId="2086" priority="1777" operator="equal">
      <formula>"Catastrófico"</formula>
    </cfRule>
    <cfRule type="cellIs" dxfId="2085" priority="1778" operator="equal">
      <formula>"Mayor"</formula>
    </cfRule>
    <cfRule type="cellIs" dxfId="2084" priority="1779" operator="equal">
      <formula>"Moderado"</formula>
    </cfRule>
    <cfRule type="cellIs" dxfId="2083" priority="1780" operator="equal">
      <formula>"Menor"</formula>
    </cfRule>
    <cfRule type="cellIs" dxfId="2082" priority="1781" operator="equal">
      <formula>"Leve"</formula>
    </cfRule>
  </conditionalFormatting>
  <conditionalFormatting sqref="Q79">
    <cfRule type="cellIs" dxfId="2081" priority="1773" operator="equal">
      <formula>"Extremo"</formula>
    </cfRule>
    <cfRule type="cellIs" dxfId="2080" priority="1774" operator="equal">
      <formula>"Alto"</formula>
    </cfRule>
    <cfRule type="cellIs" dxfId="2079" priority="1775" operator="equal">
      <formula>"Moderado"</formula>
    </cfRule>
    <cfRule type="cellIs" dxfId="2078" priority="1776" operator="equal">
      <formula>"Bajo"</formula>
    </cfRule>
  </conditionalFormatting>
  <conditionalFormatting sqref="AC79:AC84">
    <cfRule type="cellIs" dxfId="2077" priority="1768" operator="equal">
      <formula>"Muy Alta"</formula>
    </cfRule>
    <cfRule type="cellIs" dxfId="2076" priority="1769" operator="equal">
      <formula>"Alta"</formula>
    </cfRule>
    <cfRule type="cellIs" dxfId="2075" priority="1770" operator="equal">
      <formula>"Media"</formula>
    </cfRule>
    <cfRule type="cellIs" dxfId="2074" priority="1771" operator="equal">
      <formula>"Baja"</formula>
    </cfRule>
    <cfRule type="cellIs" dxfId="2073" priority="1772" operator="equal">
      <formula>"Muy Baja"</formula>
    </cfRule>
  </conditionalFormatting>
  <conditionalFormatting sqref="AE79:AE84">
    <cfRule type="cellIs" dxfId="2072" priority="1763" operator="equal">
      <formula>"Catastrófico"</formula>
    </cfRule>
    <cfRule type="cellIs" dxfId="2071" priority="1764" operator="equal">
      <formula>"Mayor"</formula>
    </cfRule>
    <cfRule type="cellIs" dxfId="2070" priority="1765" operator="equal">
      <formula>"Moderado"</formula>
    </cfRule>
    <cfRule type="cellIs" dxfId="2069" priority="1766" operator="equal">
      <formula>"Menor"</formula>
    </cfRule>
    <cfRule type="cellIs" dxfId="2068" priority="1767" operator="equal">
      <formula>"Leve"</formula>
    </cfRule>
  </conditionalFormatting>
  <conditionalFormatting sqref="AG79:AG84">
    <cfRule type="cellIs" dxfId="2067" priority="1759" operator="equal">
      <formula>"Extremo"</formula>
    </cfRule>
    <cfRule type="cellIs" dxfId="2066" priority="1760" operator="equal">
      <formula>"Alto"</formula>
    </cfRule>
    <cfRule type="cellIs" dxfId="2065" priority="1761" operator="equal">
      <formula>"Moderado"</formula>
    </cfRule>
    <cfRule type="cellIs" dxfId="2064" priority="1762" operator="equal">
      <formula>"Bajo"</formula>
    </cfRule>
  </conditionalFormatting>
  <conditionalFormatting sqref="N79:N84">
    <cfRule type="containsText" dxfId="2063" priority="1758" operator="containsText" text="❌">
      <formula>NOT(ISERROR(SEARCH("❌",N79)))</formula>
    </cfRule>
  </conditionalFormatting>
  <conditionalFormatting sqref="B85">
    <cfRule type="cellIs" dxfId="2062" priority="1693" operator="equal">
      <formula>#REF!</formula>
    </cfRule>
    <cfRule type="cellIs" dxfId="2061" priority="1694" operator="equal">
      <formula>#REF!</formula>
    </cfRule>
    <cfRule type="cellIs" dxfId="2060" priority="1695" operator="equal">
      <formula>#REF!</formula>
    </cfRule>
    <cfRule type="cellIs" dxfId="2059" priority="1696" operator="equal">
      <formula>#REF!</formula>
    </cfRule>
    <cfRule type="cellIs" dxfId="2058" priority="1697" operator="equal">
      <formula>#REF!</formula>
    </cfRule>
    <cfRule type="cellIs" dxfId="2057" priority="1698" operator="equal">
      <formula>#REF!</formula>
    </cfRule>
    <cfRule type="cellIs" dxfId="2056" priority="1699" operator="equal">
      <formula>#REF!</formula>
    </cfRule>
    <cfRule type="cellIs" dxfId="2055" priority="1700" operator="equal">
      <formula>#REF!</formula>
    </cfRule>
    <cfRule type="cellIs" dxfId="2054" priority="1701" operator="equal">
      <formula>#REF!</formula>
    </cfRule>
    <cfRule type="cellIs" dxfId="2053" priority="1702" operator="equal">
      <formula>#REF!</formula>
    </cfRule>
    <cfRule type="cellIs" dxfId="2052" priority="1703" operator="equal">
      <formula>#REF!</formula>
    </cfRule>
    <cfRule type="cellIs" dxfId="2051" priority="1704" operator="equal">
      <formula>#REF!</formula>
    </cfRule>
    <cfRule type="cellIs" dxfId="2050" priority="1705" operator="equal">
      <formula>#REF!</formula>
    </cfRule>
    <cfRule type="cellIs" dxfId="2049" priority="1706" operator="equal">
      <formula>#REF!</formula>
    </cfRule>
    <cfRule type="cellIs" dxfId="2048" priority="1707" operator="equal">
      <formula>#REF!</formula>
    </cfRule>
    <cfRule type="cellIs" dxfId="2047" priority="1708" operator="equal">
      <formula>#REF!</formula>
    </cfRule>
    <cfRule type="cellIs" dxfId="2046" priority="1709" operator="equal">
      <formula>#REF!</formula>
    </cfRule>
    <cfRule type="cellIs" dxfId="2045" priority="1710" operator="equal">
      <formula>#REF!</formula>
    </cfRule>
  </conditionalFormatting>
  <conditionalFormatting sqref="B91">
    <cfRule type="cellIs" dxfId="2044" priority="1646" operator="equal">
      <formula>#REF!</formula>
    </cfRule>
    <cfRule type="cellIs" dxfId="2043" priority="1647" operator="equal">
      <formula>#REF!</formula>
    </cfRule>
    <cfRule type="cellIs" dxfId="2042" priority="1648" operator="equal">
      <formula>#REF!</formula>
    </cfRule>
    <cfRule type="cellIs" dxfId="2041" priority="1649" operator="equal">
      <formula>#REF!</formula>
    </cfRule>
    <cfRule type="cellIs" dxfId="2040" priority="1650" operator="equal">
      <formula>#REF!</formula>
    </cfRule>
    <cfRule type="cellIs" dxfId="2039" priority="1651" operator="equal">
      <formula>#REF!</formula>
    </cfRule>
    <cfRule type="cellIs" dxfId="2038" priority="1652" operator="equal">
      <formula>#REF!</formula>
    </cfRule>
    <cfRule type="cellIs" dxfId="2037" priority="1653" operator="equal">
      <formula>#REF!</formula>
    </cfRule>
    <cfRule type="cellIs" dxfId="2036" priority="1654" operator="equal">
      <formula>#REF!</formula>
    </cfRule>
    <cfRule type="cellIs" dxfId="2035" priority="1655" operator="equal">
      <formula>#REF!</formula>
    </cfRule>
    <cfRule type="cellIs" dxfId="2034" priority="1656" operator="equal">
      <formula>#REF!</formula>
    </cfRule>
    <cfRule type="cellIs" dxfId="2033" priority="1657" operator="equal">
      <formula>#REF!</formula>
    </cfRule>
    <cfRule type="cellIs" dxfId="2032" priority="1658" operator="equal">
      <formula>#REF!</formula>
    </cfRule>
    <cfRule type="cellIs" dxfId="2031" priority="1659" operator="equal">
      <formula>#REF!</formula>
    </cfRule>
    <cfRule type="cellIs" dxfId="2030" priority="1660" operator="equal">
      <formula>#REF!</formula>
    </cfRule>
    <cfRule type="cellIs" dxfId="2029" priority="1661" operator="equal">
      <formula>#REF!</formula>
    </cfRule>
    <cfRule type="cellIs" dxfId="2028" priority="1662" operator="equal">
      <formula>#REF!</formula>
    </cfRule>
    <cfRule type="cellIs" dxfId="2027" priority="1663" operator="equal">
      <formula>#REF!</formula>
    </cfRule>
  </conditionalFormatting>
  <conditionalFormatting sqref="K85">
    <cfRule type="cellIs" dxfId="2026" priority="1735" operator="equal">
      <formula>"Muy Alta"</formula>
    </cfRule>
    <cfRule type="cellIs" dxfId="2025" priority="1736" operator="equal">
      <formula>"Alta"</formula>
    </cfRule>
    <cfRule type="cellIs" dxfId="2024" priority="1737" operator="equal">
      <formula>"Media"</formula>
    </cfRule>
    <cfRule type="cellIs" dxfId="2023" priority="1738" operator="equal">
      <formula>"Baja"</formula>
    </cfRule>
    <cfRule type="cellIs" dxfId="2022" priority="1739" operator="equal">
      <formula>"Muy Baja"</formula>
    </cfRule>
  </conditionalFormatting>
  <conditionalFormatting sqref="O85">
    <cfRule type="cellIs" dxfId="2021" priority="1730" operator="equal">
      <formula>"Catastrófico"</formula>
    </cfRule>
    <cfRule type="cellIs" dxfId="2020" priority="1731" operator="equal">
      <formula>"Mayor"</formula>
    </cfRule>
    <cfRule type="cellIs" dxfId="2019" priority="1732" operator="equal">
      <formula>"Moderado"</formula>
    </cfRule>
    <cfRule type="cellIs" dxfId="2018" priority="1733" operator="equal">
      <formula>"Menor"</formula>
    </cfRule>
    <cfRule type="cellIs" dxfId="2017" priority="1734" operator="equal">
      <formula>"Leve"</formula>
    </cfRule>
  </conditionalFormatting>
  <conditionalFormatting sqref="Q85">
    <cfRule type="cellIs" dxfId="2016" priority="1726" operator="equal">
      <formula>"Extremo"</formula>
    </cfRule>
    <cfRule type="cellIs" dxfId="2015" priority="1727" operator="equal">
      <formula>"Alto"</formula>
    </cfRule>
    <cfRule type="cellIs" dxfId="2014" priority="1728" operator="equal">
      <formula>"Moderado"</formula>
    </cfRule>
    <cfRule type="cellIs" dxfId="2013" priority="1729" operator="equal">
      <formula>"Bajo"</formula>
    </cfRule>
  </conditionalFormatting>
  <conditionalFormatting sqref="AC85:AC90">
    <cfRule type="cellIs" dxfId="2012" priority="1721" operator="equal">
      <formula>"Muy Alta"</formula>
    </cfRule>
    <cfRule type="cellIs" dxfId="2011" priority="1722" operator="equal">
      <formula>"Alta"</formula>
    </cfRule>
    <cfRule type="cellIs" dxfId="2010" priority="1723" operator="equal">
      <formula>"Media"</formula>
    </cfRule>
    <cfRule type="cellIs" dxfId="2009" priority="1724" operator="equal">
      <formula>"Baja"</formula>
    </cfRule>
    <cfRule type="cellIs" dxfId="2008" priority="1725" operator="equal">
      <formula>"Muy Baja"</formula>
    </cfRule>
  </conditionalFormatting>
  <conditionalFormatting sqref="AE85:AE90">
    <cfRule type="cellIs" dxfId="2007" priority="1716" operator="equal">
      <formula>"Catastrófico"</formula>
    </cfRule>
    <cfRule type="cellIs" dxfId="2006" priority="1717" operator="equal">
      <formula>"Mayor"</formula>
    </cfRule>
    <cfRule type="cellIs" dxfId="2005" priority="1718" operator="equal">
      <formula>"Moderado"</formula>
    </cfRule>
    <cfRule type="cellIs" dxfId="2004" priority="1719" operator="equal">
      <formula>"Menor"</formula>
    </cfRule>
    <cfRule type="cellIs" dxfId="2003" priority="1720" operator="equal">
      <formula>"Leve"</formula>
    </cfRule>
  </conditionalFormatting>
  <conditionalFormatting sqref="AG85:AG90">
    <cfRule type="cellIs" dxfId="2002" priority="1712" operator="equal">
      <formula>"Extremo"</formula>
    </cfRule>
    <cfRule type="cellIs" dxfId="2001" priority="1713" operator="equal">
      <formula>"Alto"</formula>
    </cfRule>
    <cfRule type="cellIs" dxfId="2000" priority="1714" operator="equal">
      <formula>"Moderado"</formula>
    </cfRule>
    <cfRule type="cellIs" dxfId="1999" priority="1715" operator="equal">
      <formula>"Bajo"</formula>
    </cfRule>
  </conditionalFormatting>
  <conditionalFormatting sqref="N85:N90">
    <cfRule type="containsText" dxfId="1998" priority="1711" operator="containsText" text="❌">
      <formula>NOT(ISERROR(SEARCH("❌",N85)))</formula>
    </cfRule>
  </conditionalFormatting>
  <conditionalFormatting sqref="K91">
    <cfRule type="cellIs" dxfId="1997" priority="1688" operator="equal">
      <formula>"Muy Alta"</formula>
    </cfRule>
    <cfRule type="cellIs" dxfId="1996" priority="1689" operator="equal">
      <formula>"Alta"</formula>
    </cfRule>
    <cfRule type="cellIs" dxfId="1995" priority="1690" operator="equal">
      <formula>"Media"</formula>
    </cfRule>
    <cfRule type="cellIs" dxfId="1994" priority="1691" operator="equal">
      <formula>"Baja"</formula>
    </cfRule>
    <cfRule type="cellIs" dxfId="1993" priority="1692" operator="equal">
      <formula>"Muy Baja"</formula>
    </cfRule>
  </conditionalFormatting>
  <conditionalFormatting sqref="O91">
    <cfRule type="cellIs" dxfId="1992" priority="1683" operator="equal">
      <formula>"Catastrófico"</formula>
    </cfRule>
    <cfRule type="cellIs" dxfId="1991" priority="1684" operator="equal">
      <formula>"Mayor"</formula>
    </cfRule>
    <cfRule type="cellIs" dxfId="1990" priority="1685" operator="equal">
      <formula>"Moderado"</formula>
    </cfRule>
    <cfRule type="cellIs" dxfId="1989" priority="1686" operator="equal">
      <formula>"Menor"</formula>
    </cfRule>
    <cfRule type="cellIs" dxfId="1988" priority="1687" operator="equal">
      <formula>"Leve"</formula>
    </cfRule>
  </conditionalFormatting>
  <conditionalFormatting sqref="Q91">
    <cfRule type="cellIs" dxfId="1987" priority="1679" operator="equal">
      <formula>"Extremo"</formula>
    </cfRule>
    <cfRule type="cellIs" dxfId="1986" priority="1680" operator="equal">
      <formula>"Alto"</formula>
    </cfRule>
    <cfRule type="cellIs" dxfId="1985" priority="1681" operator="equal">
      <formula>"Moderado"</formula>
    </cfRule>
    <cfRule type="cellIs" dxfId="1984" priority="1682" operator="equal">
      <formula>"Bajo"</formula>
    </cfRule>
  </conditionalFormatting>
  <conditionalFormatting sqref="AC91:AC96">
    <cfRule type="cellIs" dxfId="1983" priority="1674" operator="equal">
      <formula>"Muy Alta"</formula>
    </cfRule>
    <cfRule type="cellIs" dxfId="1982" priority="1675" operator="equal">
      <formula>"Alta"</formula>
    </cfRule>
    <cfRule type="cellIs" dxfId="1981" priority="1676" operator="equal">
      <formula>"Media"</formula>
    </cfRule>
    <cfRule type="cellIs" dxfId="1980" priority="1677" operator="equal">
      <formula>"Baja"</formula>
    </cfRule>
    <cfRule type="cellIs" dxfId="1979" priority="1678" operator="equal">
      <formula>"Muy Baja"</formula>
    </cfRule>
  </conditionalFormatting>
  <conditionalFormatting sqref="AE91:AE96">
    <cfRule type="cellIs" dxfId="1978" priority="1669" operator="equal">
      <formula>"Catastrófico"</formula>
    </cfRule>
    <cfRule type="cellIs" dxfId="1977" priority="1670" operator="equal">
      <formula>"Mayor"</formula>
    </cfRule>
    <cfRule type="cellIs" dxfId="1976" priority="1671" operator="equal">
      <formula>"Moderado"</formula>
    </cfRule>
    <cfRule type="cellIs" dxfId="1975" priority="1672" operator="equal">
      <formula>"Menor"</formula>
    </cfRule>
    <cfRule type="cellIs" dxfId="1974" priority="1673" operator="equal">
      <formula>"Leve"</formula>
    </cfRule>
  </conditionalFormatting>
  <conditionalFormatting sqref="AG91:AG96">
    <cfRule type="cellIs" dxfId="1973" priority="1665" operator="equal">
      <formula>"Extremo"</formula>
    </cfRule>
    <cfRule type="cellIs" dxfId="1972" priority="1666" operator="equal">
      <formula>"Alto"</formula>
    </cfRule>
    <cfRule type="cellIs" dxfId="1971" priority="1667" operator="equal">
      <formula>"Moderado"</formula>
    </cfRule>
    <cfRule type="cellIs" dxfId="1970" priority="1668" operator="equal">
      <formula>"Bajo"</formula>
    </cfRule>
  </conditionalFormatting>
  <conditionalFormatting sqref="N91:N96">
    <cfRule type="containsText" dxfId="1969" priority="1664" operator="containsText" text="❌">
      <formula>NOT(ISERROR(SEARCH("❌",N91)))</formula>
    </cfRule>
  </conditionalFormatting>
  <conditionalFormatting sqref="B109">
    <cfRule type="cellIs" dxfId="1968" priority="1552" operator="equal">
      <formula>#REF!</formula>
    </cfRule>
    <cfRule type="cellIs" dxfId="1967" priority="1553" operator="equal">
      <formula>#REF!</formula>
    </cfRule>
    <cfRule type="cellIs" dxfId="1966" priority="1554" operator="equal">
      <formula>#REF!</formula>
    </cfRule>
    <cfRule type="cellIs" dxfId="1965" priority="1555" operator="equal">
      <formula>#REF!</formula>
    </cfRule>
    <cfRule type="cellIs" dxfId="1964" priority="1556" operator="equal">
      <formula>#REF!</formula>
    </cfRule>
    <cfRule type="cellIs" dxfId="1963" priority="1557" operator="equal">
      <formula>#REF!</formula>
    </cfRule>
    <cfRule type="cellIs" dxfId="1962" priority="1558" operator="equal">
      <formula>#REF!</formula>
    </cfRule>
    <cfRule type="cellIs" dxfId="1961" priority="1559" operator="equal">
      <formula>#REF!</formula>
    </cfRule>
    <cfRule type="cellIs" dxfId="1960" priority="1560" operator="equal">
      <formula>#REF!</formula>
    </cfRule>
    <cfRule type="cellIs" dxfId="1959" priority="1561" operator="equal">
      <formula>#REF!</formula>
    </cfRule>
    <cfRule type="cellIs" dxfId="1958" priority="1562" operator="equal">
      <formula>#REF!</formula>
    </cfRule>
    <cfRule type="cellIs" dxfId="1957" priority="1563" operator="equal">
      <formula>#REF!</formula>
    </cfRule>
    <cfRule type="cellIs" dxfId="1956" priority="1564" operator="equal">
      <formula>#REF!</formula>
    </cfRule>
    <cfRule type="cellIs" dxfId="1955" priority="1565" operator="equal">
      <formula>#REF!</formula>
    </cfRule>
    <cfRule type="cellIs" dxfId="1954" priority="1566" operator="equal">
      <formula>#REF!</formula>
    </cfRule>
    <cfRule type="cellIs" dxfId="1953" priority="1567" operator="equal">
      <formula>#REF!</formula>
    </cfRule>
    <cfRule type="cellIs" dxfId="1952" priority="1568" operator="equal">
      <formula>#REF!</formula>
    </cfRule>
    <cfRule type="cellIs" dxfId="1951" priority="1569" operator="equal">
      <formula>#REF!</formula>
    </cfRule>
  </conditionalFormatting>
  <conditionalFormatting sqref="B103">
    <cfRule type="cellIs" dxfId="1950" priority="1505" operator="equal">
      <formula>#REF!</formula>
    </cfRule>
    <cfRule type="cellIs" dxfId="1949" priority="1506" operator="equal">
      <formula>#REF!</formula>
    </cfRule>
    <cfRule type="cellIs" dxfId="1948" priority="1507" operator="equal">
      <formula>#REF!</formula>
    </cfRule>
    <cfRule type="cellIs" dxfId="1947" priority="1508" operator="equal">
      <formula>#REF!</formula>
    </cfRule>
    <cfRule type="cellIs" dxfId="1946" priority="1509" operator="equal">
      <formula>#REF!</formula>
    </cfRule>
    <cfRule type="cellIs" dxfId="1945" priority="1510" operator="equal">
      <formula>#REF!</formula>
    </cfRule>
    <cfRule type="cellIs" dxfId="1944" priority="1511" operator="equal">
      <formula>#REF!</formula>
    </cfRule>
    <cfRule type="cellIs" dxfId="1943" priority="1512" operator="equal">
      <formula>#REF!</formula>
    </cfRule>
    <cfRule type="cellIs" dxfId="1942" priority="1513" operator="equal">
      <formula>#REF!</formula>
    </cfRule>
    <cfRule type="cellIs" dxfId="1941" priority="1514" operator="equal">
      <formula>#REF!</formula>
    </cfRule>
    <cfRule type="cellIs" dxfId="1940" priority="1515" operator="equal">
      <formula>#REF!</formula>
    </cfRule>
    <cfRule type="cellIs" dxfId="1939" priority="1516" operator="equal">
      <formula>#REF!</formula>
    </cfRule>
    <cfRule type="cellIs" dxfId="1938" priority="1517" operator="equal">
      <formula>#REF!</formula>
    </cfRule>
    <cfRule type="cellIs" dxfId="1937" priority="1518" operator="equal">
      <formula>#REF!</formula>
    </cfRule>
    <cfRule type="cellIs" dxfId="1936" priority="1519" operator="equal">
      <formula>#REF!</formula>
    </cfRule>
    <cfRule type="cellIs" dxfId="1935" priority="1520" operator="equal">
      <formula>#REF!</formula>
    </cfRule>
    <cfRule type="cellIs" dxfId="1934" priority="1521" operator="equal">
      <formula>#REF!</formula>
    </cfRule>
    <cfRule type="cellIs" dxfId="1933" priority="1522" operator="equal">
      <formula>#REF!</formula>
    </cfRule>
  </conditionalFormatting>
  <conditionalFormatting sqref="K109">
    <cfRule type="cellIs" dxfId="1932" priority="1594" operator="equal">
      <formula>"Muy Alta"</formula>
    </cfRule>
    <cfRule type="cellIs" dxfId="1931" priority="1595" operator="equal">
      <formula>"Alta"</formula>
    </cfRule>
    <cfRule type="cellIs" dxfId="1930" priority="1596" operator="equal">
      <formula>"Media"</formula>
    </cfRule>
    <cfRule type="cellIs" dxfId="1929" priority="1597" operator="equal">
      <formula>"Baja"</formula>
    </cfRule>
    <cfRule type="cellIs" dxfId="1928" priority="1598" operator="equal">
      <formula>"Muy Baja"</formula>
    </cfRule>
  </conditionalFormatting>
  <conditionalFormatting sqref="O109">
    <cfRule type="cellIs" dxfId="1927" priority="1589" operator="equal">
      <formula>"Catastrófico"</formula>
    </cfRule>
    <cfRule type="cellIs" dxfId="1926" priority="1590" operator="equal">
      <formula>"Mayor"</formula>
    </cfRule>
    <cfRule type="cellIs" dxfId="1925" priority="1591" operator="equal">
      <formula>"Moderado"</formula>
    </cfRule>
    <cfRule type="cellIs" dxfId="1924" priority="1592" operator="equal">
      <formula>"Menor"</formula>
    </cfRule>
    <cfRule type="cellIs" dxfId="1923" priority="1593" operator="equal">
      <formula>"Leve"</formula>
    </cfRule>
  </conditionalFormatting>
  <conditionalFormatting sqref="Q109">
    <cfRule type="cellIs" dxfId="1922" priority="1585" operator="equal">
      <formula>"Extremo"</formula>
    </cfRule>
    <cfRule type="cellIs" dxfId="1921" priority="1586" operator="equal">
      <formula>"Alto"</formula>
    </cfRule>
    <cfRule type="cellIs" dxfId="1920" priority="1587" operator="equal">
      <formula>"Moderado"</formula>
    </cfRule>
    <cfRule type="cellIs" dxfId="1919" priority="1588" operator="equal">
      <formula>"Bajo"</formula>
    </cfRule>
  </conditionalFormatting>
  <conditionalFormatting sqref="AC109:AC114">
    <cfRule type="cellIs" dxfId="1918" priority="1580" operator="equal">
      <formula>"Muy Alta"</formula>
    </cfRule>
    <cfRule type="cellIs" dxfId="1917" priority="1581" operator="equal">
      <formula>"Alta"</formula>
    </cfRule>
    <cfRule type="cellIs" dxfId="1916" priority="1582" operator="equal">
      <formula>"Media"</formula>
    </cfRule>
    <cfRule type="cellIs" dxfId="1915" priority="1583" operator="equal">
      <formula>"Baja"</formula>
    </cfRule>
    <cfRule type="cellIs" dxfId="1914" priority="1584" operator="equal">
      <formula>"Muy Baja"</formula>
    </cfRule>
  </conditionalFormatting>
  <conditionalFormatting sqref="AE109:AE114">
    <cfRule type="cellIs" dxfId="1913" priority="1575" operator="equal">
      <formula>"Catastrófico"</formula>
    </cfRule>
    <cfRule type="cellIs" dxfId="1912" priority="1576" operator="equal">
      <formula>"Mayor"</formula>
    </cfRule>
    <cfRule type="cellIs" dxfId="1911" priority="1577" operator="equal">
      <formula>"Moderado"</formula>
    </cfRule>
    <cfRule type="cellIs" dxfId="1910" priority="1578" operator="equal">
      <formula>"Menor"</formula>
    </cfRule>
    <cfRule type="cellIs" dxfId="1909" priority="1579" operator="equal">
      <formula>"Leve"</formula>
    </cfRule>
  </conditionalFormatting>
  <conditionalFormatting sqref="AG109:AG114">
    <cfRule type="cellIs" dxfId="1908" priority="1571" operator="equal">
      <formula>"Extremo"</formula>
    </cfRule>
    <cfRule type="cellIs" dxfId="1907" priority="1572" operator="equal">
      <formula>"Alto"</formula>
    </cfRule>
    <cfRule type="cellIs" dxfId="1906" priority="1573" operator="equal">
      <formula>"Moderado"</formula>
    </cfRule>
    <cfRule type="cellIs" dxfId="1905" priority="1574" operator="equal">
      <formula>"Bajo"</formula>
    </cfRule>
  </conditionalFormatting>
  <conditionalFormatting sqref="N109:N114">
    <cfRule type="containsText" dxfId="1904" priority="1570" operator="containsText" text="❌">
      <formula>NOT(ISERROR(SEARCH("❌",N109)))</formula>
    </cfRule>
  </conditionalFormatting>
  <conditionalFormatting sqref="B97">
    <cfRule type="cellIs" dxfId="1903" priority="1458" operator="equal">
      <formula>#REF!</formula>
    </cfRule>
    <cfRule type="cellIs" dxfId="1902" priority="1459" operator="equal">
      <formula>#REF!</formula>
    </cfRule>
    <cfRule type="cellIs" dxfId="1901" priority="1460" operator="equal">
      <formula>#REF!</formula>
    </cfRule>
    <cfRule type="cellIs" dxfId="1900" priority="1461" operator="equal">
      <formula>#REF!</formula>
    </cfRule>
    <cfRule type="cellIs" dxfId="1899" priority="1462" operator="equal">
      <formula>#REF!</formula>
    </cfRule>
    <cfRule type="cellIs" dxfId="1898" priority="1463" operator="equal">
      <formula>#REF!</formula>
    </cfRule>
    <cfRule type="cellIs" dxfId="1897" priority="1464" operator="equal">
      <formula>#REF!</formula>
    </cfRule>
    <cfRule type="cellIs" dxfId="1896" priority="1465" operator="equal">
      <formula>#REF!</formula>
    </cfRule>
    <cfRule type="cellIs" dxfId="1895" priority="1466" operator="equal">
      <formula>#REF!</formula>
    </cfRule>
    <cfRule type="cellIs" dxfId="1894" priority="1467" operator="equal">
      <formula>#REF!</formula>
    </cfRule>
    <cfRule type="cellIs" dxfId="1893" priority="1468" operator="equal">
      <formula>#REF!</formula>
    </cfRule>
    <cfRule type="cellIs" dxfId="1892" priority="1469" operator="equal">
      <formula>#REF!</formula>
    </cfRule>
    <cfRule type="cellIs" dxfId="1891" priority="1470" operator="equal">
      <formula>#REF!</formula>
    </cfRule>
    <cfRule type="cellIs" dxfId="1890" priority="1471" operator="equal">
      <formula>#REF!</formula>
    </cfRule>
    <cfRule type="cellIs" dxfId="1889" priority="1472" operator="equal">
      <formula>#REF!</formula>
    </cfRule>
    <cfRule type="cellIs" dxfId="1888" priority="1473" operator="equal">
      <formula>#REF!</formula>
    </cfRule>
    <cfRule type="cellIs" dxfId="1887" priority="1474" operator="equal">
      <formula>#REF!</formula>
    </cfRule>
    <cfRule type="cellIs" dxfId="1886" priority="1475" operator="equal">
      <formula>#REF!</formula>
    </cfRule>
  </conditionalFormatting>
  <conditionalFormatting sqref="K103">
    <cfRule type="cellIs" dxfId="1885" priority="1547" operator="equal">
      <formula>"Muy Alta"</formula>
    </cfRule>
    <cfRule type="cellIs" dxfId="1884" priority="1548" operator="equal">
      <formula>"Alta"</formula>
    </cfRule>
    <cfRule type="cellIs" dxfId="1883" priority="1549" operator="equal">
      <formula>"Media"</formula>
    </cfRule>
    <cfRule type="cellIs" dxfId="1882" priority="1550" operator="equal">
      <formula>"Baja"</formula>
    </cfRule>
    <cfRule type="cellIs" dxfId="1881" priority="1551" operator="equal">
      <formula>"Muy Baja"</formula>
    </cfRule>
  </conditionalFormatting>
  <conditionalFormatting sqref="O103">
    <cfRule type="cellIs" dxfId="1880" priority="1542" operator="equal">
      <formula>"Catastrófico"</formula>
    </cfRule>
    <cfRule type="cellIs" dxfId="1879" priority="1543" operator="equal">
      <formula>"Mayor"</formula>
    </cfRule>
    <cfRule type="cellIs" dxfId="1878" priority="1544" operator="equal">
      <formula>"Moderado"</formula>
    </cfRule>
    <cfRule type="cellIs" dxfId="1877" priority="1545" operator="equal">
      <formula>"Menor"</formula>
    </cfRule>
    <cfRule type="cellIs" dxfId="1876" priority="1546" operator="equal">
      <formula>"Leve"</formula>
    </cfRule>
  </conditionalFormatting>
  <conditionalFormatting sqref="Q103">
    <cfRule type="cellIs" dxfId="1875" priority="1538" operator="equal">
      <formula>"Extremo"</formula>
    </cfRule>
    <cfRule type="cellIs" dxfId="1874" priority="1539" operator="equal">
      <formula>"Alto"</formula>
    </cfRule>
    <cfRule type="cellIs" dxfId="1873" priority="1540" operator="equal">
      <formula>"Moderado"</formula>
    </cfRule>
    <cfRule type="cellIs" dxfId="1872" priority="1541" operator="equal">
      <formula>"Bajo"</formula>
    </cfRule>
  </conditionalFormatting>
  <conditionalFormatting sqref="AC103:AC108">
    <cfRule type="cellIs" dxfId="1871" priority="1533" operator="equal">
      <formula>"Muy Alta"</formula>
    </cfRule>
    <cfRule type="cellIs" dxfId="1870" priority="1534" operator="equal">
      <formula>"Alta"</formula>
    </cfRule>
    <cfRule type="cellIs" dxfId="1869" priority="1535" operator="equal">
      <formula>"Media"</formula>
    </cfRule>
    <cfRule type="cellIs" dxfId="1868" priority="1536" operator="equal">
      <formula>"Baja"</formula>
    </cfRule>
    <cfRule type="cellIs" dxfId="1867" priority="1537" operator="equal">
      <formula>"Muy Baja"</formula>
    </cfRule>
  </conditionalFormatting>
  <conditionalFormatting sqref="AE103:AE108">
    <cfRule type="cellIs" dxfId="1866" priority="1528" operator="equal">
      <formula>"Catastrófico"</formula>
    </cfRule>
    <cfRule type="cellIs" dxfId="1865" priority="1529" operator="equal">
      <formula>"Mayor"</formula>
    </cfRule>
    <cfRule type="cellIs" dxfId="1864" priority="1530" operator="equal">
      <formula>"Moderado"</formula>
    </cfRule>
    <cfRule type="cellIs" dxfId="1863" priority="1531" operator="equal">
      <formula>"Menor"</formula>
    </cfRule>
    <cfRule type="cellIs" dxfId="1862" priority="1532" operator="equal">
      <formula>"Leve"</formula>
    </cfRule>
  </conditionalFormatting>
  <conditionalFormatting sqref="AG103:AG108">
    <cfRule type="cellIs" dxfId="1861" priority="1524" operator="equal">
      <formula>"Extremo"</formula>
    </cfRule>
    <cfRule type="cellIs" dxfId="1860" priority="1525" operator="equal">
      <formula>"Alto"</formula>
    </cfRule>
    <cfRule type="cellIs" dxfId="1859" priority="1526" operator="equal">
      <formula>"Moderado"</formula>
    </cfRule>
    <cfRule type="cellIs" dxfId="1858" priority="1527" operator="equal">
      <formula>"Bajo"</formula>
    </cfRule>
  </conditionalFormatting>
  <conditionalFormatting sqref="N103:N108">
    <cfRule type="containsText" dxfId="1857" priority="1523" operator="containsText" text="❌">
      <formula>NOT(ISERROR(SEARCH("❌",N103)))</formula>
    </cfRule>
  </conditionalFormatting>
  <conditionalFormatting sqref="K97">
    <cfRule type="cellIs" dxfId="1856" priority="1500" operator="equal">
      <formula>"Muy Alta"</formula>
    </cfRule>
    <cfRule type="cellIs" dxfId="1855" priority="1501" operator="equal">
      <formula>"Alta"</formula>
    </cfRule>
    <cfRule type="cellIs" dxfId="1854" priority="1502" operator="equal">
      <formula>"Media"</formula>
    </cfRule>
    <cfRule type="cellIs" dxfId="1853" priority="1503" operator="equal">
      <formula>"Baja"</formula>
    </cfRule>
    <cfRule type="cellIs" dxfId="1852" priority="1504" operator="equal">
      <formula>"Muy Baja"</formula>
    </cfRule>
  </conditionalFormatting>
  <conditionalFormatting sqref="O97">
    <cfRule type="cellIs" dxfId="1851" priority="1495" operator="equal">
      <formula>"Catastrófico"</formula>
    </cfRule>
    <cfRule type="cellIs" dxfId="1850" priority="1496" operator="equal">
      <formula>"Mayor"</formula>
    </cfRule>
    <cfRule type="cellIs" dxfId="1849" priority="1497" operator="equal">
      <formula>"Moderado"</formula>
    </cfRule>
    <cfRule type="cellIs" dxfId="1848" priority="1498" operator="equal">
      <formula>"Menor"</formula>
    </cfRule>
    <cfRule type="cellIs" dxfId="1847" priority="1499" operator="equal">
      <formula>"Leve"</formula>
    </cfRule>
  </conditionalFormatting>
  <conditionalFormatting sqref="Q97">
    <cfRule type="cellIs" dxfId="1846" priority="1491" operator="equal">
      <formula>"Extremo"</formula>
    </cfRule>
    <cfRule type="cellIs" dxfId="1845" priority="1492" operator="equal">
      <formula>"Alto"</formula>
    </cfRule>
    <cfRule type="cellIs" dxfId="1844" priority="1493" operator="equal">
      <formula>"Moderado"</formula>
    </cfRule>
    <cfRule type="cellIs" dxfId="1843" priority="1494" operator="equal">
      <formula>"Bajo"</formula>
    </cfRule>
  </conditionalFormatting>
  <conditionalFormatting sqref="AC97:AC102">
    <cfRule type="cellIs" dxfId="1842" priority="1486" operator="equal">
      <formula>"Muy Alta"</formula>
    </cfRule>
    <cfRule type="cellIs" dxfId="1841" priority="1487" operator="equal">
      <formula>"Alta"</formula>
    </cfRule>
    <cfRule type="cellIs" dxfId="1840" priority="1488" operator="equal">
      <formula>"Media"</formula>
    </cfRule>
    <cfRule type="cellIs" dxfId="1839" priority="1489" operator="equal">
      <formula>"Baja"</formula>
    </cfRule>
    <cfRule type="cellIs" dxfId="1838" priority="1490" operator="equal">
      <formula>"Muy Baja"</formula>
    </cfRule>
  </conditionalFormatting>
  <conditionalFormatting sqref="AE97:AE102">
    <cfRule type="cellIs" dxfId="1837" priority="1481" operator="equal">
      <formula>"Catastrófico"</formula>
    </cfRule>
    <cfRule type="cellIs" dxfId="1836" priority="1482" operator="equal">
      <formula>"Mayor"</formula>
    </cfRule>
    <cfRule type="cellIs" dxfId="1835" priority="1483" operator="equal">
      <formula>"Moderado"</formula>
    </cfRule>
    <cfRule type="cellIs" dxfId="1834" priority="1484" operator="equal">
      <formula>"Menor"</formula>
    </cfRule>
    <cfRule type="cellIs" dxfId="1833" priority="1485" operator="equal">
      <formula>"Leve"</formula>
    </cfRule>
  </conditionalFormatting>
  <conditionalFormatting sqref="AG97:AG102">
    <cfRule type="cellIs" dxfId="1832" priority="1477" operator="equal">
      <formula>"Extremo"</formula>
    </cfRule>
    <cfRule type="cellIs" dxfId="1831" priority="1478" operator="equal">
      <formula>"Alto"</formula>
    </cfRule>
    <cfRule type="cellIs" dxfId="1830" priority="1479" operator="equal">
      <formula>"Moderado"</formula>
    </cfRule>
    <cfRule type="cellIs" dxfId="1829" priority="1480" operator="equal">
      <formula>"Bajo"</formula>
    </cfRule>
  </conditionalFormatting>
  <conditionalFormatting sqref="N97:N102">
    <cfRule type="containsText" dxfId="1828" priority="1476" operator="containsText" text="❌">
      <formula>NOT(ISERROR(SEARCH("❌",N97)))</formula>
    </cfRule>
  </conditionalFormatting>
  <conditionalFormatting sqref="B115 B121">
    <cfRule type="cellIs" dxfId="1827" priority="1411" operator="equal">
      <formula>#REF!</formula>
    </cfRule>
    <cfRule type="cellIs" dxfId="1826" priority="1412" operator="equal">
      <formula>#REF!</formula>
    </cfRule>
    <cfRule type="cellIs" dxfId="1825" priority="1413" operator="equal">
      <formula>#REF!</formula>
    </cfRule>
    <cfRule type="cellIs" dxfId="1824" priority="1414" operator="equal">
      <formula>#REF!</formula>
    </cfRule>
    <cfRule type="cellIs" dxfId="1823" priority="1415" operator="equal">
      <formula>#REF!</formula>
    </cfRule>
    <cfRule type="cellIs" dxfId="1822" priority="1416" operator="equal">
      <formula>#REF!</formula>
    </cfRule>
    <cfRule type="cellIs" dxfId="1821" priority="1417" operator="equal">
      <formula>#REF!</formula>
    </cfRule>
    <cfRule type="cellIs" dxfId="1820" priority="1418" operator="equal">
      <formula>#REF!</formula>
    </cfRule>
    <cfRule type="cellIs" dxfId="1819" priority="1419" operator="equal">
      <formula>#REF!</formula>
    </cfRule>
    <cfRule type="cellIs" dxfId="1818" priority="1420" operator="equal">
      <formula>#REF!</formula>
    </cfRule>
    <cfRule type="cellIs" dxfId="1817" priority="1421" operator="equal">
      <formula>#REF!</formula>
    </cfRule>
    <cfRule type="cellIs" dxfId="1816" priority="1422" operator="equal">
      <formula>#REF!</formula>
    </cfRule>
    <cfRule type="cellIs" dxfId="1815" priority="1423" operator="equal">
      <formula>#REF!</formula>
    </cfRule>
    <cfRule type="cellIs" dxfId="1814" priority="1424" operator="equal">
      <formula>#REF!</formula>
    </cfRule>
    <cfRule type="cellIs" dxfId="1813" priority="1425" operator="equal">
      <formula>#REF!</formula>
    </cfRule>
    <cfRule type="cellIs" dxfId="1812" priority="1426" operator="equal">
      <formula>#REF!</formula>
    </cfRule>
    <cfRule type="cellIs" dxfId="1811" priority="1427" operator="equal">
      <formula>#REF!</formula>
    </cfRule>
    <cfRule type="cellIs" dxfId="1810" priority="1428" operator="equal">
      <formula>#REF!</formula>
    </cfRule>
  </conditionalFormatting>
  <conditionalFormatting sqref="K115">
    <cfRule type="cellIs" dxfId="1809" priority="1453" operator="equal">
      <formula>"Muy Alta"</formula>
    </cfRule>
    <cfRule type="cellIs" dxfId="1808" priority="1454" operator="equal">
      <formula>"Alta"</formula>
    </cfRule>
    <cfRule type="cellIs" dxfId="1807" priority="1455" operator="equal">
      <formula>"Media"</formula>
    </cfRule>
    <cfRule type="cellIs" dxfId="1806" priority="1456" operator="equal">
      <formula>"Baja"</formula>
    </cfRule>
    <cfRule type="cellIs" dxfId="1805" priority="1457" operator="equal">
      <formula>"Muy Baja"</formula>
    </cfRule>
  </conditionalFormatting>
  <conditionalFormatting sqref="O115">
    <cfRule type="cellIs" dxfId="1804" priority="1448" operator="equal">
      <formula>"Catastrófico"</formula>
    </cfRule>
    <cfRule type="cellIs" dxfId="1803" priority="1449" operator="equal">
      <formula>"Mayor"</formula>
    </cfRule>
    <cfRule type="cellIs" dxfId="1802" priority="1450" operator="equal">
      <formula>"Moderado"</formula>
    </cfRule>
    <cfRule type="cellIs" dxfId="1801" priority="1451" operator="equal">
      <formula>"Menor"</formula>
    </cfRule>
    <cfRule type="cellIs" dxfId="1800" priority="1452" operator="equal">
      <formula>"Leve"</formula>
    </cfRule>
  </conditionalFormatting>
  <conditionalFormatting sqref="Q115">
    <cfRule type="cellIs" dxfId="1799" priority="1444" operator="equal">
      <formula>"Extremo"</formula>
    </cfRule>
    <cfRule type="cellIs" dxfId="1798" priority="1445" operator="equal">
      <formula>"Alto"</formula>
    </cfRule>
    <cfRule type="cellIs" dxfId="1797" priority="1446" operator="equal">
      <formula>"Moderado"</formula>
    </cfRule>
    <cfRule type="cellIs" dxfId="1796" priority="1447" operator="equal">
      <formula>"Bajo"</formula>
    </cfRule>
  </conditionalFormatting>
  <conditionalFormatting sqref="AC115:AC120">
    <cfRule type="cellIs" dxfId="1795" priority="1439" operator="equal">
      <formula>"Muy Alta"</formula>
    </cfRule>
    <cfRule type="cellIs" dxfId="1794" priority="1440" operator="equal">
      <formula>"Alta"</formula>
    </cfRule>
    <cfRule type="cellIs" dxfId="1793" priority="1441" operator="equal">
      <formula>"Media"</formula>
    </cfRule>
    <cfRule type="cellIs" dxfId="1792" priority="1442" operator="equal">
      <formula>"Baja"</formula>
    </cfRule>
    <cfRule type="cellIs" dxfId="1791" priority="1443" operator="equal">
      <formula>"Muy Baja"</formula>
    </cfRule>
  </conditionalFormatting>
  <conditionalFormatting sqref="AE115:AE120">
    <cfRule type="cellIs" dxfId="1790" priority="1434" operator="equal">
      <formula>"Catastrófico"</formula>
    </cfRule>
    <cfRule type="cellIs" dxfId="1789" priority="1435" operator="equal">
      <formula>"Mayor"</formula>
    </cfRule>
    <cfRule type="cellIs" dxfId="1788" priority="1436" operator="equal">
      <formula>"Moderado"</formula>
    </cfRule>
    <cfRule type="cellIs" dxfId="1787" priority="1437" operator="equal">
      <formula>"Menor"</formula>
    </cfRule>
    <cfRule type="cellIs" dxfId="1786" priority="1438" operator="equal">
      <formula>"Leve"</formula>
    </cfRule>
  </conditionalFormatting>
  <conditionalFormatting sqref="AG115:AG120">
    <cfRule type="cellIs" dxfId="1785" priority="1430" operator="equal">
      <formula>"Extremo"</formula>
    </cfRule>
    <cfRule type="cellIs" dxfId="1784" priority="1431" operator="equal">
      <formula>"Alto"</formula>
    </cfRule>
    <cfRule type="cellIs" dxfId="1783" priority="1432" operator="equal">
      <formula>"Moderado"</formula>
    </cfRule>
    <cfRule type="cellIs" dxfId="1782" priority="1433" operator="equal">
      <formula>"Bajo"</formula>
    </cfRule>
  </conditionalFormatting>
  <conditionalFormatting sqref="N115:N120">
    <cfRule type="containsText" dxfId="1781" priority="1429" operator="containsText" text="❌">
      <formula>NOT(ISERROR(SEARCH("❌",N115)))</formula>
    </cfRule>
  </conditionalFormatting>
  <conditionalFormatting sqref="K121">
    <cfRule type="cellIs" dxfId="1780" priority="1406" operator="equal">
      <formula>"Muy Alta"</formula>
    </cfRule>
    <cfRule type="cellIs" dxfId="1779" priority="1407" operator="equal">
      <formula>"Alta"</formula>
    </cfRule>
    <cfRule type="cellIs" dxfId="1778" priority="1408" operator="equal">
      <formula>"Media"</formula>
    </cfRule>
    <cfRule type="cellIs" dxfId="1777" priority="1409" operator="equal">
      <formula>"Baja"</formula>
    </cfRule>
    <cfRule type="cellIs" dxfId="1776" priority="1410" operator="equal">
      <formula>"Muy Baja"</formula>
    </cfRule>
  </conditionalFormatting>
  <conditionalFormatting sqref="O121">
    <cfRule type="cellIs" dxfId="1775" priority="1401" operator="equal">
      <formula>"Catastrófico"</formula>
    </cfRule>
    <cfRule type="cellIs" dxfId="1774" priority="1402" operator="equal">
      <formula>"Mayor"</formula>
    </cfRule>
    <cfRule type="cellIs" dxfId="1773" priority="1403" operator="equal">
      <formula>"Moderado"</formula>
    </cfRule>
    <cfRule type="cellIs" dxfId="1772" priority="1404" operator="equal">
      <formula>"Menor"</formula>
    </cfRule>
    <cfRule type="cellIs" dxfId="1771" priority="1405" operator="equal">
      <formula>"Leve"</formula>
    </cfRule>
  </conditionalFormatting>
  <conditionalFormatting sqref="Q121">
    <cfRule type="cellIs" dxfId="1770" priority="1397" operator="equal">
      <formula>"Extremo"</formula>
    </cfRule>
    <cfRule type="cellIs" dxfId="1769" priority="1398" operator="equal">
      <formula>"Alto"</formula>
    </cfRule>
    <cfRule type="cellIs" dxfId="1768" priority="1399" operator="equal">
      <formula>"Moderado"</formula>
    </cfRule>
    <cfRule type="cellIs" dxfId="1767" priority="1400" operator="equal">
      <formula>"Bajo"</formula>
    </cfRule>
  </conditionalFormatting>
  <conditionalFormatting sqref="AC121:AC126">
    <cfRule type="cellIs" dxfId="1766" priority="1392" operator="equal">
      <formula>"Muy Alta"</formula>
    </cfRule>
    <cfRule type="cellIs" dxfId="1765" priority="1393" operator="equal">
      <formula>"Alta"</formula>
    </cfRule>
    <cfRule type="cellIs" dxfId="1764" priority="1394" operator="equal">
      <formula>"Media"</formula>
    </cfRule>
    <cfRule type="cellIs" dxfId="1763" priority="1395" operator="equal">
      <formula>"Baja"</formula>
    </cfRule>
    <cfRule type="cellIs" dxfId="1762" priority="1396" operator="equal">
      <formula>"Muy Baja"</formula>
    </cfRule>
  </conditionalFormatting>
  <conditionalFormatting sqref="AE121:AE126">
    <cfRule type="cellIs" dxfId="1761" priority="1387" operator="equal">
      <formula>"Catastrófico"</formula>
    </cfRule>
    <cfRule type="cellIs" dxfId="1760" priority="1388" operator="equal">
      <formula>"Mayor"</formula>
    </cfRule>
    <cfRule type="cellIs" dxfId="1759" priority="1389" operator="equal">
      <formula>"Moderado"</formula>
    </cfRule>
    <cfRule type="cellIs" dxfId="1758" priority="1390" operator="equal">
      <formula>"Menor"</formula>
    </cfRule>
    <cfRule type="cellIs" dxfId="1757" priority="1391" operator="equal">
      <formula>"Leve"</formula>
    </cfRule>
  </conditionalFormatting>
  <conditionalFormatting sqref="AG121:AG126">
    <cfRule type="cellIs" dxfId="1756" priority="1383" operator="equal">
      <formula>"Extremo"</formula>
    </cfRule>
    <cfRule type="cellIs" dxfId="1755" priority="1384" operator="equal">
      <formula>"Alto"</formula>
    </cfRule>
    <cfRule type="cellIs" dxfId="1754" priority="1385" operator="equal">
      <formula>"Moderado"</formula>
    </cfRule>
    <cfRule type="cellIs" dxfId="1753" priority="1386" operator="equal">
      <formula>"Bajo"</formula>
    </cfRule>
  </conditionalFormatting>
  <conditionalFormatting sqref="N121:N126">
    <cfRule type="containsText" dxfId="1752" priority="1382" operator="containsText" text="❌">
      <formula>NOT(ISERROR(SEARCH("❌",N121)))</formula>
    </cfRule>
  </conditionalFormatting>
  <conditionalFormatting sqref="B133">
    <cfRule type="cellIs" dxfId="1751" priority="1317" operator="equal">
      <formula>#REF!</formula>
    </cfRule>
    <cfRule type="cellIs" dxfId="1750" priority="1318" operator="equal">
      <formula>#REF!</formula>
    </cfRule>
    <cfRule type="cellIs" dxfId="1749" priority="1319" operator="equal">
      <formula>#REF!</formula>
    </cfRule>
    <cfRule type="cellIs" dxfId="1748" priority="1320" operator="equal">
      <formula>#REF!</formula>
    </cfRule>
    <cfRule type="cellIs" dxfId="1747" priority="1321" operator="equal">
      <formula>#REF!</formula>
    </cfRule>
    <cfRule type="cellIs" dxfId="1746" priority="1322" operator="equal">
      <formula>#REF!</formula>
    </cfRule>
    <cfRule type="cellIs" dxfId="1745" priority="1323" operator="equal">
      <formula>#REF!</formula>
    </cfRule>
    <cfRule type="cellIs" dxfId="1744" priority="1324" operator="equal">
      <formula>#REF!</formula>
    </cfRule>
    <cfRule type="cellIs" dxfId="1743" priority="1325" operator="equal">
      <formula>#REF!</formula>
    </cfRule>
    <cfRule type="cellIs" dxfId="1742" priority="1326" operator="equal">
      <formula>#REF!</formula>
    </cfRule>
    <cfRule type="cellIs" dxfId="1741" priority="1327" operator="equal">
      <formula>#REF!</formula>
    </cfRule>
    <cfRule type="cellIs" dxfId="1740" priority="1328" operator="equal">
      <formula>#REF!</formula>
    </cfRule>
    <cfRule type="cellIs" dxfId="1739" priority="1329" operator="equal">
      <formula>#REF!</formula>
    </cfRule>
    <cfRule type="cellIs" dxfId="1738" priority="1330" operator="equal">
      <formula>#REF!</formula>
    </cfRule>
    <cfRule type="cellIs" dxfId="1737" priority="1331" operator="equal">
      <formula>#REF!</formula>
    </cfRule>
    <cfRule type="cellIs" dxfId="1736" priority="1332" operator="equal">
      <formula>#REF!</formula>
    </cfRule>
    <cfRule type="cellIs" dxfId="1735" priority="1333" operator="equal">
      <formula>#REF!</formula>
    </cfRule>
    <cfRule type="cellIs" dxfId="1734" priority="1334" operator="equal">
      <formula>#REF!</formula>
    </cfRule>
  </conditionalFormatting>
  <conditionalFormatting sqref="K133">
    <cfRule type="cellIs" dxfId="1733" priority="1359" operator="equal">
      <formula>"Muy Alta"</formula>
    </cfRule>
    <cfRule type="cellIs" dxfId="1732" priority="1360" operator="equal">
      <formula>"Alta"</formula>
    </cfRule>
    <cfRule type="cellIs" dxfId="1731" priority="1361" operator="equal">
      <formula>"Media"</formula>
    </cfRule>
    <cfRule type="cellIs" dxfId="1730" priority="1362" operator="equal">
      <formula>"Baja"</formula>
    </cfRule>
    <cfRule type="cellIs" dxfId="1729" priority="1363" operator="equal">
      <formula>"Muy Baja"</formula>
    </cfRule>
  </conditionalFormatting>
  <conditionalFormatting sqref="O133">
    <cfRule type="cellIs" dxfId="1728" priority="1354" operator="equal">
      <formula>"Catastrófico"</formula>
    </cfRule>
    <cfRule type="cellIs" dxfId="1727" priority="1355" operator="equal">
      <formula>"Mayor"</formula>
    </cfRule>
    <cfRule type="cellIs" dxfId="1726" priority="1356" operator="equal">
      <formula>"Moderado"</formula>
    </cfRule>
    <cfRule type="cellIs" dxfId="1725" priority="1357" operator="equal">
      <formula>"Menor"</formula>
    </cfRule>
    <cfRule type="cellIs" dxfId="1724" priority="1358" operator="equal">
      <formula>"Leve"</formula>
    </cfRule>
  </conditionalFormatting>
  <conditionalFormatting sqref="Q133">
    <cfRule type="cellIs" dxfId="1723" priority="1350" operator="equal">
      <formula>"Extremo"</formula>
    </cfRule>
    <cfRule type="cellIs" dxfId="1722" priority="1351" operator="equal">
      <formula>"Alto"</formula>
    </cfRule>
    <cfRule type="cellIs" dxfId="1721" priority="1352" operator="equal">
      <formula>"Moderado"</formula>
    </cfRule>
    <cfRule type="cellIs" dxfId="1720" priority="1353" operator="equal">
      <formula>"Bajo"</formula>
    </cfRule>
  </conditionalFormatting>
  <conditionalFormatting sqref="AC133:AC138">
    <cfRule type="cellIs" dxfId="1719" priority="1345" operator="equal">
      <formula>"Muy Alta"</formula>
    </cfRule>
    <cfRule type="cellIs" dxfId="1718" priority="1346" operator="equal">
      <formula>"Alta"</formula>
    </cfRule>
    <cfRule type="cellIs" dxfId="1717" priority="1347" operator="equal">
      <formula>"Media"</formula>
    </cfRule>
    <cfRule type="cellIs" dxfId="1716" priority="1348" operator="equal">
      <formula>"Baja"</formula>
    </cfRule>
    <cfRule type="cellIs" dxfId="1715" priority="1349" operator="equal">
      <formula>"Muy Baja"</formula>
    </cfRule>
  </conditionalFormatting>
  <conditionalFormatting sqref="AE133:AE138">
    <cfRule type="cellIs" dxfId="1714" priority="1340" operator="equal">
      <formula>"Catastrófico"</formula>
    </cfRule>
    <cfRule type="cellIs" dxfId="1713" priority="1341" operator="equal">
      <formula>"Mayor"</formula>
    </cfRule>
    <cfRule type="cellIs" dxfId="1712" priority="1342" operator="equal">
      <formula>"Moderado"</formula>
    </cfRule>
    <cfRule type="cellIs" dxfId="1711" priority="1343" operator="equal">
      <formula>"Menor"</formula>
    </cfRule>
    <cfRule type="cellIs" dxfId="1710" priority="1344" operator="equal">
      <formula>"Leve"</formula>
    </cfRule>
  </conditionalFormatting>
  <conditionalFormatting sqref="AG133:AG138">
    <cfRule type="cellIs" dxfId="1709" priority="1336" operator="equal">
      <formula>"Extremo"</formula>
    </cfRule>
    <cfRule type="cellIs" dxfId="1708" priority="1337" operator="equal">
      <formula>"Alto"</formula>
    </cfRule>
    <cfRule type="cellIs" dxfId="1707" priority="1338" operator="equal">
      <formula>"Moderado"</formula>
    </cfRule>
    <cfRule type="cellIs" dxfId="1706" priority="1339" operator="equal">
      <formula>"Bajo"</formula>
    </cfRule>
  </conditionalFormatting>
  <conditionalFormatting sqref="N133:N138">
    <cfRule type="containsText" dxfId="1705" priority="1335" operator="containsText" text="❌">
      <formula>NOT(ISERROR(SEARCH("❌",N133)))</formula>
    </cfRule>
  </conditionalFormatting>
  <conditionalFormatting sqref="B127">
    <cfRule type="cellIs" dxfId="1704" priority="1270" operator="equal">
      <formula>#REF!</formula>
    </cfRule>
    <cfRule type="cellIs" dxfId="1703" priority="1271" operator="equal">
      <formula>#REF!</formula>
    </cfRule>
    <cfRule type="cellIs" dxfId="1702" priority="1272" operator="equal">
      <formula>#REF!</formula>
    </cfRule>
    <cfRule type="cellIs" dxfId="1701" priority="1273" operator="equal">
      <formula>#REF!</formula>
    </cfRule>
    <cfRule type="cellIs" dxfId="1700" priority="1274" operator="equal">
      <formula>#REF!</formula>
    </cfRule>
    <cfRule type="cellIs" dxfId="1699" priority="1275" operator="equal">
      <formula>#REF!</formula>
    </cfRule>
    <cfRule type="cellIs" dxfId="1698" priority="1276" operator="equal">
      <formula>#REF!</formula>
    </cfRule>
    <cfRule type="cellIs" dxfId="1697" priority="1277" operator="equal">
      <formula>#REF!</formula>
    </cfRule>
    <cfRule type="cellIs" dxfId="1696" priority="1278" operator="equal">
      <formula>#REF!</formula>
    </cfRule>
    <cfRule type="cellIs" dxfId="1695" priority="1279" operator="equal">
      <formula>#REF!</formula>
    </cfRule>
    <cfRule type="cellIs" dxfId="1694" priority="1280" operator="equal">
      <formula>#REF!</formula>
    </cfRule>
    <cfRule type="cellIs" dxfId="1693" priority="1281" operator="equal">
      <formula>#REF!</formula>
    </cfRule>
    <cfRule type="cellIs" dxfId="1692" priority="1282" operator="equal">
      <formula>#REF!</formula>
    </cfRule>
    <cfRule type="cellIs" dxfId="1691" priority="1283" operator="equal">
      <formula>#REF!</formula>
    </cfRule>
    <cfRule type="cellIs" dxfId="1690" priority="1284" operator="equal">
      <formula>#REF!</formula>
    </cfRule>
    <cfRule type="cellIs" dxfId="1689" priority="1285" operator="equal">
      <formula>#REF!</formula>
    </cfRule>
    <cfRule type="cellIs" dxfId="1688" priority="1286" operator="equal">
      <formula>#REF!</formula>
    </cfRule>
    <cfRule type="cellIs" dxfId="1687" priority="1287" operator="equal">
      <formula>#REF!</formula>
    </cfRule>
  </conditionalFormatting>
  <conditionalFormatting sqref="K127">
    <cfRule type="cellIs" dxfId="1686" priority="1312" operator="equal">
      <formula>"Muy Alta"</formula>
    </cfRule>
    <cfRule type="cellIs" dxfId="1685" priority="1313" operator="equal">
      <formula>"Alta"</formula>
    </cfRule>
    <cfRule type="cellIs" dxfId="1684" priority="1314" operator="equal">
      <formula>"Media"</formula>
    </cfRule>
    <cfRule type="cellIs" dxfId="1683" priority="1315" operator="equal">
      <formula>"Baja"</formula>
    </cfRule>
    <cfRule type="cellIs" dxfId="1682" priority="1316" operator="equal">
      <formula>"Muy Baja"</formula>
    </cfRule>
  </conditionalFormatting>
  <conditionalFormatting sqref="O127">
    <cfRule type="cellIs" dxfId="1681" priority="1307" operator="equal">
      <formula>"Catastrófico"</formula>
    </cfRule>
    <cfRule type="cellIs" dxfId="1680" priority="1308" operator="equal">
      <formula>"Mayor"</formula>
    </cfRule>
    <cfRule type="cellIs" dxfId="1679" priority="1309" operator="equal">
      <formula>"Moderado"</formula>
    </cfRule>
    <cfRule type="cellIs" dxfId="1678" priority="1310" operator="equal">
      <formula>"Menor"</formula>
    </cfRule>
    <cfRule type="cellIs" dxfId="1677" priority="1311" operator="equal">
      <formula>"Leve"</formula>
    </cfRule>
  </conditionalFormatting>
  <conditionalFormatting sqref="Q127">
    <cfRule type="cellIs" dxfId="1676" priority="1303" operator="equal">
      <formula>"Extremo"</formula>
    </cfRule>
    <cfRule type="cellIs" dxfId="1675" priority="1304" operator="equal">
      <formula>"Alto"</formula>
    </cfRule>
    <cfRule type="cellIs" dxfId="1674" priority="1305" operator="equal">
      <formula>"Moderado"</formula>
    </cfRule>
    <cfRule type="cellIs" dxfId="1673" priority="1306" operator="equal">
      <formula>"Bajo"</formula>
    </cfRule>
  </conditionalFormatting>
  <conditionalFormatting sqref="AC127:AC132">
    <cfRule type="cellIs" dxfId="1672" priority="1298" operator="equal">
      <formula>"Muy Alta"</formula>
    </cfRule>
    <cfRule type="cellIs" dxfId="1671" priority="1299" operator="equal">
      <formula>"Alta"</formula>
    </cfRule>
    <cfRule type="cellIs" dxfId="1670" priority="1300" operator="equal">
      <formula>"Media"</formula>
    </cfRule>
    <cfRule type="cellIs" dxfId="1669" priority="1301" operator="equal">
      <formula>"Baja"</formula>
    </cfRule>
    <cfRule type="cellIs" dxfId="1668" priority="1302" operator="equal">
      <formula>"Muy Baja"</formula>
    </cfRule>
  </conditionalFormatting>
  <conditionalFormatting sqref="AE127:AE132">
    <cfRule type="cellIs" dxfId="1667" priority="1293" operator="equal">
      <formula>"Catastrófico"</formula>
    </cfRule>
    <cfRule type="cellIs" dxfId="1666" priority="1294" operator="equal">
      <formula>"Mayor"</formula>
    </cfRule>
    <cfRule type="cellIs" dxfId="1665" priority="1295" operator="equal">
      <formula>"Moderado"</formula>
    </cfRule>
    <cfRule type="cellIs" dxfId="1664" priority="1296" operator="equal">
      <formula>"Menor"</formula>
    </cfRule>
    <cfRule type="cellIs" dxfId="1663" priority="1297" operator="equal">
      <formula>"Leve"</formula>
    </cfRule>
  </conditionalFormatting>
  <conditionalFormatting sqref="AG127:AG132">
    <cfRule type="cellIs" dxfId="1662" priority="1289" operator="equal">
      <formula>"Extremo"</formula>
    </cfRule>
    <cfRule type="cellIs" dxfId="1661" priority="1290" operator="equal">
      <formula>"Alto"</formula>
    </cfRule>
    <cfRule type="cellIs" dxfId="1660" priority="1291" operator="equal">
      <formula>"Moderado"</formula>
    </cfRule>
    <cfRule type="cellIs" dxfId="1659" priority="1292" operator="equal">
      <formula>"Bajo"</formula>
    </cfRule>
  </conditionalFormatting>
  <conditionalFormatting sqref="N127:N132">
    <cfRule type="containsText" dxfId="1658" priority="1288" operator="containsText" text="❌">
      <formula>NOT(ISERROR(SEARCH("❌",N127)))</formula>
    </cfRule>
  </conditionalFormatting>
  <conditionalFormatting sqref="B145">
    <cfRule type="cellIs" dxfId="1657" priority="1223" operator="equal">
      <formula>#REF!</formula>
    </cfRule>
    <cfRule type="cellIs" dxfId="1656" priority="1224" operator="equal">
      <formula>#REF!</formula>
    </cfRule>
    <cfRule type="cellIs" dxfId="1655" priority="1225" operator="equal">
      <formula>#REF!</formula>
    </cfRule>
    <cfRule type="cellIs" dxfId="1654" priority="1226" operator="equal">
      <formula>#REF!</formula>
    </cfRule>
    <cfRule type="cellIs" dxfId="1653" priority="1227" operator="equal">
      <formula>#REF!</formula>
    </cfRule>
    <cfRule type="cellIs" dxfId="1652" priority="1228" operator="equal">
      <formula>#REF!</formula>
    </cfRule>
    <cfRule type="cellIs" dxfId="1651" priority="1229" operator="equal">
      <formula>#REF!</formula>
    </cfRule>
    <cfRule type="cellIs" dxfId="1650" priority="1230" operator="equal">
      <formula>#REF!</formula>
    </cfRule>
    <cfRule type="cellIs" dxfId="1649" priority="1231" operator="equal">
      <formula>#REF!</formula>
    </cfRule>
    <cfRule type="cellIs" dxfId="1648" priority="1232" operator="equal">
      <formula>#REF!</formula>
    </cfRule>
    <cfRule type="cellIs" dxfId="1647" priority="1233" operator="equal">
      <formula>#REF!</formula>
    </cfRule>
    <cfRule type="cellIs" dxfId="1646" priority="1234" operator="equal">
      <formula>#REF!</formula>
    </cfRule>
    <cfRule type="cellIs" dxfId="1645" priority="1235" operator="equal">
      <formula>#REF!</formula>
    </cfRule>
    <cfRule type="cellIs" dxfId="1644" priority="1236" operator="equal">
      <formula>#REF!</formula>
    </cfRule>
    <cfRule type="cellIs" dxfId="1643" priority="1237" operator="equal">
      <formula>#REF!</formula>
    </cfRule>
    <cfRule type="cellIs" dxfId="1642" priority="1238" operator="equal">
      <formula>#REF!</formula>
    </cfRule>
    <cfRule type="cellIs" dxfId="1641" priority="1239" operator="equal">
      <formula>#REF!</formula>
    </cfRule>
    <cfRule type="cellIs" dxfId="1640" priority="1240" operator="equal">
      <formula>#REF!</formula>
    </cfRule>
  </conditionalFormatting>
  <conditionalFormatting sqref="K145">
    <cfRule type="cellIs" dxfId="1639" priority="1265" operator="equal">
      <formula>"Muy Alta"</formula>
    </cfRule>
    <cfRule type="cellIs" dxfId="1638" priority="1266" operator="equal">
      <formula>"Alta"</formula>
    </cfRule>
    <cfRule type="cellIs" dxfId="1637" priority="1267" operator="equal">
      <formula>"Media"</formula>
    </cfRule>
    <cfRule type="cellIs" dxfId="1636" priority="1268" operator="equal">
      <formula>"Baja"</formula>
    </cfRule>
    <cfRule type="cellIs" dxfId="1635" priority="1269" operator="equal">
      <formula>"Muy Baja"</formula>
    </cfRule>
  </conditionalFormatting>
  <conditionalFormatting sqref="O145">
    <cfRule type="cellIs" dxfId="1634" priority="1260" operator="equal">
      <formula>"Catastrófico"</formula>
    </cfRule>
    <cfRule type="cellIs" dxfId="1633" priority="1261" operator="equal">
      <formula>"Mayor"</formula>
    </cfRule>
    <cfRule type="cellIs" dxfId="1632" priority="1262" operator="equal">
      <formula>"Moderado"</formula>
    </cfRule>
    <cfRule type="cellIs" dxfId="1631" priority="1263" operator="equal">
      <formula>"Menor"</formula>
    </cfRule>
    <cfRule type="cellIs" dxfId="1630" priority="1264" operator="equal">
      <formula>"Leve"</formula>
    </cfRule>
  </conditionalFormatting>
  <conditionalFormatting sqref="Q145">
    <cfRule type="cellIs" dxfId="1629" priority="1256" operator="equal">
      <formula>"Extremo"</formula>
    </cfRule>
    <cfRule type="cellIs" dxfId="1628" priority="1257" operator="equal">
      <formula>"Alto"</formula>
    </cfRule>
    <cfRule type="cellIs" dxfId="1627" priority="1258" operator="equal">
      <formula>"Moderado"</formula>
    </cfRule>
    <cfRule type="cellIs" dxfId="1626" priority="1259" operator="equal">
      <formula>"Bajo"</formula>
    </cfRule>
  </conditionalFormatting>
  <conditionalFormatting sqref="AC145:AC150">
    <cfRule type="cellIs" dxfId="1625" priority="1251" operator="equal">
      <formula>"Muy Alta"</formula>
    </cfRule>
    <cfRule type="cellIs" dxfId="1624" priority="1252" operator="equal">
      <formula>"Alta"</formula>
    </cfRule>
    <cfRule type="cellIs" dxfId="1623" priority="1253" operator="equal">
      <formula>"Media"</formula>
    </cfRule>
    <cfRule type="cellIs" dxfId="1622" priority="1254" operator="equal">
      <formula>"Baja"</formula>
    </cfRule>
    <cfRule type="cellIs" dxfId="1621" priority="1255" operator="equal">
      <formula>"Muy Baja"</formula>
    </cfRule>
  </conditionalFormatting>
  <conditionalFormatting sqref="AE145:AE150">
    <cfRule type="cellIs" dxfId="1620" priority="1246" operator="equal">
      <formula>"Catastrófico"</formula>
    </cfRule>
    <cfRule type="cellIs" dxfId="1619" priority="1247" operator="equal">
      <formula>"Mayor"</formula>
    </cfRule>
    <cfRule type="cellIs" dxfId="1618" priority="1248" operator="equal">
      <formula>"Moderado"</formula>
    </cfRule>
    <cfRule type="cellIs" dxfId="1617" priority="1249" operator="equal">
      <formula>"Menor"</formula>
    </cfRule>
    <cfRule type="cellIs" dxfId="1616" priority="1250" operator="equal">
      <formula>"Leve"</formula>
    </cfRule>
  </conditionalFormatting>
  <conditionalFormatting sqref="AG145:AG150">
    <cfRule type="cellIs" dxfId="1615" priority="1242" operator="equal">
      <formula>"Extremo"</formula>
    </cfRule>
    <cfRule type="cellIs" dxfId="1614" priority="1243" operator="equal">
      <formula>"Alto"</formula>
    </cfRule>
    <cfRule type="cellIs" dxfId="1613" priority="1244" operator="equal">
      <formula>"Moderado"</formula>
    </cfRule>
    <cfRule type="cellIs" dxfId="1612" priority="1245" operator="equal">
      <formula>"Bajo"</formula>
    </cfRule>
  </conditionalFormatting>
  <conditionalFormatting sqref="N145:N150">
    <cfRule type="containsText" dxfId="1611" priority="1241" operator="containsText" text="❌">
      <formula>NOT(ISERROR(SEARCH("❌",N145)))</formula>
    </cfRule>
  </conditionalFormatting>
  <conditionalFormatting sqref="B139">
    <cfRule type="cellIs" dxfId="1610" priority="1176" operator="equal">
      <formula>#REF!</formula>
    </cfRule>
    <cfRule type="cellIs" dxfId="1609" priority="1177" operator="equal">
      <formula>#REF!</formula>
    </cfRule>
    <cfRule type="cellIs" dxfId="1608" priority="1178" operator="equal">
      <formula>#REF!</formula>
    </cfRule>
    <cfRule type="cellIs" dxfId="1607" priority="1179" operator="equal">
      <formula>#REF!</formula>
    </cfRule>
    <cfRule type="cellIs" dxfId="1606" priority="1180" operator="equal">
      <formula>#REF!</formula>
    </cfRule>
    <cfRule type="cellIs" dxfId="1605" priority="1181" operator="equal">
      <formula>#REF!</formula>
    </cfRule>
    <cfRule type="cellIs" dxfId="1604" priority="1182" operator="equal">
      <formula>#REF!</formula>
    </cfRule>
    <cfRule type="cellIs" dxfId="1603" priority="1183" operator="equal">
      <formula>#REF!</formula>
    </cfRule>
    <cfRule type="cellIs" dxfId="1602" priority="1184" operator="equal">
      <formula>#REF!</formula>
    </cfRule>
    <cfRule type="cellIs" dxfId="1601" priority="1185" operator="equal">
      <formula>#REF!</formula>
    </cfRule>
    <cfRule type="cellIs" dxfId="1600" priority="1186" operator="equal">
      <formula>#REF!</formula>
    </cfRule>
    <cfRule type="cellIs" dxfId="1599" priority="1187" operator="equal">
      <formula>#REF!</formula>
    </cfRule>
    <cfRule type="cellIs" dxfId="1598" priority="1188" operator="equal">
      <formula>#REF!</formula>
    </cfRule>
    <cfRule type="cellIs" dxfId="1597" priority="1189" operator="equal">
      <formula>#REF!</formula>
    </cfRule>
    <cfRule type="cellIs" dxfId="1596" priority="1190" operator="equal">
      <formula>#REF!</formula>
    </cfRule>
    <cfRule type="cellIs" dxfId="1595" priority="1191" operator="equal">
      <formula>#REF!</formula>
    </cfRule>
    <cfRule type="cellIs" dxfId="1594" priority="1192" operator="equal">
      <formula>#REF!</formula>
    </cfRule>
    <cfRule type="cellIs" dxfId="1593" priority="1193" operator="equal">
      <formula>#REF!</formula>
    </cfRule>
  </conditionalFormatting>
  <conditionalFormatting sqref="K139">
    <cfRule type="cellIs" dxfId="1592" priority="1218" operator="equal">
      <formula>"Muy Alta"</formula>
    </cfRule>
    <cfRule type="cellIs" dxfId="1591" priority="1219" operator="equal">
      <formula>"Alta"</formula>
    </cfRule>
    <cfRule type="cellIs" dxfId="1590" priority="1220" operator="equal">
      <formula>"Media"</formula>
    </cfRule>
    <cfRule type="cellIs" dxfId="1589" priority="1221" operator="equal">
      <formula>"Baja"</formula>
    </cfRule>
    <cfRule type="cellIs" dxfId="1588" priority="1222" operator="equal">
      <formula>"Muy Baja"</formula>
    </cfRule>
  </conditionalFormatting>
  <conditionalFormatting sqref="O139">
    <cfRule type="cellIs" dxfId="1587" priority="1213" operator="equal">
      <formula>"Catastrófico"</formula>
    </cfRule>
    <cfRule type="cellIs" dxfId="1586" priority="1214" operator="equal">
      <formula>"Mayor"</formula>
    </cfRule>
    <cfRule type="cellIs" dxfId="1585" priority="1215" operator="equal">
      <formula>"Moderado"</formula>
    </cfRule>
    <cfRule type="cellIs" dxfId="1584" priority="1216" operator="equal">
      <formula>"Menor"</formula>
    </cfRule>
    <cfRule type="cellIs" dxfId="1583" priority="1217" operator="equal">
      <formula>"Leve"</formula>
    </cfRule>
  </conditionalFormatting>
  <conditionalFormatting sqref="Q139">
    <cfRule type="cellIs" dxfId="1582" priority="1209" operator="equal">
      <formula>"Extremo"</formula>
    </cfRule>
    <cfRule type="cellIs" dxfId="1581" priority="1210" operator="equal">
      <formula>"Alto"</formula>
    </cfRule>
    <cfRule type="cellIs" dxfId="1580" priority="1211" operator="equal">
      <formula>"Moderado"</formula>
    </cfRule>
    <cfRule type="cellIs" dxfId="1579" priority="1212" operator="equal">
      <formula>"Bajo"</formula>
    </cfRule>
  </conditionalFormatting>
  <conditionalFormatting sqref="AC139:AC144">
    <cfRule type="cellIs" dxfId="1578" priority="1204" operator="equal">
      <formula>"Muy Alta"</formula>
    </cfRule>
    <cfRule type="cellIs" dxfId="1577" priority="1205" operator="equal">
      <formula>"Alta"</formula>
    </cfRule>
    <cfRule type="cellIs" dxfId="1576" priority="1206" operator="equal">
      <formula>"Media"</formula>
    </cfRule>
    <cfRule type="cellIs" dxfId="1575" priority="1207" operator="equal">
      <formula>"Baja"</formula>
    </cfRule>
    <cfRule type="cellIs" dxfId="1574" priority="1208" operator="equal">
      <formula>"Muy Baja"</formula>
    </cfRule>
  </conditionalFormatting>
  <conditionalFormatting sqref="AE139:AE144">
    <cfRule type="cellIs" dxfId="1573" priority="1199" operator="equal">
      <formula>"Catastrófico"</formula>
    </cfRule>
    <cfRule type="cellIs" dxfId="1572" priority="1200" operator="equal">
      <formula>"Mayor"</formula>
    </cfRule>
    <cfRule type="cellIs" dxfId="1571" priority="1201" operator="equal">
      <formula>"Moderado"</formula>
    </cfRule>
    <cfRule type="cellIs" dxfId="1570" priority="1202" operator="equal">
      <formula>"Menor"</formula>
    </cfRule>
    <cfRule type="cellIs" dxfId="1569" priority="1203" operator="equal">
      <formula>"Leve"</formula>
    </cfRule>
  </conditionalFormatting>
  <conditionalFormatting sqref="AG139:AG144">
    <cfRule type="cellIs" dxfId="1568" priority="1195" operator="equal">
      <formula>"Extremo"</formula>
    </cfRule>
    <cfRule type="cellIs" dxfId="1567" priority="1196" operator="equal">
      <formula>"Alto"</formula>
    </cfRule>
    <cfRule type="cellIs" dxfId="1566" priority="1197" operator="equal">
      <formula>"Moderado"</formula>
    </cfRule>
    <cfRule type="cellIs" dxfId="1565" priority="1198" operator="equal">
      <formula>"Bajo"</formula>
    </cfRule>
  </conditionalFormatting>
  <conditionalFormatting sqref="N139:N144">
    <cfRule type="containsText" dxfId="1564" priority="1194" operator="containsText" text="❌">
      <formula>NOT(ISERROR(SEARCH("❌",N139)))</formula>
    </cfRule>
  </conditionalFormatting>
  <conditionalFormatting sqref="B151">
    <cfRule type="cellIs" dxfId="1563" priority="1129" operator="equal">
      <formula>#REF!</formula>
    </cfRule>
    <cfRule type="cellIs" dxfId="1562" priority="1130" operator="equal">
      <formula>#REF!</formula>
    </cfRule>
    <cfRule type="cellIs" dxfId="1561" priority="1131" operator="equal">
      <formula>#REF!</formula>
    </cfRule>
    <cfRule type="cellIs" dxfId="1560" priority="1132" operator="equal">
      <formula>#REF!</formula>
    </cfRule>
    <cfRule type="cellIs" dxfId="1559" priority="1133" operator="equal">
      <formula>#REF!</formula>
    </cfRule>
    <cfRule type="cellIs" dxfId="1558" priority="1134" operator="equal">
      <formula>#REF!</formula>
    </cfRule>
    <cfRule type="cellIs" dxfId="1557" priority="1135" operator="equal">
      <formula>#REF!</formula>
    </cfRule>
    <cfRule type="cellIs" dxfId="1556" priority="1136" operator="equal">
      <formula>#REF!</formula>
    </cfRule>
    <cfRule type="cellIs" dxfId="1555" priority="1137" operator="equal">
      <formula>#REF!</formula>
    </cfRule>
    <cfRule type="cellIs" dxfId="1554" priority="1138" operator="equal">
      <formula>#REF!</formula>
    </cfRule>
    <cfRule type="cellIs" dxfId="1553" priority="1139" operator="equal">
      <formula>#REF!</formula>
    </cfRule>
    <cfRule type="cellIs" dxfId="1552" priority="1140" operator="equal">
      <formula>#REF!</formula>
    </cfRule>
    <cfRule type="cellIs" dxfId="1551" priority="1141" operator="equal">
      <formula>#REF!</formula>
    </cfRule>
    <cfRule type="cellIs" dxfId="1550" priority="1142" operator="equal">
      <formula>#REF!</formula>
    </cfRule>
    <cfRule type="cellIs" dxfId="1549" priority="1143" operator="equal">
      <formula>#REF!</formula>
    </cfRule>
    <cfRule type="cellIs" dxfId="1548" priority="1144" operator="equal">
      <formula>#REF!</formula>
    </cfRule>
    <cfRule type="cellIs" dxfId="1547" priority="1145" operator="equal">
      <formula>#REF!</formula>
    </cfRule>
    <cfRule type="cellIs" dxfId="1546" priority="1146" operator="equal">
      <formula>#REF!</formula>
    </cfRule>
  </conditionalFormatting>
  <conditionalFormatting sqref="K151">
    <cfRule type="cellIs" dxfId="1545" priority="1171" operator="equal">
      <formula>"Muy Alta"</formula>
    </cfRule>
    <cfRule type="cellIs" dxfId="1544" priority="1172" operator="equal">
      <formula>"Alta"</formula>
    </cfRule>
    <cfRule type="cellIs" dxfId="1543" priority="1173" operator="equal">
      <formula>"Media"</formula>
    </cfRule>
    <cfRule type="cellIs" dxfId="1542" priority="1174" operator="equal">
      <formula>"Baja"</formula>
    </cfRule>
    <cfRule type="cellIs" dxfId="1541" priority="1175" operator="equal">
      <formula>"Muy Baja"</formula>
    </cfRule>
  </conditionalFormatting>
  <conditionalFormatting sqref="O151">
    <cfRule type="cellIs" dxfId="1540" priority="1166" operator="equal">
      <formula>"Catastrófico"</formula>
    </cfRule>
    <cfRule type="cellIs" dxfId="1539" priority="1167" operator="equal">
      <formula>"Mayor"</formula>
    </cfRule>
    <cfRule type="cellIs" dxfId="1538" priority="1168" operator="equal">
      <formula>"Moderado"</formula>
    </cfRule>
    <cfRule type="cellIs" dxfId="1537" priority="1169" operator="equal">
      <formula>"Menor"</formula>
    </cfRule>
    <cfRule type="cellIs" dxfId="1536" priority="1170" operator="equal">
      <formula>"Leve"</formula>
    </cfRule>
  </conditionalFormatting>
  <conditionalFormatting sqref="Q151">
    <cfRule type="cellIs" dxfId="1535" priority="1162" operator="equal">
      <formula>"Extremo"</formula>
    </cfRule>
    <cfRule type="cellIs" dxfId="1534" priority="1163" operator="equal">
      <formula>"Alto"</formula>
    </cfRule>
    <cfRule type="cellIs" dxfId="1533" priority="1164" operator="equal">
      <formula>"Moderado"</formula>
    </cfRule>
    <cfRule type="cellIs" dxfId="1532" priority="1165" operator="equal">
      <formula>"Bajo"</formula>
    </cfRule>
  </conditionalFormatting>
  <conditionalFormatting sqref="AC151:AC156">
    <cfRule type="cellIs" dxfId="1531" priority="1157" operator="equal">
      <formula>"Muy Alta"</formula>
    </cfRule>
    <cfRule type="cellIs" dxfId="1530" priority="1158" operator="equal">
      <formula>"Alta"</formula>
    </cfRule>
    <cfRule type="cellIs" dxfId="1529" priority="1159" operator="equal">
      <formula>"Media"</formula>
    </cfRule>
    <cfRule type="cellIs" dxfId="1528" priority="1160" operator="equal">
      <formula>"Baja"</formula>
    </cfRule>
    <cfRule type="cellIs" dxfId="1527" priority="1161" operator="equal">
      <formula>"Muy Baja"</formula>
    </cfRule>
  </conditionalFormatting>
  <conditionalFormatting sqref="AE151:AE156">
    <cfRule type="cellIs" dxfId="1526" priority="1152" operator="equal">
      <formula>"Catastrófico"</formula>
    </cfRule>
    <cfRule type="cellIs" dxfId="1525" priority="1153" operator="equal">
      <formula>"Mayor"</formula>
    </cfRule>
    <cfRule type="cellIs" dxfId="1524" priority="1154" operator="equal">
      <formula>"Moderado"</formula>
    </cfRule>
    <cfRule type="cellIs" dxfId="1523" priority="1155" operator="equal">
      <formula>"Menor"</formula>
    </cfRule>
    <cfRule type="cellIs" dxfId="1522" priority="1156" operator="equal">
      <formula>"Leve"</formula>
    </cfRule>
  </conditionalFormatting>
  <conditionalFormatting sqref="AG151:AG156">
    <cfRule type="cellIs" dxfId="1521" priority="1148" operator="equal">
      <formula>"Extremo"</formula>
    </cfRule>
    <cfRule type="cellIs" dxfId="1520" priority="1149" operator="equal">
      <formula>"Alto"</formula>
    </cfRule>
    <cfRule type="cellIs" dxfId="1519" priority="1150" operator="equal">
      <formula>"Moderado"</formula>
    </cfRule>
    <cfRule type="cellIs" dxfId="1518" priority="1151" operator="equal">
      <formula>"Bajo"</formula>
    </cfRule>
  </conditionalFormatting>
  <conditionalFormatting sqref="N151:N156">
    <cfRule type="containsText" dxfId="1517" priority="1147" operator="containsText" text="❌">
      <formula>NOT(ISERROR(SEARCH("❌",N151)))</formula>
    </cfRule>
  </conditionalFormatting>
  <conditionalFormatting sqref="B181">
    <cfRule type="cellIs" dxfId="1516" priority="1082" operator="equal">
      <formula>#REF!</formula>
    </cfRule>
    <cfRule type="cellIs" dxfId="1515" priority="1083" operator="equal">
      <formula>#REF!</formula>
    </cfRule>
    <cfRule type="cellIs" dxfId="1514" priority="1084" operator="equal">
      <formula>#REF!</formula>
    </cfRule>
    <cfRule type="cellIs" dxfId="1513" priority="1085" operator="equal">
      <formula>#REF!</formula>
    </cfRule>
    <cfRule type="cellIs" dxfId="1512" priority="1086" operator="equal">
      <formula>#REF!</formula>
    </cfRule>
    <cfRule type="cellIs" dxfId="1511" priority="1087" operator="equal">
      <formula>#REF!</formula>
    </cfRule>
    <cfRule type="cellIs" dxfId="1510" priority="1088" operator="equal">
      <formula>#REF!</formula>
    </cfRule>
    <cfRule type="cellIs" dxfId="1509" priority="1089" operator="equal">
      <formula>#REF!</formula>
    </cfRule>
    <cfRule type="cellIs" dxfId="1508" priority="1090" operator="equal">
      <formula>#REF!</formula>
    </cfRule>
    <cfRule type="cellIs" dxfId="1507" priority="1091" operator="equal">
      <formula>#REF!</formula>
    </cfRule>
    <cfRule type="cellIs" dxfId="1506" priority="1092" operator="equal">
      <formula>#REF!</formula>
    </cfRule>
    <cfRule type="cellIs" dxfId="1505" priority="1093" operator="equal">
      <formula>#REF!</formula>
    </cfRule>
    <cfRule type="cellIs" dxfId="1504" priority="1094" operator="equal">
      <formula>#REF!</formula>
    </cfRule>
    <cfRule type="cellIs" dxfId="1503" priority="1095" operator="equal">
      <formula>#REF!</formula>
    </cfRule>
    <cfRule type="cellIs" dxfId="1502" priority="1096" operator="equal">
      <formula>#REF!</formula>
    </cfRule>
    <cfRule type="cellIs" dxfId="1501" priority="1097" operator="equal">
      <formula>#REF!</formula>
    </cfRule>
    <cfRule type="cellIs" dxfId="1500" priority="1098" operator="equal">
      <formula>#REF!</formula>
    </cfRule>
    <cfRule type="cellIs" dxfId="1499" priority="1099" operator="equal">
      <formula>#REF!</formula>
    </cfRule>
  </conditionalFormatting>
  <conditionalFormatting sqref="K181">
    <cfRule type="cellIs" dxfId="1498" priority="1124" operator="equal">
      <formula>"Muy Alta"</formula>
    </cfRule>
    <cfRule type="cellIs" dxfId="1497" priority="1125" operator="equal">
      <formula>"Alta"</formula>
    </cfRule>
    <cfRule type="cellIs" dxfId="1496" priority="1126" operator="equal">
      <formula>"Media"</formula>
    </cfRule>
    <cfRule type="cellIs" dxfId="1495" priority="1127" operator="equal">
      <formula>"Baja"</formula>
    </cfRule>
    <cfRule type="cellIs" dxfId="1494" priority="1128" operator="equal">
      <formula>"Muy Baja"</formula>
    </cfRule>
  </conditionalFormatting>
  <conditionalFormatting sqref="O181">
    <cfRule type="cellIs" dxfId="1493" priority="1119" operator="equal">
      <formula>"Catastrófico"</formula>
    </cfRule>
    <cfRule type="cellIs" dxfId="1492" priority="1120" operator="equal">
      <formula>"Mayor"</formula>
    </cfRule>
    <cfRule type="cellIs" dxfId="1491" priority="1121" operator="equal">
      <formula>"Moderado"</formula>
    </cfRule>
    <cfRule type="cellIs" dxfId="1490" priority="1122" operator="equal">
      <formula>"Menor"</formula>
    </cfRule>
    <cfRule type="cellIs" dxfId="1489" priority="1123" operator="equal">
      <formula>"Leve"</formula>
    </cfRule>
  </conditionalFormatting>
  <conditionalFormatting sqref="Q181">
    <cfRule type="cellIs" dxfId="1488" priority="1115" operator="equal">
      <formula>"Extremo"</formula>
    </cfRule>
    <cfRule type="cellIs" dxfId="1487" priority="1116" operator="equal">
      <formula>"Alto"</formula>
    </cfRule>
    <cfRule type="cellIs" dxfId="1486" priority="1117" operator="equal">
      <formula>"Moderado"</formula>
    </cfRule>
    <cfRule type="cellIs" dxfId="1485" priority="1118" operator="equal">
      <formula>"Bajo"</formula>
    </cfRule>
  </conditionalFormatting>
  <conditionalFormatting sqref="AC181:AC186">
    <cfRule type="cellIs" dxfId="1484" priority="1110" operator="equal">
      <formula>"Muy Alta"</formula>
    </cfRule>
    <cfRule type="cellIs" dxfId="1483" priority="1111" operator="equal">
      <formula>"Alta"</formula>
    </cfRule>
    <cfRule type="cellIs" dxfId="1482" priority="1112" operator="equal">
      <formula>"Media"</formula>
    </cfRule>
    <cfRule type="cellIs" dxfId="1481" priority="1113" operator="equal">
      <formula>"Baja"</formula>
    </cfRule>
    <cfRule type="cellIs" dxfId="1480" priority="1114" operator="equal">
      <formula>"Muy Baja"</formula>
    </cfRule>
  </conditionalFormatting>
  <conditionalFormatting sqref="AE181:AE186">
    <cfRule type="cellIs" dxfId="1479" priority="1105" operator="equal">
      <formula>"Catastrófico"</formula>
    </cfRule>
    <cfRule type="cellIs" dxfId="1478" priority="1106" operator="equal">
      <formula>"Mayor"</formula>
    </cfRule>
    <cfRule type="cellIs" dxfId="1477" priority="1107" operator="equal">
      <formula>"Moderado"</formula>
    </cfRule>
    <cfRule type="cellIs" dxfId="1476" priority="1108" operator="equal">
      <formula>"Menor"</formula>
    </cfRule>
    <cfRule type="cellIs" dxfId="1475" priority="1109" operator="equal">
      <formula>"Leve"</formula>
    </cfRule>
  </conditionalFormatting>
  <conditionalFormatting sqref="AG181:AG186">
    <cfRule type="cellIs" dxfId="1474" priority="1101" operator="equal">
      <formula>"Extremo"</formula>
    </cfRule>
    <cfRule type="cellIs" dxfId="1473" priority="1102" operator="equal">
      <formula>"Alto"</formula>
    </cfRule>
    <cfRule type="cellIs" dxfId="1472" priority="1103" operator="equal">
      <formula>"Moderado"</formula>
    </cfRule>
    <cfRule type="cellIs" dxfId="1471" priority="1104" operator="equal">
      <formula>"Bajo"</formula>
    </cfRule>
  </conditionalFormatting>
  <conditionalFormatting sqref="N181:N186">
    <cfRule type="containsText" dxfId="1470" priority="1100" operator="containsText" text="❌">
      <formula>NOT(ISERROR(SEARCH("❌",N181)))</formula>
    </cfRule>
  </conditionalFormatting>
  <conditionalFormatting sqref="B187">
    <cfRule type="cellIs" dxfId="1469" priority="1035" operator="equal">
      <formula>#REF!</formula>
    </cfRule>
    <cfRule type="cellIs" dxfId="1468" priority="1036" operator="equal">
      <formula>#REF!</formula>
    </cfRule>
    <cfRule type="cellIs" dxfId="1467" priority="1037" operator="equal">
      <formula>#REF!</formula>
    </cfRule>
    <cfRule type="cellIs" dxfId="1466" priority="1038" operator="equal">
      <formula>#REF!</formula>
    </cfRule>
    <cfRule type="cellIs" dxfId="1465" priority="1039" operator="equal">
      <formula>#REF!</formula>
    </cfRule>
    <cfRule type="cellIs" dxfId="1464" priority="1040" operator="equal">
      <formula>#REF!</formula>
    </cfRule>
    <cfRule type="cellIs" dxfId="1463" priority="1041" operator="equal">
      <formula>#REF!</formula>
    </cfRule>
    <cfRule type="cellIs" dxfId="1462" priority="1042" operator="equal">
      <formula>#REF!</formula>
    </cfRule>
    <cfRule type="cellIs" dxfId="1461" priority="1043" operator="equal">
      <formula>#REF!</formula>
    </cfRule>
    <cfRule type="cellIs" dxfId="1460" priority="1044" operator="equal">
      <formula>#REF!</formula>
    </cfRule>
    <cfRule type="cellIs" dxfId="1459" priority="1045" operator="equal">
      <formula>#REF!</formula>
    </cfRule>
    <cfRule type="cellIs" dxfId="1458" priority="1046" operator="equal">
      <formula>#REF!</formula>
    </cfRule>
    <cfRule type="cellIs" dxfId="1457" priority="1047" operator="equal">
      <formula>#REF!</formula>
    </cfRule>
    <cfRule type="cellIs" dxfId="1456" priority="1048" operator="equal">
      <formula>#REF!</formula>
    </cfRule>
    <cfRule type="cellIs" dxfId="1455" priority="1049" operator="equal">
      <formula>#REF!</formula>
    </cfRule>
    <cfRule type="cellIs" dxfId="1454" priority="1050" operator="equal">
      <formula>#REF!</formula>
    </cfRule>
    <cfRule type="cellIs" dxfId="1453" priority="1051" operator="equal">
      <formula>#REF!</formula>
    </cfRule>
    <cfRule type="cellIs" dxfId="1452" priority="1052" operator="equal">
      <formula>#REF!</formula>
    </cfRule>
  </conditionalFormatting>
  <conditionalFormatting sqref="K187">
    <cfRule type="cellIs" dxfId="1451" priority="1077" operator="equal">
      <formula>"Muy Alta"</formula>
    </cfRule>
    <cfRule type="cellIs" dxfId="1450" priority="1078" operator="equal">
      <formula>"Alta"</formula>
    </cfRule>
    <cfRule type="cellIs" dxfId="1449" priority="1079" operator="equal">
      <formula>"Media"</formula>
    </cfRule>
    <cfRule type="cellIs" dxfId="1448" priority="1080" operator="equal">
      <formula>"Baja"</formula>
    </cfRule>
    <cfRule type="cellIs" dxfId="1447" priority="1081" operator="equal">
      <formula>"Muy Baja"</formula>
    </cfRule>
  </conditionalFormatting>
  <conditionalFormatting sqref="O187">
    <cfRule type="cellIs" dxfId="1446" priority="1072" operator="equal">
      <formula>"Catastrófico"</formula>
    </cfRule>
    <cfRule type="cellIs" dxfId="1445" priority="1073" operator="equal">
      <formula>"Mayor"</formula>
    </cfRule>
    <cfRule type="cellIs" dxfId="1444" priority="1074" operator="equal">
      <formula>"Moderado"</formula>
    </cfRule>
    <cfRule type="cellIs" dxfId="1443" priority="1075" operator="equal">
      <formula>"Menor"</formula>
    </cfRule>
    <cfRule type="cellIs" dxfId="1442" priority="1076" operator="equal">
      <formula>"Leve"</formula>
    </cfRule>
  </conditionalFormatting>
  <conditionalFormatting sqref="Q187">
    <cfRule type="cellIs" dxfId="1441" priority="1068" operator="equal">
      <formula>"Extremo"</formula>
    </cfRule>
    <cfRule type="cellIs" dxfId="1440" priority="1069" operator="equal">
      <formula>"Alto"</formula>
    </cfRule>
    <cfRule type="cellIs" dxfId="1439" priority="1070" operator="equal">
      <formula>"Moderado"</formula>
    </cfRule>
    <cfRule type="cellIs" dxfId="1438" priority="1071" operator="equal">
      <formula>"Bajo"</formula>
    </cfRule>
  </conditionalFormatting>
  <conditionalFormatting sqref="AC187:AC192">
    <cfRule type="cellIs" dxfId="1437" priority="1063" operator="equal">
      <formula>"Muy Alta"</formula>
    </cfRule>
    <cfRule type="cellIs" dxfId="1436" priority="1064" operator="equal">
      <formula>"Alta"</formula>
    </cfRule>
    <cfRule type="cellIs" dxfId="1435" priority="1065" operator="equal">
      <formula>"Media"</formula>
    </cfRule>
    <cfRule type="cellIs" dxfId="1434" priority="1066" operator="equal">
      <formula>"Baja"</formula>
    </cfRule>
    <cfRule type="cellIs" dxfId="1433" priority="1067" operator="equal">
      <formula>"Muy Baja"</formula>
    </cfRule>
  </conditionalFormatting>
  <conditionalFormatting sqref="AE187:AE192">
    <cfRule type="cellIs" dxfId="1432" priority="1058" operator="equal">
      <formula>"Catastrófico"</formula>
    </cfRule>
    <cfRule type="cellIs" dxfId="1431" priority="1059" operator="equal">
      <formula>"Mayor"</formula>
    </cfRule>
    <cfRule type="cellIs" dxfId="1430" priority="1060" operator="equal">
      <formula>"Moderado"</formula>
    </cfRule>
    <cfRule type="cellIs" dxfId="1429" priority="1061" operator="equal">
      <formula>"Menor"</formula>
    </cfRule>
    <cfRule type="cellIs" dxfId="1428" priority="1062" operator="equal">
      <formula>"Leve"</formula>
    </cfRule>
  </conditionalFormatting>
  <conditionalFormatting sqref="AG187:AG192">
    <cfRule type="cellIs" dxfId="1427" priority="1054" operator="equal">
      <formula>"Extremo"</formula>
    </cfRule>
    <cfRule type="cellIs" dxfId="1426" priority="1055" operator="equal">
      <formula>"Alto"</formula>
    </cfRule>
    <cfRule type="cellIs" dxfId="1425" priority="1056" operator="equal">
      <formula>"Moderado"</formula>
    </cfRule>
    <cfRule type="cellIs" dxfId="1424" priority="1057" operator="equal">
      <formula>"Bajo"</formula>
    </cfRule>
  </conditionalFormatting>
  <conditionalFormatting sqref="N187:N192">
    <cfRule type="containsText" dxfId="1423" priority="1053" operator="containsText" text="❌">
      <formula>NOT(ISERROR(SEARCH("❌",N187)))</formula>
    </cfRule>
  </conditionalFormatting>
  <conditionalFormatting sqref="B163">
    <cfRule type="cellIs" dxfId="1422" priority="988" operator="equal">
      <formula>#REF!</formula>
    </cfRule>
    <cfRule type="cellIs" dxfId="1421" priority="989" operator="equal">
      <formula>#REF!</formula>
    </cfRule>
    <cfRule type="cellIs" dxfId="1420" priority="990" operator="equal">
      <formula>#REF!</formula>
    </cfRule>
    <cfRule type="cellIs" dxfId="1419" priority="991" operator="equal">
      <formula>#REF!</formula>
    </cfRule>
    <cfRule type="cellIs" dxfId="1418" priority="992" operator="equal">
      <formula>#REF!</formula>
    </cfRule>
    <cfRule type="cellIs" dxfId="1417" priority="993" operator="equal">
      <formula>#REF!</formula>
    </cfRule>
    <cfRule type="cellIs" dxfId="1416" priority="994" operator="equal">
      <formula>#REF!</formula>
    </cfRule>
    <cfRule type="cellIs" dxfId="1415" priority="995" operator="equal">
      <formula>#REF!</formula>
    </cfRule>
    <cfRule type="cellIs" dxfId="1414" priority="996" operator="equal">
      <formula>#REF!</formula>
    </cfRule>
    <cfRule type="cellIs" dxfId="1413" priority="997" operator="equal">
      <formula>#REF!</formula>
    </cfRule>
    <cfRule type="cellIs" dxfId="1412" priority="998" operator="equal">
      <formula>#REF!</formula>
    </cfRule>
    <cfRule type="cellIs" dxfId="1411" priority="999" operator="equal">
      <formula>#REF!</formula>
    </cfRule>
    <cfRule type="cellIs" dxfId="1410" priority="1000" operator="equal">
      <formula>#REF!</formula>
    </cfRule>
    <cfRule type="cellIs" dxfId="1409" priority="1001" operator="equal">
      <formula>#REF!</formula>
    </cfRule>
    <cfRule type="cellIs" dxfId="1408" priority="1002" operator="equal">
      <formula>#REF!</formula>
    </cfRule>
    <cfRule type="cellIs" dxfId="1407" priority="1003" operator="equal">
      <formula>#REF!</formula>
    </cfRule>
    <cfRule type="cellIs" dxfId="1406" priority="1004" operator="equal">
      <formula>#REF!</formula>
    </cfRule>
    <cfRule type="cellIs" dxfId="1405" priority="1005" operator="equal">
      <formula>#REF!</formula>
    </cfRule>
  </conditionalFormatting>
  <conditionalFormatting sqref="K163">
    <cfRule type="cellIs" dxfId="1404" priority="1030" operator="equal">
      <formula>"Muy Alta"</formula>
    </cfRule>
    <cfRule type="cellIs" dxfId="1403" priority="1031" operator="equal">
      <formula>"Alta"</formula>
    </cfRule>
    <cfRule type="cellIs" dxfId="1402" priority="1032" operator="equal">
      <formula>"Media"</formula>
    </cfRule>
    <cfRule type="cellIs" dxfId="1401" priority="1033" operator="equal">
      <formula>"Baja"</formula>
    </cfRule>
    <cfRule type="cellIs" dxfId="1400" priority="1034" operator="equal">
      <formula>"Muy Baja"</formula>
    </cfRule>
  </conditionalFormatting>
  <conditionalFormatting sqref="O163">
    <cfRule type="cellIs" dxfId="1399" priority="1025" operator="equal">
      <formula>"Catastrófico"</formula>
    </cfRule>
    <cfRule type="cellIs" dxfId="1398" priority="1026" operator="equal">
      <formula>"Mayor"</formula>
    </cfRule>
    <cfRule type="cellIs" dxfId="1397" priority="1027" operator="equal">
      <formula>"Moderado"</formula>
    </cfRule>
    <cfRule type="cellIs" dxfId="1396" priority="1028" operator="equal">
      <formula>"Menor"</formula>
    </cfRule>
    <cfRule type="cellIs" dxfId="1395" priority="1029" operator="equal">
      <formula>"Leve"</formula>
    </cfRule>
  </conditionalFormatting>
  <conditionalFormatting sqref="Q163">
    <cfRule type="cellIs" dxfId="1394" priority="1021" operator="equal">
      <formula>"Extremo"</formula>
    </cfRule>
    <cfRule type="cellIs" dxfId="1393" priority="1022" operator="equal">
      <formula>"Alto"</formula>
    </cfRule>
    <cfRule type="cellIs" dxfId="1392" priority="1023" operator="equal">
      <formula>"Moderado"</formula>
    </cfRule>
    <cfRule type="cellIs" dxfId="1391" priority="1024" operator="equal">
      <formula>"Bajo"</formula>
    </cfRule>
  </conditionalFormatting>
  <conditionalFormatting sqref="AC163:AC168">
    <cfRule type="cellIs" dxfId="1390" priority="1016" operator="equal">
      <formula>"Muy Alta"</formula>
    </cfRule>
    <cfRule type="cellIs" dxfId="1389" priority="1017" operator="equal">
      <formula>"Alta"</formula>
    </cfRule>
    <cfRule type="cellIs" dxfId="1388" priority="1018" operator="equal">
      <formula>"Media"</formula>
    </cfRule>
    <cfRule type="cellIs" dxfId="1387" priority="1019" operator="equal">
      <formula>"Baja"</formula>
    </cfRule>
    <cfRule type="cellIs" dxfId="1386" priority="1020" operator="equal">
      <formula>"Muy Baja"</formula>
    </cfRule>
  </conditionalFormatting>
  <conditionalFormatting sqref="AE163:AE168">
    <cfRule type="cellIs" dxfId="1385" priority="1011" operator="equal">
      <formula>"Catastrófico"</formula>
    </cfRule>
    <cfRule type="cellIs" dxfId="1384" priority="1012" operator="equal">
      <formula>"Mayor"</formula>
    </cfRule>
    <cfRule type="cellIs" dxfId="1383" priority="1013" operator="equal">
      <formula>"Moderado"</formula>
    </cfRule>
    <cfRule type="cellIs" dxfId="1382" priority="1014" operator="equal">
      <formula>"Menor"</formula>
    </cfRule>
    <cfRule type="cellIs" dxfId="1381" priority="1015" operator="equal">
      <formula>"Leve"</formula>
    </cfRule>
  </conditionalFormatting>
  <conditionalFormatting sqref="AG163:AG168">
    <cfRule type="cellIs" dxfId="1380" priority="1007" operator="equal">
      <formula>"Extremo"</formula>
    </cfRule>
    <cfRule type="cellIs" dxfId="1379" priority="1008" operator="equal">
      <formula>"Alto"</formula>
    </cfRule>
    <cfRule type="cellIs" dxfId="1378" priority="1009" operator="equal">
      <formula>"Moderado"</formula>
    </cfRule>
    <cfRule type="cellIs" dxfId="1377" priority="1010" operator="equal">
      <formula>"Bajo"</formula>
    </cfRule>
  </conditionalFormatting>
  <conditionalFormatting sqref="N163:N168">
    <cfRule type="containsText" dxfId="1376" priority="1006" operator="containsText" text="❌">
      <formula>NOT(ISERROR(SEARCH("❌",N163)))</formula>
    </cfRule>
  </conditionalFormatting>
  <conditionalFormatting sqref="B157">
    <cfRule type="cellIs" dxfId="1375" priority="941" operator="equal">
      <formula>#REF!</formula>
    </cfRule>
    <cfRule type="cellIs" dxfId="1374" priority="942" operator="equal">
      <formula>#REF!</formula>
    </cfRule>
    <cfRule type="cellIs" dxfId="1373" priority="943" operator="equal">
      <formula>#REF!</formula>
    </cfRule>
    <cfRule type="cellIs" dxfId="1372" priority="944" operator="equal">
      <formula>#REF!</formula>
    </cfRule>
    <cfRule type="cellIs" dxfId="1371" priority="945" operator="equal">
      <formula>#REF!</formula>
    </cfRule>
    <cfRule type="cellIs" dxfId="1370" priority="946" operator="equal">
      <formula>#REF!</formula>
    </cfRule>
    <cfRule type="cellIs" dxfId="1369" priority="947" operator="equal">
      <formula>#REF!</formula>
    </cfRule>
    <cfRule type="cellIs" dxfId="1368" priority="948" operator="equal">
      <formula>#REF!</formula>
    </cfRule>
    <cfRule type="cellIs" dxfId="1367" priority="949" operator="equal">
      <formula>#REF!</formula>
    </cfRule>
    <cfRule type="cellIs" dxfId="1366" priority="950" operator="equal">
      <formula>#REF!</formula>
    </cfRule>
    <cfRule type="cellIs" dxfId="1365" priority="951" operator="equal">
      <formula>#REF!</formula>
    </cfRule>
    <cfRule type="cellIs" dxfId="1364" priority="952" operator="equal">
      <formula>#REF!</formula>
    </cfRule>
    <cfRule type="cellIs" dxfId="1363" priority="953" operator="equal">
      <formula>#REF!</formula>
    </cfRule>
    <cfRule type="cellIs" dxfId="1362" priority="954" operator="equal">
      <formula>#REF!</formula>
    </cfRule>
    <cfRule type="cellIs" dxfId="1361" priority="955" operator="equal">
      <formula>#REF!</formula>
    </cfRule>
    <cfRule type="cellIs" dxfId="1360" priority="956" operator="equal">
      <formula>#REF!</formula>
    </cfRule>
    <cfRule type="cellIs" dxfId="1359" priority="957" operator="equal">
      <formula>#REF!</formula>
    </cfRule>
    <cfRule type="cellIs" dxfId="1358" priority="958" operator="equal">
      <formula>#REF!</formula>
    </cfRule>
  </conditionalFormatting>
  <conditionalFormatting sqref="K157">
    <cfRule type="cellIs" dxfId="1357" priority="983" operator="equal">
      <formula>"Muy Alta"</formula>
    </cfRule>
    <cfRule type="cellIs" dxfId="1356" priority="984" operator="equal">
      <formula>"Alta"</formula>
    </cfRule>
    <cfRule type="cellIs" dxfId="1355" priority="985" operator="equal">
      <formula>"Media"</formula>
    </cfRule>
    <cfRule type="cellIs" dxfId="1354" priority="986" operator="equal">
      <formula>"Baja"</formula>
    </cfRule>
    <cfRule type="cellIs" dxfId="1353" priority="987" operator="equal">
      <formula>"Muy Baja"</formula>
    </cfRule>
  </conditionalFormatting>
  <conditionalFormatting sqref="O157">
    <cfRule type="cellIs" dxfId="1352" priority="978" operator="equal">
      <formula>"Catastrófico"</formula>
    </cfRule>
    <cfRule type="cellIs" dxfId="1351" priority="979" operator="equal">
      <formula>"Mayor"</formula>
    </cfRule>
    <cfRule type="cellIs" dxfId="1350" priority="980" operator="equal">
      <formula>"Moderado"</formula>
    </cfRule>
    <cfRule type="cellIs" dxfId="1349" priority="981" operator="equal">
      <formula>"Menor"</formula>
    </cfRule>
    <cfRule type="cellIs" dxfId="1348" priority="982" operator="equal">
      <formula>"Leve"</formula>
    </cfRule>
  </conditionalFormatting>
  <conditionalFormatting sqref="Q157">
    <cfRule type="cellIs" dxfId="1347" priority="974" operator="equal">
      <formula>"Extremo"</formula>
    </cfRule>
    <cfRule type="cellIs" dxfId="1346" priority="975" operator="equal">
      <formula>"Alto"</formula>
    </cfRule>
    <cfRule type="cellIs" dxfId="1345" priority="976" operator="equal">
      <formula>"Moderado"</formula>
    </cfRule>
    <cfRule type="cellIs" dxfId="1344" priority="977" operator="equal">
      <formula>"Bajo"</formula>
    </cfRule>
  </conditionalFormatting>
  <conditionalFormatting sqref="AC157:AC162">
    <cfRule type="cellIs" dxfId="1343" priority="969" operator="equal">
      <formula>"Muy Alta"</formula>
    </cfRule>
    <cfRule type="cellIs" dxfId="1342" priority="970" operator="equal">
      <formula>"Alta"</formula>
    </cfRule>
    <cfRule type="cellIs" dxfId="1341" priority="971" operator="equal">
      <formula>"Media"</formula>
    </cfRule>
    <cfRule type="cellIs" dxfId="1340" priority="972" operator="equal">
      <formula>"Baja"</formula>
    </cfRule>
    <cfRule type="cellIs" dxfId="1339" priority="973" operator="equal">
      <formula>"Muy Baja"</formula>
    </cfRule>
  </conditionalFormatting>
  <conditionalFormatting sqref="AE157:AE162">
    <cfRule type="cellIs" dxfId="1338" priority="964" operator="equal">
      <formula>"Catastrófico"</formula>
    </cfRule>
    <cfRule type="cellIs" dxfId="1337" priority="965" operator="equal">
      <formula>"Mayor"</formula>
    </cfRule>
    <cfRule type="cellIs" dxfId="1336" priority="966" operator="equal">
      <formula>"Moderado"</formula>
    </cfRule>
    <cfRule type="cellIs" dxfId="1335" priority="967" operator="equal">
      <formula>"Menor"</formula>
    </cfRule>
    <cfRule type="cellIs" dxfId="1334" priority="968" operator="equal">
      <formula>"Leve"</formula>
    </cfRule>
  </conditionalFormatting>
  <conditionalFormatting sqref="AG157:AG162">
    <cfRule type="cellIs" dxfId="1333" priority="960" operator="equal">
      <formula>"Extremo"</formula>
    </cfRule>
    <cfRule type="cellIs" dxfId="1332" priority="961" operator="equal">
      <formula>"Alto"</formula>
    </cfRule>
    <cfRule type="cellIs" dxfId="1331" priority="962" operator="equal">
      <formula>"Moderado"</formula>
    </cfRule>
    <cfRule type="cellIs" dxfId="1330" priority="963" operator="equal">
      <formula>"Bajo"</formula>
    </cfRule>
  </conditionalFormatting>
  <conditionalFormatting sqref="N157:N162">
    <cfRule type="containsText" dxfId="1329" priority="959" operator="containsText" text="❌">
      <formula>NOT(ISERROR(SEARCH("❌",N157)))</formula>
    </cfRule>
  </conditionalFormatting>
  <conditionalFormatting sqref="B175">
    <cfRule type="cellIs" dxfId="1328" priority="894" operator="equal">
      <formula>#REF!</formula>
    </cfRule>
    <cfRule type="cellIs" dxfId="1327" priority="895" operator="equal">
      <formula>#REF!</formula>
    </cfRule>
    <cfRule type="cellIs" dxfId="1326" priority="896" operator="equal">
      <formula>#REF!</formula>
    </cfRule>
    <cfRule type="cellIs" dxfId="1325" priority="897" operator="equal">
      <formula>#REF!</formula>
    </cfRule>
    <cfRule type="cellIs" dxfId="1324" priority="898" operator="equal">
      <formula>#REF!</formula>
    </cfRule>
    <cfRule type="cellIs" dxfId="1323" priority="899" operator="equal">
      <formula>#REF!</formula>
    </cfRule>
    <cfRule type="cellIs" dxfId="1322" priority="900" operator="equal">
      <formula>#REF!</formula>
    </cfRule>
    <cfRule type="cellIs" dxfId="1321" priority="901" operator="equal">
      <formula>#REF!</formula>
    </cfRule>
    <cfRule type="cellIs" dxfId="1320" priority="902" operator="equal">
      <formula>#REF!</formula>
    </cfRule>
    <cfRule type="cellIs" dxfId="1319" priority="903" operator="equal">
      <formula>#REF!</formula>
    </cfRule>
    <cfRule type="cellIs" dxfId="1318" priority="904" operator="equal">
      <formula>#REF!</formula>
    </cfRule>
    <cfRule type="cellIs" dxfId="1317" priority="905" operator="equal">
      <formula>#REF!</formula>
    </cfRule>
    <cfRule type="cellIs" dxfId="1316" priority="906" operator="equal">
      <formula>#REF!</formula>
    </cfRule>
    <cfRule type="cellIs" dxfId="1315" priority="907" operator="equal">
      <formula>#REF!</formula>
    </cfRule>
    <cfRule type="cellIs" dxfId="1314" priority="908" operator="equal">
      <formula>#REF!</formula>
    </cfRule>
    <cfRule type="cellIs" dxfId="1313" priority="909" operator="equal">
      <formula>#REF!</formula>
    </cfRule>
    <cfRule type="cellIs" dxfId="1312" priority="910" operator="equal">
      <formula>#REF!</formula>
    </cfRule>
    <cfRule type="cellIs" dxfId="1311" priority="911" operator="equal">
      <formula>#REF!</formula>
    </cfRule>
  </conditionalFormatting>
  <conditionalFormatting sqref="K175">
    <cfRule type="cellIs" dxfId="1310" priority="936" operator="equal">
      <formula>"Muy Alta"</formula>
    </cfRule>
    <cfRule type="cellIs" dxfId="1309" priority="937" operator="equal">
      <formula>"Alta"</formula>
    </cfRule>
    <cfRule type="cellIs" dxfId="1308" priority="938" operator="equal">
      <formula>"Media"</formula>
    </cfRule>
    <cfRule type="cellIs" dxfId="1307" priority="939" operator="equal">
      <formula>"Baja"</formula>
    </cfRule>
    <cfRule type="cellIs" dxfId="1306" priority="940" operator="equal">
      <formula>"Muy Baja"</formula>
    </cfRule>
  </conditionalFormatting>
  <conditionalFormatting sqref="O175">
    <cfRule type="cellIs" dxfId="1305" priority="931" operator="equal">
      <formula>"Catastrófico"</formula>
    </cfRule>
    <cfRule type="cellIs" dxfId="1304" priority="932" operator="equal">
      <formula>"Mayor"</formula>
    </cfRule>
    <cfRule type="cellIs" dxfId="1303" priority="933" operator="equal">
      <formula>"Moderado"</formula>
    </cfRule>
    <cfRule type="cellIs" dxfId="1302" priority="934" operator="equal">
      <formula>"Menor"</formula>
    </cfRule>
    <cfRule type="cellIs" dxfId="1301" priority="935" operator="equal">
      <formula>"Leve"</formula>
    </cfRule>
  </conditionalFormatting>
  <conditionalFormatting sqref="Q175">
    <cfRule type="cellIs" dxfId="1300" priority="927" operator="equal">
      <formula>"Extremo"</formula>
    </cfRule>
    <cfRule type="cellIs" dxfId="1299" priority="928" operator="equal">
      <formula>"Alto"</formula>
    </cfRule>
    <cfRule type="cellIs" dxfId="1298" priority="929" operator="equal">
      <formula>"Moderado"</formula>
    </cfRule>
    <cfRule type="cellIs" dxfId="1297" priority="930" operator="equal">
      <formula>"Bajo"</formula>
    </cfRule>
  </conditionalFormatting>
  <conditionalFormatting sqref="AC175:AC180">
    <cfRule type="cellIs" dxfId="1296" priority="922" operator="equal">
      <formula>"Muy Alta"</formula>
    </cfRule>
    <cfRule type="cellIs" dxfId="1295" priority="923" operator="equal">
      <formula>"Alta"</formula>
    </cfRule>
    <cfRule type="cellIs" dxfId="1294" priority="924" operator="equal">
      <formula>"Media"</formula>
    </cfRule>
    <cfRule type="cellIs" dxfId="1293" priority="925" operator="equal">
      <formula>"Baja"</formula>
    </cfRule>
    <cfRule type="cellIs" dxfId="1292" priority="926" operator="equal">
      <formula>"Muy Baja"</formula>
    </cfRule>
  </conditionalFormatting>
  <conditionalFormatting sqref="AE175:AE180">
    <cfRule type="cellIs" dxfId="1291" priority="917" operator="equal">
      <formula>"Catastrófico"</formula>
    </cfRule>
    <cfRule type="cellIs" dxfId="1290" priority="918" operator="equal">
      <formula>"Mayor"</formula>
    </cfRule>
    <cfRule type="cellIs" dxfId="1289" priority="919" operator="equal">
      <formula>"Moderado"</formula>
    </cfRule>
    <cfRule type="cellIs" dxfId="1288" priority="920" operator="equal">
      <formula>"Menor"</formula>
    </cfRule>
    <cfRule type="cellIs" dxfId="1287" priority="921" operator="equal">
      <formula>"Leve"</formula>
    </cfRule>
  </conditionalFormatting>
  <conditionalFormatting sqref="AG175:AG180">
    <cfRule type="cellIs" dxfId="1286" priority="913" operator="equal">
      <formula>"Extremo"</formula>
    </cfRule>
    <cfRule type="cellIs" dxfId="1285" priority="914" operator="equal">
      <formula>"Alto"</formula>
    </cfRule>
    <cfRule type="cellIs" dxfId="1284" priority="915" operator="equal">
      <formula>"Moderado"</formula>
    </cfRule>
    <cfRule type="cellIs" dxfId="1283" priority="916" operator="equal">
      <formula>"Bajo"</formula>
    </cfRule>
  </conditionalFormatting>
  <conditionalFormatting sqref="N175:N180">
    <cfRule type="containsText" dxfId="1282" priority="912" operator="containsText" text="❌">
      <formula>NOT(ISERROR(SEARCH("❌",N175)))</formula>
    </cfRule>
  </conditionalFormatting>
  <conditionalFormatting sqref="B169">
    <cfRule type="cellIs" dxfId="1281" priority="847" operator="equal">
      <formula>#REF!</formula>
    </cfRule>
    <cfRule type="cellIs" dxfId="1280" priority="848" operator="equal">
      <formula>#REF!</formula>
    </cfRule>
    <cfRule type="cellIs" dxfId="1279" priority="849" operator="equal">
      <formula>#REF!</formula>
    </cfRule>
    <cfRule type="cellIs" dxfId="1278" priority="850" operator="equal">
      <formula>#REF!</formula>
    </cfRule>
    <cfRule type="cellIs" dxfId="1277" priority="851" operator="equal">
      <formula>#REF!</formula>
    </cfRule>
    <cfRule type="cellIs" dxfId="1276" priority="852" operator="equal">
      <formula>#REF!</formula>
    </cfRule>
    <cfRule type="cellIs" dxfId="1275" priority="853" operator="equal">
      <formula>#REF!</formula>
    </cfRule>
    <cfRule type="cellIs" dxfId="1274" priority="854" operator="equal">
      <formula>#REF!</formula>
    </cfRule>
    <cfRule type="cellIs" dxfId="1273" priority="855" operator="equal">
      <formula>#REF!</formula>
    </cfRule>
    <cfRule type="cellIs" dxfId="1272" priority="856" operator="equal">
      <formula>#REF!</formula>
    </cfRule>
    <cfRule type="cellIs" dxfId="1271" priority="857" operator="equal">
      <formula>#REF!</formula>
    </cfRule>
    <cfRule type="cellIs" dxfId="1270" priority="858" operator="equal">
      <formula>#REF!</formula>
    </cfRule>
    <cfRule type="cellIs" dxfId="1269" priority="859" operator="equal">
      <formula>#REF!</formula>
    </cfRule>
    <cfRule type="cellIs" dxfId="1268" priority="860" operator="equal">
      <formula>#REF!</formula>
    </cfRule>
    <cfRule type="cellIs" dxfId="1267" priority="861" operator="equal">
      <formula>#REF!</formula>
    </cfRule>
    <cfRule type="cellIs" dxfId="1266" priority="862" operator="equal">
      <formula>#REF!</formula>
    </cfRule>
    <cfRule type="cellIs" dxfId="1265" priority="863" operator="equal">
      <formula>#REF!</formula>
    </cfRule>
    <cfRule type="cellIs" dxfId="1264" priority="864" operator="equal">
      <formula>#REF!</formula>
    </cfRule>
  </conditionalFormatting>
  <conditionalFormatting sqref="K169">
    <cfRule type="cellIs" dxfId="1263" priority="889" operator="equal">
      <formula>"Muy Alta"</formula>
    </cfRule>
    <cfRule type="cellIs" dxfId="1262" priority="890" operator="equal">
      <formula>"Alta"</formula>
    </cfRule>
    <cfRule type="cellIs" dxfId="1261" priority="891" operator="equal">
      <formula>"Media"</formula>
    </cfRule>
    <cfRule type="cellIs" dxfId="1260" priority="892" operator="equal">
      <formula>"Baja"</formula>
    </cfRule>
    <cfRule type="cellIs" dxfId="1259" priority="893" operator="equal">
      <formula>"Muy Baja"</formula>
    </cfRule>
  </conditionalFormatting>
  <conditionalFormatting sqref="O169">
    <cfRule type="cellIs" dxfId="1258" priority="884" operator="equal">
      <formula>"Catastrófico"</formula>
    </cfRule>
    <cfRule type="cellIs" dxfId="1257" priority="885" operator="equal">
      <formula>"Mayor"</formula>
    </cfRule>
    <cfRule type="cellIs" dxfId="1256" priority="886" operator="equal">
      <formula>"Moderado"</formula>
    </cfRule>
    <cfRule type="cellIs" dxfId="1255" priority="887" operator="equal">
      <formula>"Menor"</formula>
    </cfRule>
    <cfRule type="cellIs" dxfId="1254" priority="888" operator="equal">
      <formula>"Leve"</formula>
    </cfRule>
  </conditionalFormatting>
  <conditionalFormatting sqref="Q169">
    <cfRule type="cellIs" dxfId="1253" priority="880" operator="equal">
      <formula>"Extremo"</formula>
    </cfRule>
    <cfRule type="cellIs" dxfId="1252" priority="881" operator="equal">
      <formula>"Alto"</formula>
    </cfRule>
    <cfRule type="cellIs" dxfId="1251" priority="882" operator="equal">
      <formula>"Moderado"</formula>
    </cfRule>
    <cfRule type="cellIs" dxfId="1250" priority="883" operator="equal">
      <formula>"Bajo"</formula>
    </cfRule>
  </conditionalFormatting>
  <conditionalFormatting sqref="AC169:AC174">
    <cfRule type="cellIs" dxfId="1249" priority="875" operator="equal">
      <formula>"Muy Alta"</formula>
    </cfRule>
    <cfRule type="cellIs" dxfId="1248" priority="876" operator="equal">
      <formula>"Alta"</formula>
    </cfRule>
    <cfRule type="cellIs" dxfId="1247" priority="877" operator="equal">
      <formula>"Media"</formula>
    </cfRule>
    <cfRule type="cellIs" dxfId="1246" priority="878" operator="equal">
      <formula>"Baja"</formula>
    </cfRule>
    <cfRule type="cellIs" dxfId="1245" priority="879" operator="equal">
      <formula>"Muy Baja"</formula>
    </cfRule>
  </conditionalFormatting>
  <conditionalFormatting sqref="AE169:AE174">
    <cfRule type="cellIs" dxfId="1244" priority="870" operator="equal">
      <formula>"Catastrófico"</formula>
    </cfRule>
    <cfRule type="cellIs" dxfId="1243" priority="871" operator="equal">
      <formula>"Mayor"</formula>
    </cfRule>
    <cfRule type="cellIs" dxfId="1242" priority="872" operator="equal">
      <formula>"Moderado"</formula>
    </cfRule>
    <cfRule type="cellIs" dxfId="1241" priority="873" operator="equal">
      <formula>"Menor"</formula>
    </cfRule>
    <cfRule type="cellIs" dxfId="1240" priority="874" operator="equal">
      <formula>"Leve"</formula>
    </cfRule>
  </conditionalFormatting>
  <conditionalFormatting sqref="AG169:AG174">
    <cfRule type="cellIs" dxfId="1239" priority="866" operator="equal">
      <formula>"Extremo"</formula>
    </cfRule>
    <cfRule type="cellIs" dxfId="1238" priority="867" operator="equal">
      <formula>"Alto"</formula>
    </cfRule>
    <cfRule type="cellIs" dxfId="1237" priority="868" operator="equal">
      <formula>"Moderado"</formula>
    </cfRule>
    <cfRule type="cellIs" dxfId="1236" priority="869" operator="equal">
      <formula>"Bajo"</formula>
    </cfRule>
  </conditionalFormatting>
  <conditionalFormatting sqref="N169:N174">
    <cfRule type="containsText" dxfId="1235" priority="865" operator="containsText" text="❌">
      <formula>NOT(ISERROR(SEARCH("❌",N169)))</formula>
    </cfRule>
  </conditionalFormatting>
  <conditionalFormatting sqref="B205">
    <cfRule type="cellIs" dxfId="1234" priority="800" operator="equal">
      <formula>#REF!</formula>
    </cfRule>
    <cfRule type="cellIs" dxfId="1233" priority="801" operator="equal">
      <formula>#REF!</formula>
    </cfRule>
    <cfRule type="cellIs" dxfId="1232" priority="802" operator="equal">
      <formula>#REF!</formula>
    </cfRule>
    <cfRule type="cellIs" dxfId="1231" priority="803" operator="equal">
      <formula>#REF!</formula>
    </cfRule>
    <cfRule type="cellIs" dxfId="1230" priority="804" operator="equal">
      <formula>#REF!</formula>
    </cfRule>
    <cfRule type="cellIs" dxfId="1229" priority="805" operator="equal">
      <formula>#REF!</formula>
    </cfRule>
    <cfRule type="cellIs" dxfId="1228" priority="806" operator="equal">
      <formula>#REF!</formula>
    </cfRule>
    <cfRule type="cellIs" dxfId="1227" priority="807" operator="equal">
      <formula>#REF!</formula>
    </cfRule>
    <cfRule type="cellIs" dxfId="1226" priority="808" operator="equal">
      <formula>#REF!</formula>
    </cfRule>
    <cfRule type="cellIs" dxfId="1225" priority="809" operator="equal">
      <formula>#REF!</formula>
    </cfRule>
    <cfRule type="cellIs" dxfId="1224" priority="810" operator="equal">
      <formula>#REF!</formula>
    </cfRule>
    <cfRule type="cellIs" dxfId="1223" priority="811" operator="equal">
      <formula>#REF!</formula>
    </cfRule>
    <cfRule type="cellIs" dxfId="1222" priority="812" operator="equal">
      <formula>#REF!</formula>
    </cfRule>
    <cfRule type="cellIs" dxfId="1221" priority="813" operator="equal">
      <formula>#REF!</formula>
    </cfRule>
    <cfRule type="cellIs" dxfId="1220" priority="814" operator="equal">
      <formula>#REF!</formula>
    </cfRule>
    <cfRule type="cellIs" dxfId="1219" priority="815" operator="equal">
      <formula>#REF!</formula>
    </cfRule>
    <cfRule type="cellIs" dxfId="1218" priority="816" operator="equal">
      <formula>#REF!</formula>
    </cfRule>
    <cfRule type="cellIs" dxfId="1217" priority="817" operator="equal">
      <formula>#REF!</formula>
    </cfRule>
  </conditionalFormatting>
  <conditionalFormatting sqref="K205">
    <cfRule type="cellIs" dxfId="1216" priority="842" operator="equal">
      <formula>"Muy Alta"</formula>
    </cfRule>
    <cfRule type="cellIs" dxfId="1215" priority="843" operator="equal">
      <formula>"Alta"</formula>
    </cfRule>
    <cfRule type="cellIs" dxfId="1214" priority="844" operator="equal">
      <formula>"Media"</formula>
    </cfRule>
    <cfRule type="cellIs" dxfId="1213" priority="845" operator="equal">
      <formula>"Baja"</formula>
    </cfRule>
    <cfRule type="cellIs" dxfId="1212" priority="846" operator="equal">
      <formula>"Muy Baja"</formula>
    </cfRule>
  </conditionalFormatting>
  <conditionalFormatting sqref="O205">
    <cfRule type="cellIs" dxfId="1211" priority="837" operator="equal">
      <formula>"Catastrófico"</formula>
    </cfRule>
    <cfRule type="cellIs" dxfId="1210" priority="838" operator="equal">
      <formula>"Mayor"</formula>
    </cfRule>
    <cfRule type="cellIs" dxfId="1209" priority="839" operator="equal">
      <formula>"Moderado"</formula>
    </cfRule>
    <cfRule type="cellIs" dxfId="1208" priority="840" operator="equal">
      <formula>"Menor"</formula>
    </cfRule>
    <cfRule type="cellIs" dxfId="1207" priority="841" operator="equal">
      <formula>"Leve"</formula>
    </cfRule>
  </conditionalFormatting>
  <conditionalFormatting sqref="Q205">
    <cfRule type="cellIs" dxfId="1206" priority="833" operator="equal">
      <formula>"Extremo"</formula>
    </cfRule>
    <cfRule type="cellIs" dxfId="1205" priority="834" operator="equal">
      <formula>"Alto"</formula>
    </cfRule>
    <cfRule type="cellIs" dxfId="1204" priority="835" operator="equal">
      <formula>"Moderado"</formula>
    </cfRule>
    <cfRule type="cellIs" dxfId="1203" priority="836" operator="equal">
      <formula>"Bajo"</formula>
    </cfRule>
  </conditionalFormatting>
  <conditionalFormatting sqref="AC205:AC210">
    <cfRule type="cellIs" dxfId="1202" priority="828" operator="equal">
      <formula>"Muy Alta"</formula>
    </cfRule>
    <cfRule type="cellIs" dxfId="1201" priority="829" operator="equal">
      <formula>"Alta"</formula>
    </cfRule>
    <cfRule type="cellIs" dxfId="1200" priority="830" operator="equal">
      <formula>"Media"</formula>
    </cfRule>
    <cfRule type="cellIs" dxfId="1199" priority="831" operator="equal">
      <formula>"Baja"</formula>
    </cfRule>
    <cfRule type="cellIs" dxfId="1198" priority="832" operator="equal">
      <formula>"Muy Baja"</formula>
    </cfRule>
  </conditionalFormatting>
  <conditionalFormatting sqref="AE205:AE210">
    <cfRule type="cellIs" dxfId="1197" priority="823" operator="equal">
      <formula>"Catastrófico"</formula>
    </cfRule>
    <cfRule type="cellIs" dxfId="1196" priority="824" operator="equal">
      <formula>"Mayor"</formula>
    </cfRule>
    <cfRule type="cellIs" dxfId="1195" priority="825" operator="equal">
      <formula>"Moderado"</formula>
    </cfRule>
    <cfRule type="cellIs" dxfId="1194" priority="826" operator="equal">
      <formula>"Menor"</formula>
    </cfRule>
    <cfRule type="cellIs" dxfId="1193" priority="827" operator="equal">
      <formula>"Leve"</formula>
    </cfRule>
  </conditionalFormatting>
  <conditionalFormatting sqref="AG205:AG210">
    <cfRule type="cellIs" dxfId="1192" priority="819" operator="equal">
      <formula>"Extremo"</formula>
    </cfRule>
    <cfRule type="cellIs" dxfId="1191" priority="820" operator="equal">
      <formula>"Alto"</formula>
    </cfRule>
    <cfRule type="cellIs" dxfId="1190" priority="821" operator="equal">
      <formula>"Moderado"</formula>
    </cfRule>
    <cfRule type="cellIs" dxfId="1189" priority="822" operator="equal">
      <formula>"Bajo"</formula>
    </cfRule>
  </conditionalFormatting>
  <conditionalFormatting sqref="N205:N210">
    <cfRule type="containsText" dxfId="1188" priority="818" operator="containsText" text="❌">
      <formula>NOT(ISERROR(SEARCH("❌",N205)))</formula>
    </cfRule>
  </conditionalFormatting>
  <conditionalFormatting sqref="B199">
    <cfRule type="cellIs" dxfId="1187" priority="753" operator="equal">
      <formula>#REF!</formula>
    </cfRule>
    <cfRule type="cellIs" dxfId="1186" priority="754" operator="equal">
      <formula>#REF!</formula>
    </cfRule>
    <cfRule type="cellIs" dxfId="1185" priority="755" operator="equal">
      <formula>#REF!</formula>
    </cfRule>
    <cfRule type="cellIs" dxfId="1184" priority="756" operator="equal">
      <formula>#REF!</formula>
    </cfRule>
    <cfRule type="cellIs" dxfId="1183" priority="757" operator="equal">
      <formula>#REF!</formula>
    </cfRule>
    <cfRule type="cellIs" dxfId="1182" priority="758" operator="equal">
      <formula>#REF!</formula>
    </cfRule>
    <cfRule type="cellIs" dxfId="1181" priority="759" operator="equal">
      <formula>#REF!</formula>
    </cfRule>
    <cfRule type="cellIs" dxfId="1180" priority="760" operator="equal">
      <formula>#REF!</formula>
    </cfRule>
    <cfRule type="cellIs" dxfId="1179" priority="761" operator="equal">
      <formula>#REF!</formula>
    </cfRule>
    <cfRule type="cellIs" dxfId="1178" priority="762" operator="equal">
      <formula>#REF!</formula>
    </cfRule>
    <cfRule type="cellIs" dxfId="1177" priority="763" operator="equal">
      <formula>#REF!</formula>
    </cfRule>
    <cfRule type="cellIs" dxfId="1176" priority="764" operator="equal">
      <formula>#REF!</formula>
    </cfRule>
    <cfRule type="cellIs" dxfId="1175" priority="765" operator="equal">
      <formula>#REF!</formula>
    </cfRule>
    <cfRule type="cellIs" dxfId="1174" priority="766" operator="equal">
      <formula>#REF!</formula>
    </cfRule>
    <cfRule type="cellIs" dxfId="1173" priority="767" operator="equal">
      <formula>#REF!</formula>
    </cfRule>
    <cfRule type="cellIs" dxfId="1172" priority="768" operator="equal">
      <formula>#REF!</formula>
    </cfRule>
    <cfRule type="cellIs" dxfId="1171" priority="769" operator="equal">
      <formula>#REF!</formula>
    </cfRule>
    <cfRule type="cellIs" dxfId="1170" priority="770" operator="equal">
      <formula>#REF!</formula>
    </cfRule>
  </conditionalFormatting>
  <conditionalFormatting sqref="K199">
    <cfRule type="cellIs" dxfId="1169" priority="795" operator="equal">
      <formula>"Muy Alta"</formula>
    </cfRule>
    <cfRule type="cellIs" dxfId="1168" priority="796" operator="equal">
      <formula>"Alta"</formula>
    </cfRule>
    <cfRule type="cellIs" dxfId="1167" priority="797" operator="equal">
      <formula>"Media"</formula>
    </cfRule>
    <cfRule type="cellIs" dxfId="1166" priority="798" operator="equal">
      <formula>"Baja"</formula>
    </cfRule>
    <cfRule type="cellIs" dxfId="1165" priority="799" operator="equal">
      <formula>"Muy Baja"</formula>
    </cfRule>
  </conditionalFormatting>
  <conditionalFormatting sqref="O199">
    <cfRule type="cellIs" dxfId="1164" priority="790" operator="equal">
      <formula>"Catastrófico"</formula>
    </cfRule>
    <cfRule type="cellIs" dxfId="1163" priority="791" operator="equal">
      <formula>"Mayor"</formula>
    </cfRule>
    <cfRule type="cellIs" dxfId="1162" priority="792" operator="equal">
      <formula>"Moderado"</formula>
    </cfRule>
    <cfRule type="cellIs" dxfId="1161" priority="793" operator="equal">
      <formula>"Menor"</formula>
    </cfRule>
    <cfRule type="cellIs" dxfId="1160" priority="794" operator="equal">
      <formula>"Leve"</formula>
    </cfRule>
  </conditionalFormatting>
  <conditionalFormatting sqref="Q199">
    <cfRule type="cellIs" dxfId="1159" priority="786" operator="equal">
      <formula>"Extremo"</formula>
    </cfRule>
    <cfRule type="cellIs" dxfId="1158" priority="787" operator="equal">
      <formula>"Alto"</formula>
    </cfRule>
    <cfRule type="cellIs" dxfId="1157" priority="788" operator="equal">
      <formula>"Moderado"</formula>
    </cfRule>
    <cfRule type="cellIs" dxfId="1156" priority="789" operator="equal">
      <formula>"Bajo"</formula>
    </cfRule>
  </conditionalFormatting>
  <conditionalFormatting sqref="AC199:AC204">
    <cfRule type="cellIs" dxfId="1155" priority="781" operator="equal">
      <formula>"Muy Alta"</formula>
    </cfRule>
    <cfRule type="cellIs" dxfId="1154" priority="782" operator="equal">
      <formula>"Alta"</formula>
    </cfRule>
    <cfRule type="cellIs" dxfId="1153" priority="783" operator="equal">
      <formula>"Media"</formula>
    </cfRule>
    <cfRule type="cellIs" dxfId="1152" priority="784" operator="equal">
      <formula>"Baja"</formula>
    </cfRule>
    <cfRule type="cellIs" dxfId="1151" priority="785" operator="equal">
      <formula>"Muy Baja"</formula>
    </cfRule>
  </conditionalFormatting>
  <conditionalFormatting sqref="AE199:AE204">
    <cfRule type="cellIs" dxfId="1150" priority="776" operator="equal">
      <formula>"Catastrófico"</formula>
    </cfRule>
    <cfRule type="cellIs" dxfId="1149" priority="777" operator="equal">
      <formula>"Mayor"</formula>
    </cfRule>
    <cfRule type="cellIs" dxfId="1148" priority="778" operator="equal">
      <formula>"Moderado"</formula>
    </cfRule>
    <cfRule type="cellIs" dxfId="1147" priority="779" operator="equal">
      <formula>"Menor"</formula>
    </cfRule>
    <cfRule type="cellIs" dxfId="1146" priority="780" operator="equal">
      <formula>"Leve"</formula>
    </cfRule>
  </conditionalFormatting>
  <conditionalFormatting sqref="AG199:AG204">
    <cfRule type="cellIs" dxfId="1145" priority="772" operator="equal">
      <formula>"Extremo"</formula>
    </cfRule>
    <cfRule type="cellIs" dxfId="1144" priority="773" operator="equal">
      <formula>"Alto"</formula>
    </cfRule>
    <cfRule type="cellIs" dxfId="1143" priority="774" operator="equal">
      <formula>"Moderado"</formula>
    </cfRule>
    <cfRule type="cellIs" dxfId="1142" priority="775" operator="equal">
      <formula>"Bajo"</formula>
    </cfRule>
  </conditionalFormatting>
  <conditionalFormatting sqref="N199:N204">
    <cfRule type="containsText" dxfId="1141" priority="771" operator="containsText" text="❌">
      <formula>NOT(ISERROR(SEARCH("❌",N199)))</formula>
    </cfRule>
  </conditionalFormatting>
  <conditionalFormatting sqref="B193">
    <cfRule type="cellIs" dxfId="1140" priority="706" operator="equal">
      <formula>#REF!</formula>
    </cfRule>
    <cfRule type="cellIs" dxfId="1139" priority="707" operator="equal">
      <formula>#REF!</formula>
    </cfRule>
    <cfRule type="cellIs" dxfId="1138" priority="708" operator="equal">
      <formula>#REF!</formula>
    </cfRule>
    <cfRule type="cellIs" dxfId="1137" priority="709" operator="equal">
      <formula>#REF!</formula>
    </cfRule>
    <cfRule type="cellIs" dxfId="1136" priority="710" operator="equal">
      <formula>#REF!</formula>
    </cfRule>
    <cfRule type="cellIs" dxfId="1135" priority="711" operator="equal">
      <formula>#REF!</formula>
    </cfRule>
    <cfRule type="cellIs" dxfId="1134" priority="712" operator="equal">
      <formula>#REF!</formula>
    </cfRule>
    <cfRule type="cellIs" dxfId="1133" priority="713" operator="equal">
      <formula>#REF!</formula>
    </cfRule>
    <cfRule type="cellIs" dxfId="1132" priority="714" operator="equal">
      <formula>#REF!</formula>
    </cfRule>
    <cfRule type="cellIs" dxfId="1131" priority="715" operator="equal">
      <formula>#REF!</formula>
    </cfRule>
    <cfRule type="cellIs" dxfId="1130" priority="716" operator="equal">
      <formula>#REF!</formula>
    </cfRule>
    <cfRule type="cellIs" dxfId="1129" priority="717" operator="equal">
      <formula>#REF!</formula>
    </cfRule>
    <cfRule type="cellIs" dxfId="1128" priority="718" operator="equal">
      <formula>#REF!</formula>
    </cfRule>
    <cfRule type="cellIs" dxfId="1127" priority="719" operator="equal">
      <formula>#REF!</formula>
    </cfRule>
    <cfRule type="cellIs" dxfId="1126" priority="720" operator="equal">
      <formula>#REF!</formula>
    </cfRule>
    <cfRule type="cellIs" dxfId="1125" priority="721" operator="equal">
      <formula>#REF!</formula>
    </cfRule>
    <cfRule type="cellIs" dxfId="1124" priority="722" operator="equal">
      <formula>#REF!</formula>
    </cfRule>
    <cfRule type="cellIs" dxfId="1123" priority="723" operator="equal">
      <formula>#REF!</formula>
    </cfRule>
  </conditionalFormatting>
  <conditionalFormatting sqref="K193">
    <cfRule type="cellIs" dxfId="1122" priority="748" operator="equal">
      <formula>"Muy Alta"</formula>
    </cfRule>
    <cfRule type="cellIs" dxfId="1121" priority="749" operator="equal">
      <formula>"Alta"</formula>
    </cfRule>
    <cfRule type="cellIs" dxfId="1120" priority="750" operator="equal">
      <formula>"Media"</formula>
    </cfRule>
    <cfRule type="cellIs" dxfId="1119" priority="751" operator="equal">
      <formula>"Baja"</formula>
    </cfRule>
    <cfRule type="cellIs" dxfId="1118" priority="752" operator="equal">
      <formula>"Muy Baja"</formula>
    </cfRule>
  </conditionalFormatting>
  <conditionalFormatting sqref="O193">
    <cfRule type="cellIs" dxfId="1117" priority="743" operator="equal">
      <formula>"Catastrófico"</formula>
    </cfRule>
    <cfRule type="cellIs" dxfId="1116" priority="744" operator="equal">
      <formula>"Mayor"</formula>
    </cfRule>
    <cfRule type="cellIs" dxfId="1115" priority="745" operator="equal">
      <formula>"Moderado"</formula>
    </cfRule>
    <cfRule type="cellIs" dxfId="1114" priority="746" operator="equal">
      <formula>"Menor"</formula>
    </cfRule>
    <cfRule type="cellIs" dxfId="1113" priority="747" operator="equal">
      <formula>"Leve"</formula>
    </cfRule>
  </conditionalFormatting>
  <conditionalFormatting sqref="Q193">
    <cfRule type="cellIs" dxfId="1112" priority="739" operator="equal">
      <formula>"Extremo"</formula>
    </cfRule>
    <cfRule type="cellIs" dxfId="1111" priority="740" operator="equal">
      <formula>"Alto"</formula>
    </cfRule>
    <cfRule type="cellIs" dxfId="1110" priority="741" operator="equal">
      <formula>"Moderado"</formula>
    </cfRule>
    <cfRule type="cellIs" dxfId="1109" priority="742" operator="equal">
      <formula>"Bajo"</formula>
    </cfRule>
  </conditionalFormatting>
  <conditionalFormatting sqref="AC193:AC198">
    <cfRule type="cellIs" dxfId="1108" priority="734" operator="equal">
      <formula>"Muy Alta"</formula>
    </cfRule>
    <cfRule type="cellIs" dxfId="1107" priority="735" operator="equal">
      <formula>"Alta"</formula>
    </cfRule>
    <cfRule type="cellIs" dxfId="1106" priority="736" operator="equal">
      <formula>"Media"</formula>
    </cfRule>
    <cfRule type="cellIs" dxfId="1105" priority="737" operator="equal">
      <formula>"Baja"</formula>
    </cfRule>
    <cfRule type="cellIs" dxfId="1104" priority="738" operator="equal">
      <formula>"Muy Baja"</formula>
    </cfRule>
  </conditionalFormatting>
  <conditionalFormatting sqref="AE193:AE198">
    <cfRule type="cellIs" dxfId="1103" priority="729" operator="equal">
      <formula>"Catastrófico"</formula>
    </cfRule>
    <cfRule type="cellIs" dxfId="1102" priority="730" operator="equal">
      <formula>"Mayor"</formula>
    </cfRule>
    <cfRule type="cellIs" dxfId="1101" priority="731" operator="equal">
      <formula>"Moderado"</formula>
    </cfRule>
    <cfRule type="cellIs" dxfId="1100" priority="732" operator="equal">
      <formula>"Menor"</formula>
    </cfRule>
    <cfRule type="cellIs" dxfId="1099" priority="733" operator="equal">
      <formula>"Leve"</formula>
    </cfRule>
  </conditionalFormatting>
  <conditionalFormatting sqref="AG193:AG198">
    <cfRule type="cellIs" dxfId="1098" priority="725" operator="equal">
      <formula>"Extremo"</formula>
    </cfRule>
    <cfRule type="cellIs" dxfId="1097" priority="726" operator="equal">
      <formula>"Alto"</formula>
    </cfRule>
    <cfRule type="cellIs" dxfId="1096" priority="727" operator="equal">
      <formula>"Moderado"</formula>
    </cfRule>
    <cfRule type="cellIs" dxfId="1095" priority="728" operator="equal">
      <formula>"Bajo"</formula>
    </cfRule>
  </conditionalFormatting>
  <conditionalFormatting sqref="N193:N198">
    <cfRule type="containsText" dxfId="1094" priority="724" operator="containsText" text="❌">
      <formula>NOT(ISERROR(SEARCH("❌",N193)))</formula>
    </cfRule>
  </conditionalFormatting>
  <conditionalFormatting sqref="B211">
    <cfRule type="cellIs" dxfId="1093" priority="612" operator="equal">
      <formula>#REF!</formula>
    </cfRule>
    <cfRule type="cellIs" dxfId="1092" priority="613" operator="equal">
      <formula>#REF!</formula>
    </cfRule>
    <cfRule type="cellIs" dxfId="1091" priority="614" operator="equal">
      <formula>#REF!</formula>
    </cfRule>
    <cfRule type="cellIs" dxfId="1090" priority="615" operator="equal">
      <formula>#REF!</formula>
    </cfRule>
    <cfRule type="cellIs" dxfId="1089" priority="616" operator="equal">
      <formula>#REF!</formula>
    </cfRule>
    <cfRule type="cellIs" dxfId="1088" priority="617" operator="equal">
      <formula>#REF!</formula>
    </cfRule>
    <cfRule type="cellIs" dxfId="1087" priority="618" operator="equal">
      <formula>#REF!</formula>
    </cfRule>
    <cfRule type="cellIs" dxfId="1086" priority="619" operator="equal">
      <formula>#REF!</formula>
    </cfRule>
    <cfRule type="cellIs" dxfId="1085" priority="620" operator="equal">
      <formula>#REF!</formula>
    </cfRule>
    <cfRule type="cellIs" dxfId="1084" priority="621" operator="equal">
      <formula>#REF!</formula>
    </cfRule>
    <cfRule type="cellIs" dxfId="1083" priority="622" operator="equal">
      <formula>#REF!</formula>
    </cfRule>
    <cfRule type="cellIs" dxfId="1082" priority="623" operator="equal">
      <formula>#REF!</formula>
    </cfRule>
    <cfRule type="cellIs" dxfId="1081" priority="624" operator="equal">
      <formula>#REF!</formula>
    </cfRule>
    <cfRule type="cellIs" dxfId="1080" priority="625" operator="equal">
      <formula>#REF!</formula>
    </cfRule>
    <cfRule type="cellIs" dxfId="1079" priority="626" operator="equal">
      <formula>#REF!</formula>
    </cfRule>
    <cfRule type="cellIs" dxfId="1078" priority="627" operator="equal">
      <formula>#REF!</formula>
    </cfRule>
    <cfRule type="cellIs" dxfId="1077" priority="628" operator="equal">
      <formula>#REF!</formula>
    </cfRule>
    <cfRule type="cellIs" dxfId="1076" priority="629" operator="equal">
      <formula>#REF!</formula>
    </cfRule>
  </conditionalFormatting>
  <conditionalFormatting sqref="K211">
    <cfRule type="cellIs" dxfId="1075" priority="654" operator="equal">
      <formula>"Muy Alta"</formula>
    </cfRule>
    <cfRule type="cellIs" dxfId="1074" priority="655" operator="equal">
      <formula>"Alta"</formula>
    </cfRule>
    <cfRule type="cellIs" dxfId="1073" priority="656" operator="equal">
      <formula>"Media"</formula>
    </cfRule>
    <cfRule type="cellIs" dxfId="1072" priority="657" operator="equal">
      <formula>"Baja"</formula>
    </cfRule>
    <cfRule type="cellIs" dxfId="1071" priority="658" operator="equal">
      <formula>"Muy Baja"</formula>
    </cfRule>
  </conditionalFormatting>
  <conditionalFormatting sqref="O211">
    <cfRule type="cellIs" dxfId="1070" priority="649" operator="equal">
      <formula>"Catastrófico"</formula>
    </cfRule>
    <cfRule type="cellIs" dxfId="1069" priority="650" operator="equal">
      <formula>"Mayor"</formula>
    </cfRule>
    <cfRule type="cellIs" dxfId="1068" priority="651" operator="equal">
      <formula>"Moderado"</formula>
    </cfRule>
    <cfRule type="cellIs" dxfId="1067" priority="652" operator="equal">
      <formula>"Menor"</formula>
    </cfRule>
    <cfRule type="cellIs" dxfId="1066" priority="653" operator="equal">
      <formula>"Leve"</formula>
    </cfRule>
  </conditionalFormatting>
  <conditionalFormatting sqref="Q211">
    <cfRule type="cellIs" dxfId="1065" priority="645" operator="equal">
      <formula>"Extremo"</formula>
    </cfRule>
    <cfRule type="cellIs" dxfId="1064" priority="646" operator="equal">
      <formula>"Alto"</formula>
    </cfRule>
    <cfRule type="cellIs" dxfId="1063" priority="647" operator="equal">
      <formula>"Moderado"</formula>
    </cfRule>
    <cfRule type="cellIs" dxfId="1062" priority="648" operator="equal">
      <formula>"Bajo"</formula>
    </cfRule>
  </conditionalFormatting>
  <conditionalFormatting sqref="AC211:AC216">
    <cfRule type="cellIs" dxfId="1061" priority="640" operator="equal">
      <formula>"Muy Alta"</formula>
    </cfRule>
    <cfRule type="cellIs" dxfId="1060" priority="641" operator="equal">
      <formula>"Alta"</formula>
    </cfRule>
    <cfRule type="cellIs" dxfId="1059" priority="642" operator="equal">
      <formula>"Media"</formula>
    </cfRule>
    <cfRule type="cellIs" dxfId="1058" priority="643" operator="equal">
      <formula>"Baja"</formula>
    </cfRule>
    <cfRule type="cellIs" dxfId="1057" priority="644" operator="equal">
      <formula>"Muy Baja"</formula>
    </cfRule>
  </conditionalFormatting>
  <conditionalFormatting sqref="AE211:AE216">
    <cfRule type="cellIs" dxfId="1056" priority="635" operator="equal">
      <formula>"Catastrófico"</formula>
    </cfRule>
    <cfRule type="cellIs" dxfId="1055" priority="636" operator="equal">
      <formula>"Mayor"</formula>
    </cfRule>
    <cfRule type="cellIs" dxfId="1054" priority="637" operator="equal">
      <formula>"Moderado"</formula>
    </cfRule>
    <cfRule type="cellIs" dxfId="1053" priority="638" operator="equal">
      <formula>"Menor"</formula>
    </cfRule>
    <cfRule type="cellIs" dxfId="1052" priority="639" operator="equal">
      <formula>"Leve"</formula>
    </cfRule>
  </conditionalFormatting>
  <conditionalFormatting sqref="AG211:AG216">
    <cfRule type="cellIs" dxfId="1051" priority="631" operator="equal">
      <formula>"Extremo"</formula>
    </cfRule>
    <cfRule type="cellIs" dxfId="1050" priority="632" operator="equal">
      <formula>"Alto"</formula>
    </cfRule>
    <cfRule type="cellIs" dxfId="1049" priority="633" operator="equal">
      <formula>"Moderado"</formula>
    </cfRule>
    <cfRule type="cellIs" dxfId="1048" priority="634" operator="equal">
      <formula>"Bajo"</formula>
    </cfRule>
  </conditionalFormatting>
  <conditionalFormatting sqref="N211:N216">
    <cfRule type="containsText" dxfId="1047" priority="630" operator="containsText" text="❌">
      <formula>NOT(ISERROR(SEARCH("❌",N211)))</formula>
    </cfRule>
  </conditionalFormatting>
  <conditionalFormatting sqref="B223">
    <cfRule type="cellIs" dxfId="1046" priority="565" operator="equal">
      <formula>#REF!</formula>
    </cfRule>
    <cfRule type="cellIs" dxfId="1045" priority="566" operator="equal">
      <formula>#REF!</formula>
    </cfRule>
    <cfRule type="cellIs" dxfId="1044" priority="567" operator="equal">
      <formula>#REF!</formula>
    </cfRule>
    <cfRule type="cellIs" dxfId="1043" priority="568" operator="equal">
      <formula>#REF!</formula>
    </cfRule>
    <cfRule type="cellIs" dxfId="1042" priority="569" operator="equal">
      <formula>#REF!</formula>
    </cfRule>
    <cfRule type="cellIs" dxfId="1041" priority="570" operator="equal">
      <formula>#REF!</formula>
    </cfRule>
    <cfRule type="cellIs" dxfId="1040" priority="571" operator="equal">
      <formula>#REF!</formula>
    </cfRule>
    <cfRule type="cellIs" dxfId="1039" priority="572" operator="equal">
      <formula>#REF!</formula>
    </cfRule>
    <cfRule type="cellIs" dxfId="1038" priority="573" operator="equal">
      <formula>#REF!</formula>
    </cfRule>
    <cfRule type="cellIs" dxfId="1037" priority="574" operator="equal">
      <formula>#REF!</formula>
    </cfRule>
    <cfRule type="cellIs" dxfId="1036" priority="575" operator="equal">
      <formula>#REF!</formula>
    </cfRule>
    <cfRule type="cellIs" dxfId="1035" priority="576" operator="equal">
      <formula>#REF!</formula>
    </cfRule>
    <cfRule type="cellIs" dxfId="1034" priority="577" operator="equal">
      <formula>#REF!</formula>
    </cfRule>
    <cfRule type="cellIs" dxfId="1033" priority="578" operator="equal">
      <formula>#REF!</formula>
    </cfRule>
    <cfRule type="cellIs" dxfId="1032" priority="579" operator="equal">
      <formula>#REF!</formula>
    </cfRule>
    <cfRule type="cellIs" dxfId="1031" priority="580" operator="equal">
      <formula>#REF!</formula>
    </cfRule>
    <cfRule type="cellIs" dxfId="1030" priority="581" operator="equal">
      <formula>#REF!</formula>
    </cfRule>
    <cfRule type="cellIs" dxfId="1029" priority="582" operator="equal">
      <formula>#REF!</formula>
    </cfRule>
  </conditionalFormatting>
  <conditionalFormatting sqref="K223">
    <cfRule type="cellIs" dxfId="1028" priority="607" operator="equal">
      <formula>"Muy Alta"</formula>
    </cfRule>
    <cfRule type="cellIs" dxfId="1027" priority="608" operator="equal">
      <formula>"Alta"</formula>
    </cfRule>
    <cfRule type="cellIs" dxfId="1026" priority="609" operator="equal">
      <formula>"Media"</formula>
    </cfRule>
    <cfRule type="cellIs" dxfId="1025" priority="610" operator="equal">
      <formula>"Baja"</formula>
    </cfRule>
    <cfRule type="cellIs" dxfId="1024" priority="611" operator="equal">
      <formula>"Muy Baja"</formula>
    </cfRule>
  </conditionalFormatting>
  <conditionalFormatting sqref="O223">
    <cfRule type="cellIs" dxfId="1023" priority="602" operator="equal">
      <formula>"Catastrófico"</formula>
    </cfRule>
    <cfRule type="cellIs" dxfId="1022" priority="603" operator="equal">
      <formula>"Mayor"</formula>
    </cfRule>
    <cfRule type="cellIs" dxfId="1021" priority="604" operator="equal">
      <formula>"Moderado"</formula>
    </cfRule>
    <cfRule type="cellIs" dxfId="1020" priority="605" operator="equal">
      <formula>"Menor"</formula>
    </cfRule>
    <cfRule type="cellIs" dxfId="1019" priority="606" operator="equal">
      <formula>"Leve"</formula>
    </cfRule>
  </conditionalFormatting>
  <conditionalFormatting sqref="Q223">
    <cfRule type="cellIs" dxfId="1018" priority="598" operator="equal">
      <formula>"Extremo"</formula>
    </cfRule>
    <cfRule type="cellIs" dxfId="1017" priority="599" operator="equal">
      <formula>"Alto"</formula>
    </cfRule>
    <cfRule type="cellIs" dxfId="1016" priority="600" operator="equal">
      <formula>"Moderado"</formula>
    </cfRule>
    <cfRule type="cellIs" dxfId="1015" priority="601" operator="equal">
      <formula>"Bajo"</formula>
    </cfRule>
  </conditionalFormatting>
  <conditionalFormatting sqref="AC223:AC228">
    <cfRule type="cellIs" dxfId="1014" priority="593" operator="equal">
      <formula>"Muy Alta"</formula>
    </cfRule>
    <cfRule type="cellIs" dxfId="1013" priority="594" operator="equal">
      <formula>"Alta"</formula>
    </cfRule>
    <cfRule type="cellIs" dxfId="1012" priority="595" operator="equal">
      <formula>"Media"</formula>
    </cfRule>
    <cfRule type="cellIs" dxfId="1011" priority="596" operator="equal">
      <formula>"Baja"</formula>
    </cfRule>
    <cfRule type="cellIs" dxfId="1010" priority="597" operator="equal">
      <formula>"Muy Baja"</formula>
    </cfRule>
  </conditionalFormatting>
  <conditionalFormatting sqref="AE223:AE228">
    <cfRule type="cellIs" dxfId="1009" priority="588" operator="equal">
      <formula>"Catastrófico"</formula>
    </cfRule>
    <cfRule type="cellIs" dxfId="1008" priority="589" operator="equal">
      <formula>"Mayor"</formula>
    </cfRule>
    <cfRule type="cellIs" dxfId="1007" priority="590" operator="equal">
      <formula>"Moderado"</formula>
    </cfRule>
    <cfRule type="cellIs" dxfId="1006" priority="591" operator="equal">
      <formula>"Menor"</formula>
    </cfRule>
    <cfRule type="cellIs" dxfId="1005" priority="592" operator="equal">
      <formula>"Leve"</formula>
    </cfRule>
  </conditionalFormatting>
  <conditionalFormatting sqref="AG223:AG228">
    <cfRule type="cellIs" dxfId="1004" priority="584" operator="equal">
      <formula>"Extremo"</formula>
    </cfRule>
    <cfRule type="cellIs" dxfId="1003" priority="585" operator="equal">
      <formula>"Alto"</formula>
    </cfRule>
    <cfRule type="cellIs" dxfId="1002" priority="586" operator="equal">
      <formula>"Moderado"</formula>
    </cfRule>
    <cfRule type="cellIs" dxfId="1001" priority="587" operator="equal">
      <formula>"Bajo"</formula>
    </cfRule>
  </conditionalFormatting>
  <conditionalFormatting sqref="N223:N228">
    <cfRule type="containsText" dxfId="1000" priority="583" operator="containsText" text="❌">
      <formula>NOT(ISERROR(SEARCH("❌",N223)))</formula>
    </cfRule>
  </conditionalFormatting>
  <conditionalFormatting sqref="B217">
    <cfRule type="cellIs" dxfId="999" priority="518" operator="equal">
      <formula>#REF!</formula>
    </cfRule>
    <cfRule type="cellIs" dxfId="998" priority="519" operator="equal">
      <formula>#REF!</formula>
    </cfRule>
    <cfRule type="cellIs" dxfId="997" priority="520" operator="equal">
      <formula>#REF!</formula>
    </cfRule>
    <cfRule type="cellIs" dxfId="996" priority="521" operator="equal">
      <formula>#REF!</formula>
    </cfRule>
    <cfRule type="cellIs" dxfId="995" priority="522" operator="equal">
      <formula>#REF!</formula>
    </cfRule>
    <cfRule type="cellIs" dxfId="994" priority="523" operator="equal">
      <formula>#REF!</formula>
    </cfRule>
    <cfRule type="cellIs" dxfId="993" priority="524" operator="equal">
      <formula>#REF!</formula>
    </cfRule>
    <cfRule type="cellIs" dxfId="992" priority="525" operator="equal">
      <formula>#REF!</formula>
    </cfRule>
    <cfRule type="cellIs" dxfId="991" priority="526" operator="equal">
      <formula>#REF!</formula>
    </cfRule>
    <cfRule type="cellIs" dxfId="990" priority="527" operator="equal">
      <formula>#REF!</formula>
    </cfRule>
    <cfRule type="cellIs" dxfId="989" priority="528" operator="equal">
      <formula>#REF!</formula>
    </cfRule>
    <cfRule type="cellIs" dxfId="988" priority="529" operator="equal">
      <formula>#REF!</formula>
    </cfRule>
    <cfRule type="cellIs" dxfId="987" priority="530" operator="equal">
      <formula>#REF!</formula>
    </cfRule>
    <cfRule type="cellIs" dxfId="986" priority="531" operator="equal">
      <formula>#REF!</formula>
    </cfRule>
    <cfRule type="cellIs" dxfId="985" priority="532" operator="equal">
      <formula>#REF!</formula>
    </cfRule>
    <cfRule type="cellIs" dxfId="984" priority="533" operator="equal">
      <formula>#REF!</formula>
    </cfRule>
    <cfRule type="cellIs" dxfId="983" priority="534" operator="equal">
      <formula>#REF!</formula>
    </cfRule>
    <cfRule type="cellIs" dxfId="982" priority="535" operator="equal">
      <formula>#REF!</formula>
    </cfRule>
  </conditionalFormatting>
  <conditionalFormatting sqref="K217">
    <cfRule type="cellIs" dxfId="981" priority="560" operator="equal">
      <formula>"Muy Alta"</formula>
    </cfRule>
    <cfRule type="cellIs" dxfId="980" priority="561" operator="equal">
      <formula>"Alta"</formula>
    </cfRule>
    <cfRule type="cellIs" dxfId="979" priority="562" operator="equal">
      <formula>"Media"</formula>
    </cfRule>
    <cfRule type="cellIs" dxfId="978" priority="563" operator="equal">
      <formula>"Baja"</formula>
    </cfRule>
    <cfRule type="cellIs" dxfId="977" priority="564" operator="equal">
      <formula>"Muy Baja"</formula>
    </cfRule>
  </conditionalFormatting>
  <conditionalFormatting sqref="O217">
    <cfRule type="cellIs" dxfId="976" priority="555" operator="equal">
      <formula>"Catastrófico"</formula>
    </cfRule>
    <cfRule type="cellIs" dxfId="975" priority="556" operator="equal">
      <formula>"Mayor"</formula>
    </cfRule>
    <cfRule type="cellIs" dxfId="974" priority="557" operator="equal">
      <formula>"Moderado"</formula>
    </cfRule>
    <cfRule type="cellIs" dxfId="973" priority="558" operator="equal">
      <formula>"Menor"</formula>
    </cfRule>
    <cfRule type="cellIs" dxfId="972" priority="559" operator="equal">
      <formula>"Leve"</formula>
    </cfRule>
  </conditionalFormatting>
  <conditionalFormatting sqref="Q217">
    <cfRule type="cellIs" dxfId="971" priority="551" operator="equal">
      <formula>"Extremo"</formula>
    </cfRule>
    <cfRule type="cellIs" dxfId="970" priority="552" operator="equal">
      <formula>"Alto"</formula>
    </cfRule>
    <cfRule type="cellIs" dxfId="969" priority="553" operator="equal">
      <formula>"Moderado"</formula>
    </cfRule>
    <cfRule type="cellIs" dxfId="968" priority="554" operator="equal">
      <formula>"Bajo"</formula>
    </cfRule>
  </conditionalFormatting>
  <conditionalFormatting sqref="AC217:AC222">
    <cfRule type="cellIs" dxfId="967" priority="546" operator="equal">
      <formula>"Muy Alta"</formula>
    </cfRule>
    <cfRule type="cellIs" dxfId="966" priority="547" operator="equal">
      <formula>"Alta"</formula>
    </cfRule>
    <cfRule type="cellIs" dxfId="965" priority="548" operator="equal">
      <formula>"Media"</formula>
    </cfRule>
    <cfRule type="cellIs" dxfId="964" priority="549" operator="equal">
      <formula>"Baja"</formula>
    </cfRule>
    <cfRule type="cellIs" dxfId="963" priority="550" operator="equal">
      <formula>"Muy Baja"</formula>
    </cfRule>
  </conditionalFormatting>
  <conditionalFormatting sqref="AE217:AE222">
    <cfRule type="cellIs" dxfId="962" priority="541" operator="equal">
      <formula>"Catastrófico"</formula>
    </cfRule>
    <cfRule type="cellIs" dxfId="961" priority="542" operator="equal">
      <formula>"Mayor"</formula>
    </cfRule>
    <cfRule type="cellIs" dxfId="960" priority="543" operator="equal">
      <formula>"Moderado"</formula>
    </cfRule>
    <cfRule type="cellIs" dxfId="959" priority="544" operator="equal">
      <formula>"Menor"</formula>
    </cfRule>
    <cfRule type="cellIs" dxfId="958" priority="545" operator="equal">
      <formula>"Leve"</formula>
    </cfRule>
  </conditionalFormatting>
  <conditionalFormatting sqref="AG217:AG222">
    <cfRule type="cellIs" dxfId="957" priority="537" operator="equal">
      <formula>"Extremo"</formula>
    </cfRule>
    <cfRule type="cellIs" dxfId="956" priority="538" operator="equal">
      <formula>"Alto"</formula>
    </cfRule>
    <cfRule type="cellIs" dxfId="955" priority="539" operator="equal">
      <formula>"Moderado"</formula>
    </cfRule>
    <cfRule type="cellIs" dxfId="954" priority="540" operator="equal">
      <formula>"Bajo"</formula>
    </cfRule>
  </conditionalFormatting>
  <conditionalFormatting sqref="N217:N222">
    <cfRule type="containsText" dxfId="953" priority="536" operator="containsText" text="❌">
      <formula>NOT(ISERROR(SEARCH("❌",N217)))</formula>
    </cfRule>
  </conditionalFormatting>
  <conditionalFormatting sqref="B235">
    <cfRule type="cellIs" dxfId="952" priority="424" operator="equal">
      <formula>#REF!</formula>
    </cfRule>
    <cfRule type="cellIs" dxfId="951" priority="425" operator="equal">
      <formula>#REF!</formula>
    </cfRule>
    <cfRule type="cellIs" dxfId="950" priority="426" operator="equal">
      <formula>#REF!</formula>
    </cfRule>
    <cfRule type="cellIs" dxfId="949" priority="427" operator="equal">
      <formula>#REF!</formula>
    </cfRule>
    <cfRule type="cellIs" dxfId="948" priority="428" operator="equal">
      <formula>#REF!</formula>
    </cfRule>
    <cfRule type="cellIs" dxfId="947" priority="429" operator="equal">
      <formula>#REF!</formula>
    </cfRule>
    <cfRule type="cellIs" dxfId="946" priority="430" operator="equal">
      <formula>#REF!</formula>
    </cfRule>
    <cfRule type="cellIs" dxfId="945" priority="431" operator="equal">
      <formula>#REF!</formula>
    </cfRule>
    <cfRule type="cellIs" dxfId="944" priority="432" operator="equal">
      <formula>#REF!</formula>
    </cfRule>
    <cfRule type="cellIs" dxfId="943" priority="433" operator="equal">
      <formula>#REF!</formula>
    </cfRule>
    <cfRule type="cellIs" dxfId="942" priority="434" operator="equal">
      <formula>#REF!</formula>
    </cfRule>
    <cfRule type="cellIs" dxfId="941" priority="435" operator="equal">
      <formula>#REF!</formula>
    </cfRule>
    <cfRule type="cellIs" dxfId="940" priority="436" operator="equal">
      <formula>#REF!</formula>
    </cfRule>
    <cfRule type="cellIs" dxfId="939" priority="437" operator="equal">
      <formula>#REF!</formula>
    </cfRule>
    <cfRule type="cellIs" dxfId="938" priority="438" operator="equal">
      <formula>#REF!</formula>
    </cfRule>
    <cfRule type="cellIs" dxfId="937" priority="439" operator="equal">
      <formula>#REF!</formula>
    </cfRule>
    <cfRule type="cellIs" dxfId="936" priority="440" operator="equal">
      <formula>#REF!</formula>
    </cfRule>
    <cfRule type="cellIs" dxfId="935" priority="441" operator="equal">
      <formula>#REF!</formula>
    </cfRule>
  </conditionalFormatting>
  <conditionalFormatting sqref="K235">
    <cfRule type="cellIs" dxfId="934" priority="466" operator="equal">
      <formula>"Muy Alta"</formula>
    </cfRule>
    <cfRule type="cellIs" dxfId="933" priority="467" operator="equal">
      <formula>"Alta"</formula>
    </cfRule>
    <cfRule type="cellIs" dxfId="932" priority="468" operator="equal">
      <formula>"Media"</formula>
    </cfRule>
    <cfRule type="cellIs" dxfId="931" priority="469" operator="equal">
      <formula>"Baja"</formula>
    </cfRule>
    <cfRule type="cellIs" dxfId="930" priority="470" operator="equal">
      <formula>"Muy Baja"</formula>
    </cfRule>
  </conditionalFormatting>
  <conditionalFormatting sqref="O235">
    <cfRule type="cellIs" dxfId="929" priority="461" operator="equal">
      <formula>"Catastrófico"</formula>
    </cfRule>
    <cfRule type="cellIs" dxfId="928" priority="462" operator="equal">
      <formula>"Mayor"</formula>
    </cfRule>
    <cfRule type="cellIs" dxfId="927" priority="463" operator="equal">
      <formula>"Moderado"</formula>
    </cfRule>
    <cfRule type="cellIs" dxfId="926" priority="464" operator="equal">
      <formula>"Menor"</formula>
    </cfRule>
    <cfRule type="cellIs" dxfId="925" priority="465" operator="equal">
      <formula>"Leve"</formula>
    </cfRule>
  </conditionalFormatting>
  <conditionalFormatting sqref="Q235">
    <cfRule type="cellIs" dxfId="924" priority="457" operator="equal">
      <formula>"Extremo"</formula>
    </cfRule>
    <cfRule type="cellIs" dxfId="923" priority="458" operator="equal">
      <formula>"Alto"</formula>
    </cfRule>
    <cfRule type="cellIs" dxfId="922" priority="459" operator="equal">
      <formula>"Moderado"</formula>
    </cfRule>
    <cfRule type="cellIs" dxfId="921" priority="460" operator="equal">
      <formula>"Bajo"</formula>
    </cfRule>
  </conditionalFormatting>
  <conditionalFormatting sqref="AC235:AC240">
    <cfRule type="cellIs" dxfId="920" priority="452" operator="equal">
      <formula>"Muy Alta"</formula>
    </cfRule>
    <cfRule type="cellIs" dxfId="919" priority="453" operator="equal">
      <formula>"Alta"</formula>
    </cfRule>
    <cfRule type="cellIs" dxfId="918" priority="454" operator="equal">
      <formula>"Media"</formula>
    </cfRule>
    <cfRule type="cellIs" dxfId="917" priority="455" operator="equal">
      <formula>"Baja"</formula>
    </cfRule>
    <cfRule type="cellIs" dxfId="916" priority="456" operator="equal">
      <formula>"Muy Baja"</formula>
    </cfRule>
  </conditionalFormatting>
  <conditionalFormatting sqref="AE235:AE240">
    <cfRule type="cellIs" dxfId="915" priority="447" operator="equal">
      <formula>"Catastrófico"</formula>
    </cfRule>
    <cfRule type="cellIs" dxfId="914" priority="448" operator="equal">
      <formula>"Mayor"</formula>
    </cfRule>
    <cfRule type="cellIs" dxfId="913" priority="449" operator="equal">
      <formula>"Moderado"</formula>
    </cfRule>
    <cfRule type="cellIs" dxfId="912" priority="450" operator="equal">
      <formula>"Menor"</formula>
    </cfRule>
    <cfRule type="cellIs" dxfId="911" priority="451" operator="equal">
      <formula>"Leve"</formula>
    </cfRule>
  </conditionalFormatting>
  <conditionalFormatting sqref="AG235:AG240">
    <cfRule type="cellIs" dxfId="910" priority="443" operator="equal">
      <formula>"Extremo"</formula>
    </cfRule>
    <cfRule type="cellIs" dxfId="909" priority="444" operator="equal">
      <formula>"Alto"</formula>
    </cfRule>
    <cfRule type="cellIs" dxfId="908" priority="445" operator="equal">
      <formula>"Moderado"</formula>
    </cfRule>
    <cfRule type="cellIs" dxfId="907" priority="446" operator="equal">
      <formula>"Bajo"</formula>
    </cfRule>
  </conditionalFormatting>
  <conditionalFormatting sqref="N235:N240">
    <cfRule type="containsText" dxfId="906" priority="442" operator="containsText" text="❌">
      <formula>NOT(ISERROR(SEARCH("❌",N235)))</formula>
    </cfRule>
  </conditionalFormatting>
  <conditionalFormatting sqref="B229">
    <cfRule type="cellIs" dxfId="905" priority="377" operator="equal">
      <formula>#REF!</formula>
    </cfRule>
    <cfRule type="cellIs" dxfId="904" priority="378" operator="equal">
      <formula>#REF!</formula>
    </cfRule>
    <cfRule type="cellIs" dxfId="903" priority="379" operator="equal">
      <formula>#REF!</formula>
    </cfRule>
    <cfRule type="cellIs" dxfId="902" priority="380" operator="equal">
      <formula>#REF!</formula>
    </cfRule>
    <cfRule type="cellIs" dxfId="901" priority="381" operator="equal">
      <formula>#REF!</formula>
    </cfRule>
    <cfRule type="cellIs" dxfId="900" priority="382" operator="equal">
      <formula>#REF!</formula>
    </cfRule>
    <cfRule type="cellIs" dxfId="899" priority="383" operator="equal">
      <formula>#REF!</formula>
    </cfRule>
    <cfRule type="cellIs" dxfId="898" priority="384" operator="equal">
      <formula>#REF!</formula>
    </cfRule>
    <cfRule type="cellIs" dxfId="897" priority="385" operator="equal">
      <formula>#REF!</formula>
    </cfRule>
    <cfRule type="cellIs" dxfId="896" priority="386" operator="equal">
      <formula>#REF!</formula>
    </cfRule>
    <cfRule type="cellIs" dxfId="895" priority="387" operator="equal">
      <formula>#REF!</formula>
    </cfRule>
    <cfRule type="cellIs" dxfId="894" priority="388" operator="equal">
      <formula>#REF!</formula>
    </cfRule>
    <cfRule type="cellIs" dxfId="893" priority="389" operator="equal">
      <formula>#REF!</formula>
    </cfRule>
    <cfRule type="cellIs" dxfId="892" priority="390" operator="equal">
      <formula>#REF!</formula>
    </cfRule>
    <cfRule type="cellIs" dxfId="891" priority="391" operator="equal">
      <formula>#REF!</formula>
    </cfRule>
    <cfRule type="cellIs" dxfId="890" priority="392" operator="equal">
      <formula>#REF!</formula>
    </cfRule>
    <cfRule type="cellIs" dxfId="889" priority="393" operator="equal">
      <formula>#REF!</formula>
    </cfRule>
    <cfRule type="cellIs" dxfId="888" priority="394" operator="equal">
      <formula>#REF!</formula>
    </cfRule>
  </conditionalFormatting>
  <conditionalFormatting sqref="K229">
    <cfRule type="cellIs" dxfId="887" priority="419" operator="equal">
      <formula>"Muy Alta"</formula>
    </cfRule>
    <cfRule type="cellIs" dxfId="886" priority="420" operator="equal">
      <formula>"Alta"</formula>
    </cfRule>
    <cfRule type="cellIs" dxfId="885" priority="421" operator="equal">
      <formula>"Media"</formula>
    </cfRule>
    <cfRule type="cellIs" dxfId="884" priority="422" operator="equal">
      <formula>"Baja"</formula>
    </cfRule>
    <cfRule type="cellIs" dxfId="883" priority="423" operator="equal">
      <formula>"Muy Baja"</formula>
    </cfRule>
  </conditionalFormatting>
  <conditionalFormatting sqref="O229">
    <cfRule type="cellIs" dxfId="882" priority="414" operator="equal">
      <formula>"Catastrófico"</formula>
    </cfRule>
    <cfRule type="cellIs" dxfId="881" priority="415" operator="equal">
      <formula>"Mayor"</formula>
    </cfRule>
    <cfRule type="cellIs" dxfId="880" priority="416" operator="equal">
      <formula>"Moderado"</formula>
    </cfRule>
    <cfRule type="cellIs" dxfId="879" priority="417" operator="equal">
      <formula>"Menor"</formula>
    </cfRule>
    <cfRule type="cellIs" dxfId="878" priority="418" operator="equal">
      <formula>"Leve"</formula>
    </cfRule>
  </conditionalFormatting>
  <conditionalFormatting sqref="Q229">
    <cfRule type="cellIs" dxfId="877" priority="410" operator="equal">
      <formula>"Extremo"</formula>
    </cfRule>
    <cfRule type="cellIs" dxfId="876" priority="411" operator="equal">
      <formula>"Alto"</formula>
    </cfRule>
    <cfRule type="cellIs" dxfId="875" priority="412" operator="equal">
      <formula>"Moderado"</formula>
    </cfRule>
    <cfRule type="cellIs" dxfId="874" priority="413" operator="equal">
      <formula>"Bajo"</formula>
    </cfRule>
  </conditionalFormatting>
  <conditionalFormatting sqref="AC229:AC234">
    <cfRule type="cellIs" dxfId="873" priority="405" operator="equal">
      <formula>"Muy Alta"</formula>
    </cfRule>
    <cfRule type="cellIs" dxfId="872" priority="406" operator="equal">
      <formula>"Alta"</formula>
    </cfRule>
    <cfRule type="cellIs" dxfId="871" priority="407" operator="equal">
      <formula>"Media"</formula>
    </cfRule>
    <cfRule type="cellIs" dxfId="870" priority="408" operator="equal">
      <formula>"Baja"</formula>
    </cfRule>
    <cfRule type="cellIs" dxfId="869" priority="409" operator="equal">
      <formula>"Muy Baja"</formula>
    </cfRule>
  </conditionalFormatting>
  <conditionalFormatting sqref="AE229:AE234">
    <cfRule type="cellIs" dxfId="868" priority="400" operator="equal">
      <formula>"Catastrófico"</formula>
    </cfRule>
    <cfRule type="cellIs" dxfId="867" priority="401" operator="equal">
      <formula>"Mayor"</formula>
    </cfRule>
    <cfRule type="cellIs" dxfId="866" priority="402" operator="equal">
      <formula>"Moderado"</formula>
    </cfRule>
    <cfRule type="cellIs" dxfId="865" priority="403" operator="equal">
      <formula>"Menor"</formula>
    </cfRule>
    <cfRule type="cellIs" dxfId="864" priority="404" operator="equal">
      <formula>"Leve"</formula>
    </cfRule>
  </conditionalFormatting>
  <conditionalFormatting sqref="AG229:AG234">
    <cfRule type="cellIs" dxfId="863" priority="396" operator="equal">
      <formula>"Extremo"</formula>
    </cfRule>
    <cfRule type="cellIs" dxfId="862" priority="397" operator="equal">
      <formula>"Alto"</formula>
    </cfRule>
    <cfRule type="cellIs" dxfId="861" priority="398" operator="equal">
      <formula>"Moderado"</formula>
    </cfRule>
    <cfRule type="cellIs" dxfId="860" priority="399" operator="equal">
      <formula>"Bajo"</formula>
    </cfRule>
  </conditionalFormatting>
  <conditionalFormatting sqref="N229:N234">
    <cfRule type="containsText" dxfId="859" priority="395" operator="containsText" text="❌">
      <formula>NOT(ISERROR(SEARCH("❌",N229)))</formula>
    </cfRule>
  </conditionalFormatting>
  <conditionalFormatting sqref="K283">
    <cfRule type="cellIs" dxfId="858" priority="372" operator="equal">
      <formula>"Muy Alta"</formula>
    </cfRule>
    <cfRule type="cellIs" dxfId="857" priority="373" operator="equal">
      <formula>"Alta"</formula>
    </cfRule>
    <cfRule type="cellIs" dxfId="856" priority="374" operator="equal">
      <formula>"Media"</formula>
    </cfRule>
    <cfRule type="cellIs" dxfId="855" priority="375" operator="equal">
      <formula>"Baja"</formula>
    </cfRule>
    <cfRule type="cellIs" dxfId="854" priority="376" operator="equal">
      <formula>"Muy Baja"</formula>
    </cfRule>
  </conditionalFormatting>
  <conditionalFormatting sqref="O283">
    <cfRule type="cellIs" dxfId="853" priority="367" operator="equal">
      <formula>"Catastrófico"</formula>
    </cfRule>
    <cfRule type="cellIs" dxfId="852" priority="368" operator="equal">
      <formula>"Mayor"</formula>
    </cfRule>
    <cfRule type="cellIs" dxfId="851" priority="369" operator="equal">
      <formula>"Moderado"</formula>
    </cfRule>
    <cfRule type="cellIs" dxfId="850" priority="370" operator="equal">
      <formula>"Menor"</formula>
    </cfRule>
    <cfRule type="cellIs" dxfId="849" priority="371" operator="equal">
      <formula>"Leve"</formula>
    </cfRule>
  </conditionalFormatting>
  <conditionalFormatting sqref="Q283">
    <cfRule type="cellIs" dxfId="848" priority="363" operator="equal">
      <formula>"Extremo"</formula>
    </cfRule>
    <cfRule type="cellIs" dxfId="847" priority="364" operator="equal">
      <formula>"Alto"</formula>
    </cfRule>
    <cfRule type="cellIs" dxfId="846" priority="365" operator="equal">
      <formula>"Moderado"</formula>
    </cfRule>
    <cfRule type="cellIs" dxfId="845" priority="366" operator="equal">
      <formula>"Bajo"</formula>
    </cfRule>
  </conditionalFormatting>
  <conditionalFormatting sqref="AC283:AC288">
    <cfRule type="cellIs" dxfId="844" priority="358" operator="equal">
      <formula>"Muy Alta"</formula>
    </cfRule>
    <cfRule type="cellIs" dxfId="843" priority="359" operator="equal">
      <formula>"Alta"</formula>
    </cfRule>
    <cfRule type="cellIs" dxfId="842" priority="360" operator="equal">
      <formula>"Media"</formula>
    </cfRule>
    <cfRule type="cellIs" dxfId="841" priority="361" operator="equal">
      <formula>"Baja"</formula>
    </cfRule>
    <cfRule type="cellIs" dxfId="840" priority="362" operator="equal">
      <formula>"Muy Baja"</formula>
    </cfRule>
  </conditionalFormatting>
  <conditionalFormatting sqref="AE283:AE288">
    <cfRule type="cellIs" dxfId="839" priority="353" operator="equal">
      <formula>"Catastrófico"</formula>
    </cfRule>
    <cfRule type="cellIs" dxfId="838" priority="354" operator="equal">
      <formula>"Mayor"</formula>
    </cfRule>
    <cfRule type="cellIs" dxfId="837" priority="355" operator="equal">
      <formula>"Moderado"</formula>
    </cfRule>
    <cfRule type="cellIs" dxfId="836" priority="356" operator="equal">
      <formula>"Menor"</formula>
    </cfRule>
    <cfRule type="cellIs" dxfId="835" priority="357" operator="equal">
      <formula>"Leve"</formula>
    </cfRule>
  </conditionalFormatting>
  <conditionalFormatting sqref="AG283:AG288">
    <cfRule type="cellIs" dxfId="834" priority="349" operator="equal">
      <formula>"Extremo"</formula>
    </cfRule>
    <cfRule type="cellIs" dxfId="833" priority="350" operator="equal">
      <formula>"Alto"</formula>
    </cfRule>
    <cfRule type="cellIs" dxfId="832" priority="351" operator="equal">
      <formula>"Moderado"</formula>
    </cfRule>
    <cfRule type="cellIs" dxfId="831" priority="352" operator="equal">
      <formula>"Bajo"</formula>
    </cfRule>
  </conditionalFormatting>
  <conditionalFormatting sqref="N283:N288">
    <cfRule type="containsText" dxfId="830" priority="348" operator="containsText" text="❌">
      <formula>NOT(ISERROR(SEARCH("❌",N283)))</formula>
    </cfRule>
  </conditionalFormatting>
  <conditionalFormatting sqref="B283">
    <cfRule type="cellIs" dxfId="829" priority="330" operator="equal">
      <formula>#REF!</formula>
    </cfRule>
    <cfRule type="cellIs" dxfId="828" priority="331" operator="equal">
      <formula>#REF!</formula>
    </cfRule>
    <cfRule type="cellIs" dxfId="827" priority="332" operator="equal">
      <formula>#REF!</formula>
    </cfRule>
    <cfRule type="cellIs" dxfId="826" priority="333" operator="equal">
      <formula>#REF!</formula>
    </cfRule>
    <cfRule type="cellIs" dxfId="825" priority="334" operator="equal">
      <formula>#REF!</formula>
    </cfRule>
    <cfRule type="cellIs" dxfId="824" priority="335" operator="equal">
      <formula>#REF!</formula>
    </cfRule>
    <cfRule type="cellIs" dxfId="823" priority="336" operator="equal">
      <formula>#REF!</formula>
    </cfRule>
    <cfRule type="cellIs" dxfId="822" priority="337" operator="equal">
      <formula>#REF!</formula>
    </cfRule>
    <cfRule type="cellIs" dxfId="821" priority="338" operator="equal">
      <formula>#REF!</formula>
    </cfRule>
    <cfRule type="cellIs" dxfId="820" priority="339" operator="equal">
      <formula>#REF!</formula>
    </cfRule>
    <cfRule type="cellIs" dxfId="819" priority="340" operator="equal">
      <formula>#REF!</formula>
    </cfRule>
    <cfRule type="cellIs" dxfId="818" priority="341" operator="equal">
      <formula>#REF!</formula>
    </cfRule>
    <cfRule type="cellIs" dxfId="817" priority="342" operator="equal">
      <formula>#REF!</formula>
    </cfRule>
    <cfRule type="cellIs" dxfId="816" priority="343" operator="equal">
      <formula>#REF!</formula>
    </cfRule>
    <cfRule type="cellIs" dxfId="815" priority="344" operator="equal">
      <formula>#REF!</formula>
    </cfRule>
    <cfRule type="cellIs" dxfId="814" priority="345" operator="equal">
      <formula>#REF!</formula>
    </cfRule>
    <cfRule type="cellIs" dxfId="813" priority="346" operator="equal">
      <formula>#REF!</formula>
    </cfRule>
    <cfRule type="cellIs" dxfId="812" priority="347" operator="equal">
      <formula>#REF!</formula>
    </cfRule>
  </conditionalFormatting>
  <conditionalFormatting sqref="K277">
    <cfRule type="cellIs" dxfId="811" priority="325" operator="equal">
      <formula>"Muy Alta"</formula>
    </cfRule>
    <cfRule type="cellIs" dxfId="810" priority="326" operator="equal">
      <formula>"Alta"</formula>
    </cfRule>
    <cfRule type="cellIs" dxfId="809" priority="327" operator="equal">
      <formula>"Media"</formula>
    </cfRule>
    <cfRule type="cellIs" dxfId="808" priority="328" operator="equal">
      <formula>"Baja"</formula>
    </cfRule>
    <cfRule type="cellIs" dxfId="807" priority="329" operator="equal">
      <formula>"Muy Baja"</formula>
    </cfRule>
  </conditionalFormatting>
  <conditionalFormatting sqref="O277">
    <cfRule type="cellIs" dxfId="806" priority="320" operator="equal">
      <formula>"Catastrófico"</formula>
    </cfRule>
    <cfRule type="cellIs" dxfId="805" priority="321" operator="equal">
      <formula>"Mayor"</formula>
    </cfRule>
    <cfRule type="cellIs" dxfId="804" priority="322" operator="equal">
      <formula>"Moderado"</formula>
    </cfRule>
    <cfRule type="cellIs" dxfId="803" priority="323" operator="equal">
      <formula>"Menor"</formula>
    </cfRule>
    <cfRule type="cellIs" dxfId="802" priority="324" operator="equal">
      <formula>"Leve"</formula>
    </cfRule>
  </conditionalFormatting>
  <conditionalFormatting sqref="Q277">
    <cfRule type="cellIs" dxfId="801" priority="316" operator="equal">
      <formula>"Extremo"</formula>
    </cfRule>
    <cfRule type="cellIs" dxfId="800" priority="317" operator="equal">
      <formula>"Alto"</formula>
    </cfRule>
    <cfRule type="cellIs" dxfId="799" priority="318" operator="equal">
      <formula>"Moderado"</formula>
    </cfRule>
    <cfRule type="cellIs" dxfId="798" priority="319" operator="equal">
      <formula>"Bajo"</formula>
    </cfRule>
  </conditionalFormatting>
  <conditionalFormatting sqref="AC277:AC282">
    <cfRule type="cellIs" dxfId="797" priority="311" operator="equal">
      <formula>"Muy Alta"</formula>
    </cfRule>
    <cfRule type="cellIs" dxfId="796" priority="312" operator="equal">
      <formula>"Alta"</formula>
    </cfRule>
    <cfRule type="cellIs" dxfId="795" priority="313" operator="equal">
      <formula>"Media"</formula>
    </cfRule>
    <cfRule type="cellIs" dxfId="794" priority="314" operator="equal">
      <formula>"Baja"</formula>
    </cfRule>
    <cfRule type="cellIs" dxfId="793" priority="315" operator="equal">
      <formula>"Muy Baja"</formula>
    </cfRule>
  </conditionalFormatting>
  <conditionalFormatting sqref="AE277:AE282">
    <cfRule type="cellIs" dxfId="792" priority="306" operator="equal">
      <formula>"Catastrófico"</formula>
    </cfRule>
    <cfRule type="cellIs" dxfId="791" priority="307" operator="equal">
      <formula>"Mayor"</formula>
    </cfRule>
    <cfRule type="cellIs" dxfId="790" priority="308" operator="equal">
      <formula>"Moderado"</formula>
    </cfRule>
    <cfRule type="cellIs" dxfId="789" priority="309" operator="equal">
      <formula>"Menor"</formula>
    </cfRule>
    <cfRule type="cellIs" dxfId="788" priority="310" operator="equal">
      <formula>"Leve"</formula>
    </cfRule>
  </conditionalFormatting>
  <conditionalFormatting sqref="AG277:AG282">
    <cfRule type="cellIs" dxfId="787" priority="302" operator="equal">
      <formula>"Extremo"</formula>
    </cfRule>
    <cfRule type="cellIs" dxfId="786" priority="303" operator="equal">
      <formula>"Alto"</formula>
    </cfRule>
    <cfRule type="cellIs" dxfId="785" priority="304" operator="equal">
      <formula>"Moderado"</formula>
    </cfRule>
    <cfRule type="cellIs" dxfId="784" priority="305" operator="equal">
      <formula>"Bajo"</formula>
    </cfRule>
  </conditionalFormatting>
  <conditionalFormatting sqref="N277:N282">
    <cfRule type="containsText" dxfId="783" priority="301" operator="containsText" text="❌">
      <formula>NOT(ISERROR(SEARCH("❌",N277)))</formula>
    </cfRule>
  </conditionalFormatting>
  <conditionalFormatting sqref="B277">
    <cfRule type="cellIs" dxfId="782" priority="283" operator="equal">
      <formula>#REF!</formula>
    </cfRule>
    <cfRule type="cellIs" dxfId="781" priority="284" operator="equal">
      <formula>#REF!</formula>
    </cfRule>
    <cfRule type="cellIs" dxfId="780" priority="285" operator="equal">
      <formula>#REF!</formula>
    </cfRule>
    <cfRule type="cellIs" dxfId="779" priority="286" operator="equal">
      <formula>#REF!</formula>
    </cfRule>
    <cfRule type="cellIs" dxfId="778" priority="287" operator="equal">
      <formula>#REF!</formula>
    </cfRule>
    <cfRule type="cellIs" dxfId="777" priority="288" operator="equal">
      <formula>#REF!</formula>
    </cfRule>
    <cfRule type="cellIs" dxfId="776" priority="289" operator="equal">
      <formula>#REF!</formula>
    </cfRule>
    <cfRule type="cellIs" dxfId="775" priority="290" operator="equal">
      <formula>#REF!</formula>
    </cfRule>
    <cfRule type="cellIs" dxfId="774" priority="291" operator="equal">
      <formula>#REF!</formula>
    </cfRule>
    <cfRule type="cellIs" dxfId="773" priority="292" operator="equal">
      <formula>#REF!</formula>
    </cfRule>
    <cfRule type="cellIs" dxfId="772" priority="293" operator="equal">
      <formula>#REF!</formula>
    </cfRule>
    <cfRule type="cellIs" dxfId="771" priority="294" operator="equal">
      <formula>#REF!</formula>
    </cfRule>
    <cfRule type="cellIs" dxfId="770" priority="295" operator="equal">
      <formula>#REF!</formula>
    </cfRule>
    <cfRule type="cellIs" dxfId="769" priority="296" operator="equal">
      <formula>#REF!</formula>
    </cfRule>
    <cfRule type="cellIs" dxfId="768" priority="297" operator="equal">
      <formula>#REF!</formula>
    </cfRule>
    <cfRule type="cellIs" dxfId="767" priority="298" operator="equal">
      <formula>#REF!</formula>
    </cfRule>
    <cfRule type="cellIs" dxfId="766" priority="299" operator="equal">
      <formula>#REF!</formula>
    </cfRule>
    <cfRule type="cellIs" dxfId="765" priority="300" operator="equal">
      <formula>#REF!</formula>
    </cfRule>
  </conditionalFormatting>
  <conditionalFormatting sqref="K319">
    <cfRule type="cellIs" dxfId="764" priority="278" operator="equal">
      <formula>"Muy Alta"</formula>
    </cfRule>
    <cfRule type="cellIs" dxfId="763" priority="279" operator="equal">
      <formula>"Alta"</formula>
    </cfRule>
    <cfRule type="cellIs" dxfId="762" priority="280" operator="equal">
      <formula>"Media"</formula>
    </cfRule>
    <cfRule type="cellIs" dxfId="761" priority="281" operator="equal">
      <formula>"Baja"</formula>
    </cfRule>
    <cfRule type="cellIs" dxfId="760" priority="282" operator="equal">
      <formula>"Muy Baja"</formula>
    </cfRule>
  </conditionalFormatting>
  <conditionalFormatting sqref="O319">
    <cfRule type="cellIs" dxfId="759" priority="273" operator="equal">
      <formula>"Catastrófico"</formula>
    </cfRule>
    <cfRule type="cellIs" dxfId="758" priority="274" operator="equal">
      <formula>"Mayor"</formula>
    </cfRule>
    <cfRule type="cellIs" dxfId="757" priority="275" operator="equal">
      <formula>"Moderado"</formula>
    </cfRule>
    <cfRule type="cellIs" dxfId="756" priority="276" operator="equal">
      <formula>"Menor"</formula>
    </cfRule>
    <cfRule type="cellIs" dxfId="755" priority="277" operator="equal">
      <formula>"Leve"</formula>
    </cfRule>
  </conditionalFormatting>
  <conditionalFormatting sqref="Q319">
    <cfRule type="cellIs" dxfId="754" priority="269" operator="equal">
      <formula>"Extremo"</formula>
    </cfRule>
    <cfRule type="cellIs" dxfId="753" priority="270" operator="equal">
      <formula>"Alto"</formula>
    </cfRule>
    <cfRule type="cellIs" dxfId="752" priority="271" operator="equal">
      <formula>"Moderado"</formula>
    </cfRule>
    <cfRule type="cellIs" dxfId="751" priority="272" operator="equal">
      <formula>"Bajo"</formula>
    </cfRule>
  </conditionalFormatting>
  <conditionalFormatting sqref="AC319:AC324">
    <cfRule type="cellIs" dxfId="750" priority="264" operator="equal">
      <formula>"Muy Alta"</formula>
    </cfRule>
    <cfRule type="cellIs" dxfId="749" priority="265" operator="equal">
      <formula>"Alta"</formula>
    </cfRule>
    <cfRule type="cellIs" dxfId="748" priority="266" operator="equal">
      <formula>"Media"</formula>
    </cfRule>
    <cfRule type="cellIs" dxfId="747" priority="267" operator="equal">
      <formula>"Baja"</formula>
    </cfRule>
    <cfRule type="cellIs" dxfId="746" priority="268" operator="equal">
      <formula>"Muy Baja"</formula>
    </cfRule>
  </conditionalFormatting>
  <conditionalFormatting sqref="AE319:AE324">
    <cfRule type="cellIs" dxfId="745" priority="259" operator="equal">
      <formula>"Catastrófico"</formula>
    </cfRule>
    <cfRule type="cellIs" dxfId="744" priority="260" operator="equal">
      <formula>"Mayor"</formula>
    </cfRule>
    <cfRule type="cellIs" dxfId="743" priority="261" operator="equal">
      <formula>"Moderado"</formula>
    </cfRule>
    <cfRule type="cellIs" dxfId="742" priority="262" operator="equal">
      <formula>"Menor"</formula>
    </cfRule>
    <cfRule type="cellIs" dxfId="741" priority="263" operator="equal">
      <formula>"Leve"</formula>
    </cfRule>
  </conditionalFormatting>
  <conditionalFormatting sqref="AG319:AG324">
    <cfRule type="cellIs" dxfId="740" priority="255" operator="equal">
      <formula>"Extremo"</formula>
    </cfRule>
    <cfRule type="cellIs" dxfId="739" priority="256" operator="equal">
      <formula>"Alto"</formula>
    </cfRule>
    <cfRule type="cellIs" dxfId="738" priority="257" operator="equal">
      <formula>"Moderado"</formula>
    </cfRule>
    <cfRule type="cellIs" dxfId="737" priority="258" operator="equal">
      <formula>"Bajo"</formula>
    </cfRule>
  </conditionalFormatting>
  <conditionalFormatting sqref="N319:N324">
    <cfRule type="containsText" dxfId="736" priority="254" operator="containsText" text="❌">
      <formula>NOT(ISERROR(SEARCH("❌",N319)))</formula>
    </cfRule>
  </conditionalFormatting>
  <conditionalFormatting sqref="B319">
    <cfRule type="cellIs" dxfId="735" priority="236" operator="equal">
      <formula>#REF!</formula>
    </cfRule>
    <cfRule type="cellIs" dxfId="734" priority="237" operator="equal">
      <formula>#REF!</formula>
    </cfRule>
    <cfRule type="cellIs" dxfId="733" priority="238" operator="equal">
      <formula>#REF!</formula>
    </cfRule>
    <cfRule type="cellIs" dxfId="732" priority="239" operator="equal">
      <formula>#REF!</formula>
    </cfRule>
    <cfRule type="cellIs" dxfId="731" priority="240" operator="equal">
      <formula>#REF!</formula>
    </cfRule>
    <cfRule type="cellIs" dxfId="730" priority="241" operator="equal">
      <formula>#REF!</formula>
    </cfRule>
    <cfRule type="cellIs" dxfId="729" priority="242" operator="equal">
      <formula>#REF!</formula>
    </cfRule>
    <cfRule type="cellIs" dxfId="728" priority="243" operator="equal">
      <formula>#REF!</formula>
    </cfRule>
    <cfRule type="cellIs" dxfId="727" priority="244" operator="equal">
      <formula>#REF!</formula>
    </cfRule>
    <cfRule type="cellIs" dxfId="726" priority="245" operator="equal">
      <formula>#REF!</formula>
    </cfRule>
    <cfRule type="cellIs" dxfId="725" priority="246" operator="equal">
      <formula>#REF!</formula>
    </cfRule>
    <cfRule type="cellIs" dxfId="724" priority="247" operator="equal">
      <formula>#REF!</formula>
    </cfRule>
    <cfRule type="cellIs" dxfId="723" priority="248" operator="equal">
      <formula>#REF!</formula>
    </cfRule>
    <cfRule type="cellIs" dxfId="722" priority="249" operator="equal">
      <formula>#REF!</formula>
    </cfRule>
    <cfRule type="cellIs" dxfId="721" priority="250" operator="equal">
      <formula>#REF!</formula>
    </cfRule>
    <cfRule type="cellIs" dxfId="720" priority="251" operator="equal">
      <formula>#REF!</formula>
    </cfRule>
    <cfRule type="cellIs" dxfId="719" priority="252" operator="equal">
      <formula>#REF!</formula>
    </cfRule>
    <cfRule type="cellIs" dxfId="718" priority="253" operator="equal">
      <formula>#REF!</formula>
    </cfRule>
  </conditionalFormatting>
  <conditionalFormatting sqref="K313">
    <cfRule type="cellIs" dxfId="717" priority="231" operator="equal">
      <formula>"Muy Alta"</formula>
    </cfRule>
    <cfRule type="cellIs" dxfId="716" priority="232" operator="equal">
      <formula>"Alta"</formula>
    </cfRule>
    <cfRule type="cellIs" dxfId="715" priority="233" operator="equal">
      <formula>"Media"</formula>
    </cfRule>
    <cfRule type="cellIs" dxfId="714" priority="234" operator="equal">
      <formula>"Baja"</formula>
    </cfRule>
    <cfRule type="cellIs" dxfId="713" priority="235" operator="equal">
      <formula>"Muy Baja"</formula>
    </cfRule>
  </conditionalFormatting>
  <conditionalFormatting sqref="O313">
    <cfRule type="cellIs" dxfId="712" priority="226" operator="equal">
      <formula>"Catastrófico"</formula>
    </cfRule>
    <cfRule type="cellIs" dxfId="711" priority="227" operator="equal">
      <formula>"Mayor"</formula>
    </cfRule>
    <cfRule type="cellIs" dxfId="710" priority="228" operator="equal">
      <formula>"Moderado"</formula>
    </cfRule>
    <cfRule type="cellIs" dxfId="709" priority="229" operator="equal">
      <formula>"Menor"</formula>
    </cfRule>
    <cfRule type="cellIs" dxfId="708" priority="230" operator="equal">
      <formula>"Leve"</formula>
    </cfRule>
  </conditionalFormatting>
  <conditionalFormatting sqref="Q313">
    <cfRule type="cellIs" dxfId="707" priority="222" operator="equal">
      <formula>"Extremo"</formula>
    </cfRule>
    <cfRule type="cellIs" dxfId="706" priority="223" operator="equal">
      <formula>"Alto"</formula>
    </cfRule>
    <cfRule type="cellIs" dxfId="705" priority="224" operator="equal">
      <formula>"Moderado"</formula>
    </cfRule>
    <cfRule type="cellIs" dxfId="704" priority="225" operator="equal">
      <formula>"Bajo"</formula>
    </cfRule>
  </conditionalFormatting>
  <conditionalFormatting sqref="AC313:AC318">
    <cfRule type="cellIs" dxfId="703" priority="217" operator="equal">
      <formula>"Muy Alta"</formula>
    </cfRule>
    <cfRule type="cellIs" dxfId="702" priority="218" operator="equal">
      <formula>"Alta"</formula>
    </cfRule>
    <cfRule type="cellIs" dxfId="701" priority="219" operator="equal">
      <formula>"Media"</formula>
    </cfRule>
    <cfRule type="cellIs" dxfId="700" priority="220" operator="equal">
      <formula>"Baja"</formula>
    </cfRule>
    <cfRule type="cellIs" dxfId="699" priority="221" operator="equal">
      <formula>"Muy Baja"</formula>
    </cfRule>
  </conditionalFormatting>
  <conditionalFormatting sqref="AE313:AE318">
    <cfRule type="cellIs" dxfId="698" priority="212" operator="equal">
      <formula>"Catastrófico"</formula>
    </cfRule>
    <cfRule type="cellIs" dxfId="697" priority="213" operator="equal">
      <formula>"Mayor"</formula>
    </cfRule>
    <cfRule type="cellIs" dxfId="696" priority="214" operator="equal">
      <formula>"Moderado"</formula>
    </cfRule>
    <cfRule type="cellIs" dxfId="695" priority="215" operator="equal">
      <formula>"Menor"</formula>
    </cfRule>
    <cfRule type="cellIs" dxfId="694" priority="216" operator="equal">
      <formula>"Leve"</formula>
    </cfRule>
  </conditionalFormatting>
  <conditionalFormatting sqref="AG313:AG318">
    <cfRule type="cellIs" dxfId="693" priority="208" operator="equal">
      <formula>"Extremo"</formula>
    </cfRule>
    <cfRule type="cellIs" dxfId="692" priority="209" operator="equal">
      <formula>"Alto"</formula>
    </cfRule>
    <cfRule type="cellIs" dxfId="691" priority="210" operator="equal">
      <formula>"Moderado"</formula>
    </cfRule>
    <cfRule type="cellIs" dxfId="690" priority="211" operator="equal">
      <formula>"Bajo"</formula>
    </cfRule>
  </conditionalFormatting>
  <conditionalFormatting sqref="N313:N318">
    <cfRule type="containsText" dxfId="689" priority="207" operator="containsText" text="❌">
      <formula>NOT(ISERROR(SEARCH("❌",N313)))</formula>
    </cfRule>
  </conditionalFormatting>
  <conditionalFormatting sqref="B313">
    <cfRule type="cellIs" dxfId="688" priority="189" operator="equal">
      <formula>#REF!</formula>
    </cfRule>
    <cfRule type="cellIs" dxfId="687" priority="190" operator="equal">
      <formula>#REF!</formula>
    </cfRule>
    <cfRule type="cellIs" dxfId="686" priority="191" operator="equal">
      <formula>#REF!</formula>
    </cfRule>
    <cfRule type="cellIs" dxfId="685" priority="192" operator="equal">
      <formula>#REF!</formula>
    </cfRule>
    <cfRule type="cellIs" dxfId="684" priority="193" operator="equal">
      <formula>#REF!</formula>
    </cfRule>
    <cfRule type="cellIs" dxfId="683" priority="194" operator="equal">
      <formula>#REF!</formula>
    </cfRule>
    <cfRule type="cellIs" dxfId="682" priority="195" operator="equal">
      <formula>#REF!</formula>
    </cfRule>
    <cfRule type="cellIs" dxfId="681" priority="196" operator="equal">
      <formula>#REF!</formula>
    </cfRule>
    <cfRule type="cellIs" dxfId="680" priority="197" operator="equal">
      <formula>#REF!</formula>
    </cfRule>
    <cfRule type="cellIs" dxfId="679" priority="198" operator="equal">
      <formula>#REF!</formula>
    </cfRule>
    <cfRule type="cellIs" dxfId="678" priority="199" operator="equal">
      <formula>#REF!</formula>
    </cfRule>
    <cfRule type="cellIs" dxfId="677" priority="200" operator="equal">
      <formula>#REF!</formula>
    </cfRule>
    <cfRule type="cellIs" dxfId="676" priority="201" operator="equal">
      <formula>#REF!</formula>
    </cfRule>
    <cfRule type="cellIs" dxfId="675" priority="202" operator="equal">
      <formula>#REF!</formula>
    </cfRule>
    <cfRule type="cellIs" dxfId="674" priority="203" operator="equal">
      <formula>#REF!</formula>
    </cfRule>
    <cfRule type="cellIs" dxfId="673" priority="204" operator="equal">
      <formula>#REF!</formula>
    </cfRule>
    <cfRule type="cellIs" dxfId="672" priority="205" operator="equal">
      <formula>#REF!</formula>
    </cfRule>
    <cfRule type="cellIs" dxfId="671" priority="206" operator="equal">
      <formula>#REF!</formula>
    </cfRule>
  </conditionalFormatting>
  <conditionalFormatting sqref="K307">
    <cfRule type="cellIs" dxfId="670" priority="184" operator="equal">
      <formula>"Muy Alta"</formula>
    </cfRule>
    <cfRule type="cellIs" dxfId="669" priority="185" operator="equal">
      <formula>"Alta"</formula>
    </cfRule>
    <cfRule type="cellIs" dxfId="668" priority="186" operator="equal">
      <formula>"Media"</formula>
    </cfRule>
    <cfRule type="cellIs" dxfId="667" priority="187" operator="equal">
      <formula>"Baja"</formula>
    </cfRule>
    <cfRule type="cellIs" dxfId="666" priority="188" operator="equal">
      <formula>"Muy Baja"</formula>
    </cfRule>
  </conditionalFormatting>
  <conditionalFormatting sqref="O307">
    <cfRule type="cellIs" dxfId="665" priority="179" operator="equal">
      <formula>"Catastrófico"</formula>
    </cfRule>
    <cfRule type="cellIs" dxfId="664" priority="180" operator="equal">
      <formula>"Mayor"</formula>
    </cfRule>
    <cfRule type="cellIs" dxfId="663" priority="181" operator="equal">
      <formula>"Moderado"</formula>
    </cfRule>
    <cfRule type="cellIs" dxfId="662" priority="182" operator="equal">
      <formula>"Menor"</formula>
    </cfRule>
    <cfRule type="cellIs" dxfId="661" priority="183" operator="equal">
      <formula>"Leve"</formula>
    </cfRule>
  </conditionalFormatting>
  <conditionalFormatting sqref="Q307">
    <cfRule type="cellIs" dxfId="660" priority="175" operator="equal">
      <formula>"Extremo"</formula>
    </cfRule>
    <cfRule type="cellIs" dxfId="659" priority="176" operator="equal">
      <formula>"Alto"</formula>
    </cfRule>
    <cfRule type="cellIs" dxfId="658" priority="177" operator="equal">
      <formula>"Moderado"</formula>
    </cfRule>
    <cfRule type="cellIs" dxfId="657" priority="178" operator="equal">
      <formula>"Bajo"</formula>
    </cfRule>
  </conditionalFormatting>
  <conditionalFormatting sqref="AC307:AC312">
    <cfRule type="cellIs" dxfId="656" priority="170" operator="equal">
      <formula>"Muy Alta"</formula>
    </cfRule>
    <cfRule type="cellIs" dxfId="655" priority="171" operator="equal">
      <formula>"Alta"</formula>
    </cfRule>
    <cfRule type="cellIs" dxfId="654" priority="172" operator="equal">
      <formula>"Media"</formula>
    </cfRule>
    <cfRule type="cellIs" dxfId="653" priority="173" operator="equal">
      <formula>"Baja"</formula>
    </cfRule>
    <cfRule type="cellIs" dxfId="652" priority="174" operator="equal">
      <formula>"Muy Baja"</formula>
    </cfRule>
  </conditionalFormatting>
  <conditionalFormatting sqref="AE307:AE312">
    <cfRule type="cellIs" dxfId="651" priority="165" operator="equal">
      <formula>"Catastrófico"</formula>
    </cfRule>
    <cfRule type="cellIs" dxfId="650" priority="166" operator="equal">
      <formula>"Mayor"</formula>
    </cfRule>
    <cfRule type="cellIs" dxfId="649" priority="167" operator="equal">
      <formula>"Moderado"</formula>
    </cfRule>
    <cfRule type="cellIs" dxfId="648" priority="168" operator="equal">
      <formula>"Menor"</formula>
    </cfRule>
    <cfRule type="cellIs" dxfId="647" priority="169" operator="equal">
      <formula>"Leve"</formula>
    </cfRule>
  </conditionalFormatting>
  <conditionalFormatting sqref="AG307:AG312">
    <cfRule type="cellIs" dxfId="646" priority="161" operator="equal">
      <formula>"Extremo"</formula>
    </cfRule>
    <cfRule type="cellIs" dxfId="645" priority="162" operator="equal">
      <formula>"Alto"</formula>
    </cfRule>
    <cfRule type="cellIs" dxfId="644" priority="163" operator="equal">
      <formula>"Moderado"</formula>
    </cfRule>
    <cfRule type="cellIs" dxfId="643" priority="164" operator="equal">
      <formula>"Bajo"</formula>
    </cfRule>
  </conditionalFormatting>
  <conditionalFormatting sqref="N307:N312">
    <cfRule type="containsText" dxfId="642" priority="160" operator="containsText" text="❌">
      <formula>NOT(ISERROR(SEARCH("❌",N307)))</formula>
    </cfRule>
  </conditionalFormatting>
  <conditionalFormatting sqref="B307">
    <cfRule type="cellIs" dxfId="641" priority="142" operator="equal">
      <formula>#REF!</formula>
    </cfRule>
    <cfRule type="cellIs" dxfId="640" priority="143" operator="equal">
      <formula>#REF!</formula>
    </cfRule>
    <cfRule type="cellIs" dxfId="639" priority="144" operator="equal">
      <formula>#REF!</formula>
    </cfRule>
    <cfRule type="cellIs" dxfId="638" priority="145" operator="equal">
      <formula>#REF!</formula>
    </cfRule>
    <cfRule type="cellIs" dxfId="637" priority="146" operator="equal">
      <formula>#REF!</formula>
    </cfRule>
    <cfRule type="cellIs" dxfId="636" priority="147" operator="equal">
      <formula>#REF!</formula>
    </cfRule>
    <cfRule type="cellIs" dxfId="635" priority="148" operator="equal">
      <formula>#REF!</formula>
    </cfRule>
    <cfRule type="cellIs" dxfId="634" priority="149" operator="equal">
      <formula>#REF!</formula>
    </cfRule>
    <cfRule type="cellIs" dxfId="633" priority="150" operator="equal">
      <formula>#REF!</formula>
    </cfRule>
    <cfRule type="cellIs" dxfId="632" priority="151" operator="equal">
      <formula>#REF!</formula>
    </cfRule>
    <cfRule type="cellIs" dxfId="631" priority="152" operator="equal">
      <formula>#REF!</formula>
    </cfRule>
    <cfRule type="cellIs" dxfId="630" priority="153" operator="equal">
      <formula>#REF!</formula>
    </cfRule>
    <cfRule type="cellIs" dxfId="629" priority="154" operator="equal">
      <formula>#REF!</formula>
    </cfRule>
    <cfRule type="cellIs" dxfId="628" priority="155" operator="equal">
      <formula>#REF!</formula>
    </cfRule>
    <cfRule type="cellIs" dxfId="627" priority="156" operator="equal">
      <formula>#REF!</formula>
    </cfRule>
    <cfRule type="cellIs" dxfId="626" priority="157" operator="equal">
      <formula>#REF!</formula>
    </cfRule>
    <cfRule type="cellIs" dxfId="625" priority="158" operator="equal">
      <formula>#REF!</formula>
    </cfRule>
    <cfRule type="cellIs" dxfId="624" priority="159" operator="equal">
      <formula>#REF!</formula>
    </cfRule>
  </conditionalFormatting>
  <conditionalFormatting sqref="K301">
    <cfRule type="cellIs" dxfId="623" priority="90" operator="equal">
      <formula>"Muy Alta"</formula>
    </cfRule>
    <cfRule type="cellIs" dxfId="622" priority="91" operator="equal">
      <formula>"Alta"</formula>
    </cfRule>
    <cfRule type="cellIs" dxfId="621" priority="92" operator="equal">
      <formula>"Media"</formula>
    </cfRule>
    <cfRule type="cellIs" dxfId="620" priority="93" operator="equal">
      <formula>"Baja"</formula>
    </cfRule>
    <cfRule type="cellIs" dxfId="619" priority="94" operator="equal">
      <formula>"Muy Baja"</formula>
    </cfRule>
  </conditionalFormatting>
  <conditionalFormatting sqref="O301">
    <cfRule type="cellIs" dxfId="618" priority="85" operator="equal">
      <formula>"Catastrófico"</formula>
    </cfRule>
    <cfRule type="cellIs" dxfId="617" priority="86" operator="equal">
      <formula>"Mayor"</formula>
    </cfRule>
    <cfRule type="cellIs" dxfId="616" priority="87" operator="equal">
      <formula>"Moderado"</formula>
    </cfRule>
    <cfRule type="cellIs" dxfId="615" priority="88" operator="equal">
      <formula>"Menor"</formula>
    </cfRule>
    <cfRule type="cellIs" dxfId="614" priority="89" operator="equal">
      <formula>"Leve"</formula>
    </cfRule>
  </conditionalFormatting>
  <conditionalFormatting sqref="Q301">
    <cfRule type="cellIs" dxfId="613" priority="81" operator="equal">
      <formula>"Extremo"</formula>
    </cfRule>
    <cfRule type="cellIs" dxfId="612" priority="82" operator="equal">
      <formula>"Alto"</formula>
    </cfRule>
    <cfRule type="cellIs" dxfId="611" priority="83" operator="equal">
      <formula>"Moderado"</formula>
    </cfRule>
    <cfRule type="cellIs" dxfId="610" priority="84" operator="equal">
      <formula>"Bajo"</formula>
    </cfRule>
  </conditionalFormatting>
  <conditionalFormatting sqref="AC301:AC306">
    <cfRule type="cellIs" dxfId="609" priority="76" operator="equal">
      <formula>"Muy Alta"</formula>
    </cfRule>
    <cfRule type="cellIs" dxfId="608" priority="77" operator="equal">
      <formula>"Alta"</formula>
    </cfRule>
    <cfRule type="cellIs" dxfId="607" priority="78" operator="equal">
      <formula>"Media"</formula>
    </cfRule>
    <cfRule type="cellIs" dxfId="606" priority="79" operator="equal">
      <formula>"Baja"</formula>
    </cfRule>
    <cfRule type="cellIs" dxfId="605" priority="80" operator="equal">
      <formula>"Muy Baja"</formula>
    </cfRule>
  </conditionalFormatting>
  <conditionalFormatting sqref="AE301:AE306">
    <cfRule type="cellIs" dxfId="604" priority="71" operator="equal">
      <formula>"Catastrófico"</formula>
    </cfRule>
    <cfRule type="cellIs" dxfId="603" priority="72" operator="equal">
      <formula>"Mayor"</formula>
    </cfRule>
    <cfRule type="cellIs" dxfId="602" priority="73" operator="equal">
      <formula>"Moderado"</formula>
    </cfRule>
    <cfRule type="cellIs" dxfId="601" priority="74" operator="equal">
      <formula>"Menor"</formula>
    </cfRule>
    <cfRule type="cellIs" dxfId="600" priority="75" operator="equal">
      <formula>"Leve"</formula>
    </cfRule>
  </conditionalFormatting>
  <conditionalFormatting sqref="AG301:AG306">
    <cfRule type="cellIs" dxfId="599" priority="67" operator="equal">
      <formula>"Extremo"</formula>
    </cfRule>
    <cfRule type="cellIs" dxfId="598" priority="68" operator="equal">
      <formula>"Alto"</formula>
    </cfRule>
    <cfRule type="cellIs" dxfId="597" priority="69" operator="equal">
      <formula>"Moderado"</formula>
    </cfRule>
    <cfRule type="cellIs" dxfId="596" priority="70" operator="equal">
      <formula>"Bajo"</formula>
    </cfRule>
  </conditionalFormatting>
  <conditionalFormatting sqref="N301:N306">
    <cfRule type="containsText" dxfId="595" priority="66" operator="containsText" text="❌">
      <formula>NOT(ISERROR(SEARCH("❌",N301)))</formula>
    </cfRule>
  </conditionalFormatting>
  <conditionalFormatting sqref="B301">
    <cfRule type="cellIs" dxfId="594" priority="48" operator="equal">
      <formula>#REF!</formula>
    </cfRule>
    <cfRule type="cellIs" dxfId="593" priority="49" operator="equal">
      <formula>#REF!</formula>
    </cfRule>
    <cfRule type="cellIs" dxfId="592" priority="50" operator="equal">
      <formula>#REF!</formula>
    </cfRule>
    <cfRule type="cellIs" dxfId="591" priority="51" operator="equal">
      <formula>#REF!</formula>
    </cfRule>
    <cfRule type="cellIs" dxfId="590" priority="52" operator="equal">
      <formula>#REF!</formula>
    </cfRule>
    <cfRule type="cellIs" dxfId="589" priority="53" operator="equal">
      <formula>#REF!</formula>
    </cfRule>
    <cfRule type="cellIs" dxfId="588" priority="54" operator="equal">
      <formula>#REF!</formula>
    </cfRule>
    <cfRule type="cellIs" dxfId="587" priority="55" operator="equal">
      <formula>#REF!</formula>
    </cfRule>
    <cfRule type="cellIs" dxfId="586" priority="56" operator="equal">
      <formula>#REF!</formula>
    </cfRule>
    <cfRule type="cellIs" dxfId="585" priority="57" operator="equal">
      <formula>#REF!</formula>
    </cfRule>
    <cfRule type="cellIs" dxfId="584" priority="58" operator="equal">
      <formula>#REF!</formula>
    </cfRule>
    <cfRule type="cellIs" dxfId="583" priority="59" operator="equal">
      <formula>#REF!</formula>
    </cfRule>
    <cfRule type="cellIs" dxfId="582" priority="60" operator="equal">
      <formula>#REF!</formula>
    </cfRule>
    <cfRule type="cellIs" dxfId="581" priority="61" operator="equal">
      <formula>#REF!</formula>
    </cfRule>
    <cfRule type="cellIs" dxfId="580" priority="62" operator="equal">
      <formula>#REF!</formula>
    </cfRule>
    <cfRule type="cellIs" dxfId="579" priority="63" operator="equal">
      <formula>#REF!</formula>
    </cfRule>
    <cfRule type="cellIs" dxfId="578" priority="64" operator="equal">
      <formula>#REF!</formula>
    </cfRule>
    <cfRule type="cellIs" dxfId="577" priority="65" operator="equal">
      <formula>#REF!</formula>
    </cfRule>
  </conditionalFormatting>
  <conditionalFormatting sqref="K241">
    <cfRule type="cellIs" dxfId="576" priority="43" operator="equal">
      <formula>"Muy Alta"</formula>
    </cfRule>
    <cfRule type="cellIs" dxfId="575" priority="44" operator="equal">
      <formula>"Alta"</formula>
    </cfRule>
    <cfRule type="cellIs" dxfId="574" priority="45" operator="equal">
      <formula>"Media"</formula>
    </cfRule>
    <cfRule type="cellIs" dxfId="573" priority="46" operator="equal">
      <formula>"Baja"</formula>
    </cfRule>
    <cfRule type="cellIs" dxfId="572" priority="47" operator="equal">
      <formula>"Muy Baja"</formula>
    </cfRule>
  </conditionalFormatting>
  <conditionalFormatting sqref="O241">
    <cfRule type="cellIs" dxfId="571" priority="38" operator="equal">
      <formula>"Catastrófico"</formula>
    </cfRule>
    <cfRule type="cellIs" dxfId="570" priority="39" operator="equal">
      <formula>"Mayor"</formula>
    </cfRule>
    <cfRule type="cellIs" dxfId="569" priority="40" operator="equal">
      <formula>"Moderado"</formula>
    </cfRule>
    <cfRule type="cellIs" dxfId="568" priority="41" operator="equal">
      <formula>"Menor"</formula>
    </cfRule>
    <cfRule type="cellIs" dxfId="567" priority="42" operator="equal">
      <formula>"Leve"</formula>
    </cfRule>
  </conditionalFormatting>
  <conditionalFormatting sqref="Q241">
    <cfRule type="cellIs" dxfId="566" priority="34" operator="equal">
      <formula>"Extremo"</formula>
    </cfRule>
    <cfRule type="cellIs" dxfId="565" priority="35" operator="equal">
      <formula>"Alto"</formula>
    </cfRule>
    <cfRule type="cellIs" dxfId="564" priority="36" operator="equal">
      <formula>"Moderado"</formula>
    </cfRule>
    <cfRule type="cellIs" dxfId="563" priority="37" operator="equal">
      <formula>"Bajo"</formula>
    </cfRule>
  </conditionalFormatting>
  <conditionalFormatting sqref="AC241:AC246">
    <cfRule type="cellIs" dxfId="562" priority="29" operator="equal">
      <formula>"Muy Alta"</formula>
    </cfRule>
    <cfRule type="cellIs" dxfId="561" priority="30" operator="equal">
      <formula>"Alta"</formula>
    </cfRule>
    <cfRule type="cellIs" dxfId="560" priority="31" operator="equal">
      <formula>"Media"</formula>
    </cfRule>
    <cfRule type="cellIs" dxfId="559" priority="32" operator="equal">
      <formula>"Baja"</formula>
    </cfRule>
    <cfRule type="cellIs" dxfId="558" priority="33" operator="equal">
      <formula>"Muy Baja"</formula>
    </cfRule>
  </conditionalFormatting>
  <conditionalFormatting sqref="AE241:AE246">
    <cfRule type="cellIs" dxfId="557" priority="24" operator="equal">
      <formula>"Catastrófico"</formula>
    </cfRule>
    <cfRule type="cellIs" dxfId="556" priority="25" operator="equal">
      <formula>"Mayor"</formula>
    </cfRule>
    <cfRule type="cellIs" dxfId="555" priority="26" operator="equal">
      <formula>"Moderado"</formula>
    </cfRule>
    <cfRule type="cellIs" dxfId="554" priority="27" operator="equal">
      <formula>"Menor"</formula>
    </cfRule>
    <cfRule type="cellIs" dxfId="553" priority="28" operator="equal">
      <formula>"Leve"</formula>
    </cfRule>
  </conditionalFormatting>
  <conditionalFormatting sqref="AG241:AG246">
    <cfRule type="cellIs" dxfId="552" priority="20" operator="equal">
      <formula>"Extremo"</formula>
    </cfRule>
    <cfRule type="cellIs" dxfId="551" priority="21" operator="equal">
      <formula>"Alto"</formula>
    </cfRule>
    <cfRule type="cellIs" dxfId="550" priority="22" operator="equal">
      <formula>"Moderado"</formula>
    </cfRule>
    <cfRule type="cellIs" dxfId="549" priority="23" operator="equal">
      <formula>"Bajo"</formula>
    </cfRule>
  </conditionalFormatting>
  <conditionalFormatting sqref="N241:N246">
    <cfRule type="containsText" dxfId="548" priority="19" operator="containsText" text="❌">
      <formula>NOT(ISERROR(SEARCH("❌",N241)))</formula>
    </cfRule>
  </conditionalFormatting>
  <conditionalFormatting sqref="B241">
    <cfRule type="cellIs" dxfId="547" priority="1" operator="equal">
      <formula>#REF!</formula>
    </cfRule>
    <cfRule type="cellIs" dxfId="546" priority="2" operator="equal">
      <formula>#REF!</formula>
    </cfRule>
    <cfRule type="cellIs" dxfId="545" priority="3" operator="equal">
      <formula>#REF!</formula>
    </cfRule>
    <cfRule type="cellIs" dxfId="544" priority="4" operator="equal">
      <formula>#REF!</formula>
    </cfRule>
    <cfRule type="cellIs" dxfId="543" priority="5" operator="equal">
      <formula>#REF!</formula>
    </cfRule>
    <cfRule type="cellIs" dxfId="542" priority="6" operator="equal">
      <formula>#REF!</formula>
    </cfRule>
    <cfRule type="cellIs" dxfId="541" priority="7" operator="equal">
      <formula>#REF!</formula>
    </cfRule>
    <cfRule type="cellIs" dxfId="540" priority="8" operator="equal">
      <formula>#REF!</formula>
    </cfRule>
    <cfRule type="cellIs" dxfId="539" priority="9" operator="equal">
      <formula>#REF!</formula>
    </cfRule>
    <cfRule type="cellIs" dxfId="538" priority="10" operator="equal">
      <formula>#REF!</formula>
    </cfRule>
    <cfRule type="cellIs" dxfId="537" priority="11" operator="equal">
      <formula>#REF!</formula>
    </cfRule>
    <cfRule type="cellIs" dxfId="536" priority="12" operator="equal">
      <formula>#REF!</formula>
    </cfRule>
    <cfRule type="cellIs" dxfId="535" priority="13" operator="equal">
      <formula>#REF!</formula>
    </cfRule>
    <cfRule type="cellIs" dxfId="534" priority="14" operator="equal">
      <formula>#REF!</formula>
    </cfRule>
    <cfRule type="cellIs" dxfId="533" priority="15" operator="equal">
      <formula>#REF!</formula>
    </cfRule>
    <cfRule type="cellIs" dxfId="532" priority="16" operator="equal">
      <formula>#REF!</formula>
    </cfRule>
    <cfRule type="cellIs" dxfId="531" priority="17" operator="equal">
      <formula>#REF!</formula>
    </cfRule>
    <cfRule type="cellIs" dxfId="530" priority="18" operator="equal">
      <formula>#REF!</formula>
    </cfRule>
  </conditionalFormatting>
  <dataValidations count="1">
    <dataValidation showDropDown="1" showInputMessage="1" showErrorMessage="1" sqref="AI31:AM31"/>
  </dataValidations>
  <pageMargins left="0.7" right="0.7" top="0.75" bottom="0.75" header="0.3" footer="0.3"/>
  <pageSetup scale="11" orientation="portrait"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'Opciones Tratamiento'!$B$2:$B$5</xm:f>
          </x14:formula1>
          <xm:sqref>AH248:AH252 AH7:AH12 AH13:AM13 AH241:AH246 AH253:AM253 AH247:AM247 AH254:AH336 AH14:AH240</xm:sqref>
        </x14:dataValidation>
        <x14:dataValidation type="custom" allowBlank="1" showInputMessage="1" showErrorMessage="1" error="Recuerde que las acciones se generan bajo la medida de mitigar el riesgo">
          <x14:formula1>
            <xm:f>IF(OR(AH11='Opciones Tratamiento'!$B$2,AH11='Opciones Tratamiento'!$B$3,AH11='Opciones Tratamiento'!$B$4),ISBLANK(AH11),ISTEXT(AH11))</xm:f>
          </x14:formula1>
          <xm:sqref>AN11:AO12 AN233:AO234 AN29:AO30 AN251:AO252 AN17:AO18 AN35:AO36 AN23:AO24 AN53:AO54 AN41:AO42 AN47:AO48 AN65:AO66 AN71:AO72 AN59:AO60 AN77:AO78 AN83:AO84 AN89:AO90 AN101:AO102 AN107:AO108 AN95:AO96 AN113:AO114 AN119:AO120 AN131:AO132 AN125:AO126 AN143:AO144 AN137:AO138 AN149:AO150 AN173:AO174 AN185:AO186 AN161:AO162 AN155:AO156 AN179:AO180 AN167:AO168 AN197:AO198 AN203:AO204 AN191:AO192 AN209:AO210 AN221:AO222 AN215:AO216 AN241:AO246 AN227:AO228 AN281:AO282 AN257:AO276 AN287:AO336 AN239:AO240</xm:sqref>
        </x14:dataValidation>
        <x14:dataValidation type="custom" allowBlank="1" showInputMessage="1" showErrorMessage="1" error="Recuerde que las acciones se generan bajo la medida de mitigar el riesgo">
          <x14:formula1>
            <xm:f>IF(OR(AH11='Opciones Tratamiento'!$B$2,AH11='Opciones Tratamiento'!$B$3,AH11='Opciones Tratamiento'!$B$4),ISBLANK(AH11),ISTEXT(AH11))</xm:f>
          </x14:formula1>
          <xm:sqref>AP11:AP12 AP233:AP234 AP29:AP30 AP251:AP252 AP17:AP18 AP35:AP36 AP23:AP24 AP53:AP54 AP41:AP42 AP47:AP48 AP65:AP66 AP71:AP72 AP59:AP60 AP77:AP78 AP83:AP84 AP89:AP90 AP101:AP102 AP107:AP108 AP95:AP96 AP113:AP114 AP119:AP120 AP131:AP132 AP125:AP126 AP143:AP144 AP137:AP138 AP149:AP150 AP173:AP174 AP185:AP186 AP161:AP162 AP155:AP156 AP179:AP180 AP167:AP168 AP197:AP198 AP203:AP204 AP191:AP192 AP209:AP210 AP221:AP222 AP215:AP216 AP241:AP246 AP227:AP228 AP281:AP282 AP257:AP276 AP287:AP336 AP239:AP240</xm:sqref>
        </x14:dataValidation>
        <x14:dataValidation type="custom" allowBlank="1" showInputMessage="1" showErrorMessage="1" error="Recuerde que las acciones se generan bajo la medida de mitigar el riesgo">
          <x14:formula1>
            <xm:f>IF(OR(AH11='Opciones Tratamiento'!$B$2,AH11='Opciones Tratamiento'!$B$3,AH11='Opciones Tratamiento'!$B$4),ISBLANK(AH11),ISTEXT(AH11))</xm:f>
          </x14:formula1>
          <xm:sqref>AQ233:AQ234 AQ11:AQ12 AQ29:AQ30 AQ251:AQ252 AQ17:AQ18 AQ35:AQ36 AQ23:AQ24 AQ53:AQ54 AQ41:AQ42 AQ47:AQ48 AQ65:AQ66 AQ71:AQ72 AQ59:AQ60 AQ77:AQ78 AQ83:AQ84 AQ89:AQ90 AQ101:AQ102 AQ107:AQ108 AQ95:AQ96 AQ113:AQ114 AQ119:AQ120 AQ131:AQ132 AQ125:AQ126 AQ143:AQ144 AQ137:AQ138 AQ149:AQ150 AQ173:AQ174 AQ185:AQ186 AQ161:AQ162 AQ155:AQ156 AQ179:AQ180 AQ167:AQ168 AQ197:AQ198 AQ203:AQ204 AQ191:AQ192 AQ209:AQ210 AQ221:AQ222 AQ215:AQ216 AQ241:AQ246 AQ227:AQ228 AQ281:AQ282 AQ257:AQ276 AQ287:AQ336 AQ239:AQ240</xm:sqref>
        </x14:dataValidation>
        <x14:dataValidation type="custom" allowBlank="1" showInputMessage="1" showErrorMessage="1" error="Recuerde que las acciones se generan bajo la medida de mitigar el riesgo">
          <x14:formula1>
            <xm:f>IF(OR(AH11='Opciones Tratamiento'!$B$2,AH11='Opciones Tratamiento'!$B$3,AH11='Opciones Tratamiento'!$B$4),ISBLANK(AH11),ISTEXT(AH11))</xm:f>
          </x14:formula1>
          <xm:sqref>AR233:AR234 AR11:AR12 AR29:AR30 AR251:AR252 AR17:AR18 AR35:AR36 AR23:AR24 AR53:AR54 AR41:AR42 AR47:AR48 AR65:AR66 AR71:AR72 AR59:AR60 AR77:AR78 AR83:AR84 AR89:AR90 AR101:AR102 AR107:AR108 AR95:AR96 AR113:AR114 AR119:AR120 AR131:AR132 AR125:AR126 AR143:AR144 AR137:AR138 AR149:AR150 AR173:AR174 AR185:AR186 AR161:AR162 AR155:AR156 AR179:AR180 AR167:AR168 AR197:AR198 AR203:AR204 AR191:AR192 AR209:AR210 AR221:AR222 AR215:AR216 AR241:AR246 AR227:AR228 AR281:AR282 AR257:AR276 AR287:AR336 AR239:AR240</xm:sqref>
        </x14:dataValidation>
        <x14:dataValidation type="list" allowBlank="1" showInputMessage="1" showErrorMessage="1">
          <x14:formula1>
            <xm:f>Listas!$B$5:$B$33</xm:f>
          </x14:formula1>
          <xm:sqref>B7:B114 B241:B246 B127:B240 B247:B336</xm:sqref>
        </x14:dataValidation>
        <x14:dataValidation type="list" allowBlank="1" showInputMessage="1" showErrorMessage="1">
          <x14:formula1>
            <xm:f>Listas!$B$5:$B$34</xm:f>
          </x14:formula1>
          <xm:sqref>B115:B126</xm:sqref>
        </x14:dataValidation>
        <x14:dataValidation type="list" allowBlank="1" showInputMessage="1" showErrorMessage="1">
          <x14:formula1>
            <xm:f>'Tabla Valoración controles'!$D$4:$D$6</xm:f>
          </x14:formula1>
          <xm:sqref>V241:V246 V7:V240 V247:V336</xm:sqref>
        </x14:dataValidation>
        <x14:dataValidation type="list" allowBlank="1" showInputMessage="1" showErrorMessage="1">
          <x14:formula1>
            <xm:f>'Tabla Valoración controles'!$D$7:$D$8</xm:f>
          </x14:formula1>
          <xm:sqref>W241:W246 W7:W240 W247:W336</xm:sqref>
        </x14:dataValidation>
        <x14:dataValidation type="list" allowBlank="1" showInputMessage="1" showErrorMessage="1">
          <x14:formula1>
            <xm:f>'Tabla Valoración controles'!$D$9:$D$10</xm:f>
          </x14:formula1>
          <xm:sqref>Y241:Y246 Y7:Y240 Y247:Y336</xm:sqref>
        </x14:dataValidation>
        <x14:dataValidation type="list" allowBlank="1" showInputMessage="1" showErrorMessage="1">
          <x14:formula1>
            <xm:f>'Tabla Valoración controles'!$D$11:$D$12</xm:f>
          </x14:formula1>
          <xm:sqref>Z241:Z246 Z7:Z240 Z247:Z336</xm:sqref>
        </x14:dataValidation>
        <x14:dataValidation type="list" allowBlank="1" showInputMessage="1" showErrorMessage="1">
          <x14:formula1>
            <xm:f>'Tabla Valoración controles'!$D$13:$D$14</xm:f>
          </x14:formula1>
          <xm:sqref>AA241:AA246 AA7:AA240 AA247:AA336</xm:sqref>
        </x14:dataValidation>
        <x14:dataValidation type="list" allowBlank="1" showInputMessage="1" showErrorMessage="1">
          <x14:formula1>
            <xm:f>'Opciones Tratamiento'!$E$2:$E$4</xm:f>
          </x14:formula1>
          <xm:sqref>D241:D246 D7:D240 D247:D336</xm:sqref>
        </x14:dataValidation>
        <x14:dataValidation type="list" allowBlank="1" showInputMessage="1" showErrorMessage="1">
          <x14:formula1>
            <xm:f>'Tabla Impacto'!$F$210:$F$221</xm:f>
          </x14:formula1>
          <xm:sqref>M241:M246 M7:M240 M247:M336</xm:sqref>
        </x14:dataValidation>
        <x14:dataValidation type="list" allowBlank="1" showInputMessage="1" showErrorMessage="1">
          <x14:formula1>
            <xm:f>Listas!$K$5:$K$11</xm:f>
          </x14:formula1>
          <xm:sqref>C241:C246 C7:C240 C247:C336</xm:sqref>
        </x14:dataValidation>
        <x14:dataValidation type="list" allowBlank="1" showInputMessage="1" showErrorMessage="1">
          <x14:formula1>
            <xm:f>'Opciones Tratamiento'!$B$15:$B$24</xm:f>
          </x14:formula1>
          <xm:sqref>H241:H246 H7:H240 H247:H336</xm:sqref>
        </x14:dataValidation>
        <x14:dataValidation type="list" allowBlank="1" showInputMessage="1" showErrorMessage="1">
          <x14:formula1>
            <xm:f>'Opciones Tratamiento'!$E$9:$E$10</xm:f>
          </x14:formula1>
          <xm:sqref>T241:T246 T7:T240 T247:T336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4"/>
  <sheetViews>
    <sheetView zoomScale="70" zoomScaleNormal="70" workbookViewId="0">
      <selection activeCell="A56" sqref="A56:XFD62"/>
    </sheetView>
  </sheetViews>
  <sheetFormatPr baseColWidth="10" defaultColWidth="11.42578125" defaultRowHeight="15" x14ac:dyDescent="0.25"/>
  <cols>
    <col min="1" max="1" width="2.85546875" style="72" customWidth="1"/>
    <col min="2" max="2" width="24.7109375" style="72" customWidth="1"/>
    <col min="3" max="3" width="22.42578125" style="72" customWidth="1"/>
    <col min="4" max="4" width="16" style="72" customWidth="1"/>
    <col min="5" max="5" width="26.42578125" style="72" customWidth="1"/>
    <col min="6" max="6" width="30.140625" style="72" customWidth="1"/>
    <col min="7" max="8" width="24.7109375" style="72" customWidth="1"/>
    <col min="9" max="16384" width="11.42578125" style="72"/>
  </cols>
  <sheetData>
    <row r="1" spans="1:8" s="135" customFormat="1" ht="28.5" customHeight="1" thickTop="1" x14ac:dyDescent="0.2">
      <c r="A1" s="525"/>
      <c r="B1" s="526"/>
      <c r="C1" s="395" t="s">
        <v>274</v>
      </c>
      <c r="D1" s="395"/>
      <c r="E1" s="395"/>
      <c r="F1" s="395"/>
      <c r="G1" s="395"/>
      <c r="H1" s="396"/>
    </row>
    <row r="2" spans="1:8" s="135" customFormat="1" ht="27.75" customHeight="1" x14ac:dyDescent="0.2">
      <c r="A2" s="527"/>
      <c r="B2" s="528"/>
      <c r="C2" s="397" t="s">
        <v>589</v>
      </c>
      <c r="D2" s="397"/>
      <c r="E2" s="397"/>
      <c r="F2" s="397"/>
      <c r="G2" s="397"/>
      <c r="H2" s="398"/>
    </row>
    <row r="3" spans="1:8" s="135" customFormat="1" ht="24" customHeight="1" thickBot="1" x14ac:dyDescent="0.25">
      <c r="A3" s="529"/>
      <c r="B3" s="530"/>
      <c r="C3" s="399"/>
      <c r="D3" s="399"/>
      <c r="E3" s="399"/>
      <c r="F3" s="399"/>
      <c r="G3" s="399"/>
      <c r="H3" s="400"/>
    </row>
    <row r="4" spans="1:8" ht="16.5" thickTop="1" thickBot="1" x14ac:dyDescent="0.3"/>
    <row r="5" spans="1:8" x14ac:dyDescent="0.25">
      <c r="B5" s="531" t="s">
        <v>298</v>
      </c>
      <c r="C5" s="532"/>
      <c r="D5" s="532"/>
      <c r="E5" s="532"/>
      <c r="F5" s="532"/>
      <c r="G5" s="532"/>
      <c r="H5" s="533"/>
    </row>
    <row r="6" spans="1:8" ht="69" customHeight="1" x14ac:dyDescent="0.25">
      <c r="B6" s="534" t="s">
        <v>564</v>
      </c>
      <c r="C6" s="535"/>
      <c r="D6" s="535"/>
      <c r="E6" s="535"/>
      <c r="F6" s="535"/>
      <c r="G6" s="535"/>
      <c r="H6" s="536"/>
    </row>
    <row r="7" spans="1:8" ht="63" customHeight="1" x14ac:dyDescent="0.25">
      <c r="B7" s="534" t="s">
        <v>565</v>
      </c>
      <c r="C7" s="535"/>
      <c r="D7" s="535"/>
      <c r="E7" s="535"/>
      <c r="F7" s="535"/>
      <c r="G7" s="535"/>
      <c r="H7" s="536"/>
    </row>
    <row r="8" spans="1:8" x14ac:dyDescent="0.25">
      <c r="B8" s="537" t="s">
        <v>130</v>
      </c>
      <c r="C8" s="538"/>
      <c r="D8" s="538"/>
      <c r="E8" s="538"/>
      <c r="F8" s="538"/>
      <c r="G8" s="538"/>
      <c r="H8" s="539"/>
    </row>
    <row r="9" spans="1:8" ht="114" customHeight="1" x14ac:dyDescent="0.25">
      <c r="B9" s="540" t="s">
        <v>545</v>
      </c>
      <c r="C9" s="401"/>
      <c r="D9" s="401"/>
      <c r="E9" s="401"/>
      <c r="F9" s="401"/>
      <c r="G9" s="401"/>
      <c r="H9" s="541"/>
    </row>
    <row r="10" spans="1:8" ht="20.100000000000001" customHeight="1" x14ac:dyDescent="0.25">
      <c r="B10" s="223" t="s">
        <v>299</v>
      </c>
      <c r="C10" s="397" t="s">
        <v>300</v>
      </c>
      <c r="D10" s="397"/>
      <c r="E10" s="397"/>
      <c r="F10" s="397"/>
      <c r="G10" s="224"/>
      <c r="H10" s="225"/>
    </row>
    <row r="11" spans="1:8" ht="30" x14ac:dyDescent="0.25">
      <c r="B11" s="223"/>
      <c r="C11" s="226" t="s">
        <v>566</v>
      </c>
      <c r="D11" s="227" t="s">
        <v>301</v>
      </c>
      <c r="E11" s="226" t="s">
        <v>302</v>
      </c>
      <c r="F11" s="226" t="s">
        <v>303</v>
      </c>
      <c r="G11" s="224"/>
      <c r="H11" s="225"/>
    </row>
    <row r="12" spans="1:8" ht="95.25" customHeight="1" x14ac:dyDescent="0.25">
      <c r="B12" s="223"/>
      <c r="C12" s="228" t="s">
        <v>304</v>
      </c>
      <c r="D12" s="193" t="s">
        <v>305</v>
      </c>
      <c r="E12" s="193" t="s">
        <v>305</v>
      </c>
      <c r="F12" s="193" t="s">
        <v>305</v>
      </c>
      <c r="G12" s="224"/>
      <c r="H12" s="225"/>
    </row>
    <row r="13" spans="1:8" ht="16.5" x14ac:dyDescent="0.3">
      <c r="B13" s="542"/>
      <c r="C13" s="386"/>
      <c r="D13" s="386"/>
      <c r="E13" s="386"/>
      <c r="F13" s="386"/>
      <c r="G13" s="386"/>
      <c r="H13" s="543"/>
    </row>
    <row r="14" spans="1:8" ht="39.75" customHeight="1" x14ac:dyDescent="0.25">
      <c r="B14" s="519" t="s">
        <v>546</v>
      </c>
      <c r="C14" s="520"/>
      <c r="D14" s="520"/>
      <c r="E14" s="520"/>
      <c r="F14" s="520"/>
      <c r="G14" s="520"/>
      <c r="H14" s="521"/>
    </row>
    <row r="15" spans="1:8" ht="42" customHeight="1" thickBot="1" x14ac:dyDescent="0.3">
      <c r="B15" s="522"/>
      <c r="C15" s="523"/>
      <c r="D15" s="523"/>
      <c r="E15" s="523"/>
      <c r="F15" s="523"/>
      <c r="G15" s="523"/>
      <c r="H15" s="524"/>
    </row>
    <row r="16" spans="1:8" ht="17.25" thickBot="1" x14ac:dyDescent="0.35">
      <c r="B16" s="195"/>
      <c r="C16" s="196"/>
      <c r="D16" s="197"/>
      <c r="E16" s="198"/>
      <c r="F16" s="198"/>
      <c r="G16" s="199"/>
      <c r="H16" s="200"/>
    </row>
    <row r="17" spans="2:8" ht="17.25" thickTop="1" x14ac:dyDescent="0.3">
      <c r="B17" s="229"/>
      <c r="C17" s="544" t="s">
        <v>131</v>
      </c>
      <c r="D17" s="545"/>
      <c r="E17" s="546" t="s">
        <v>169</v>
      </c>
      <c r="F17" s="547"/>
      <c r="G17" s="196"/>
      <c r="H17" s="200"/>
    </row>
    <row r="18" spans="2:8" ht="93" customHeight="1" x14ac:dyDescent="0.3">
      <c r="B18" s="229"/>
      <c r="C18" s="548" t="s">
        <v>133</v>
      </c>
      <c r="D18" s="549"/>
      <c r="E18" s="550" t="s">
        <v>547</v>
      </c>
      <c r="F18" s="551"/>
      <c r="G18" s="196"/>
      <c r="H18" s="200"/>
    </row>
    <row r="19" spans="2:8" ht="28.5" customHeight="1" x14ac:dyDescent="0.3">
      <c r="B19" s="229"/>
      <c r="C19" s="548" t="s">
        <v>162</v>
      </c>
      <c r="D19" s="549"/>
      <c r="E19" s="550" t="s">
        <v>167</v>
      </c>
      <c r="F19" s="551"/>
      <c r="G19" s="196"/>
      <c r="H19" s="200"/>
    </row>
    <row r="20" spans="2:8" ht="232.5" customHeight="1" x14ac:dyDescent="0.3">
      <c r="B20" s="229"/>
      <c r="C20" s="552" t="s">
        <v>306</v>
      </c>
      <c r="D20" s="553"/>
      <c r="E20" s="554" t="s">
        <v>567</v>
      </c>
      <c r="F20" s="555"/>
      <c r="G20" s="196"/>
      <c r="H20" s="200"/>
    </row>
    <row r="21" spans="2:8" ht="109.5" customHeight="1" x14ac:dyDescent="0.3">
      <c r="B21" s="229"/>
      <c r="C21" s="552" t="s">
        <v>0</v>
      </c>
      <c r="D21" s="553"/>
      <c r="E21" s="550" t="s">
        <v>548</v>
      </c>
      <c r="F21" s="551"/>
      <c r="G21" s="196"/>
      <c r="H21" s="200"/>
    </row>
    <row r="22" spans="2:8" ht="16.5" x14ac:dyDescent="0.3">
      <c r="B22" s="229"/>
      <c r="C22" s="552" t="s">
        <v>36</v>
      </c>
      <c r="D22" s="553"/>
      <c r="E22" s="550" t="s">
        <v>233</v>
      </c>
      <c r="F22" s="551"/>
      <c r="G22" s="196"/>
      <c r="H22" s="200"/>
    </row>
    <row r="23" spans="2:8" ht="58.5" customHeight="1" x14ac:dyDescent="0.3">
      <c r="B23" s="229"/>
      <c r="C23" s="230" t="s">
        <v>307</v>
      </c>
      <c r="D23" s="231"/>
      <c r="E23" s="554" t="s">
        <v>325</v>
      </c>
      <c r="F23" s="555"/>
      <c r="G23" s="196"/>
      <c r="H23" s="200"/>
    </row>
    <row r="24" spans="2:8" ht="137.25" customHeight="1" x14ac:dyDescent="0.3">
      <c r="B24" s="229"/>
      <c r="C24" s="556" t="s">
        <v>36</v>
      </c>
      <c r="D24" s="232" t="s">
        <v>3</v>
      </c>
      <c r="E24" s="550" t="s">
        <v>324</v>
      </c>
      <c r="F24" s="551"/>
      <c r="G24" s="196"/>
      <c r="H24" s="200"/>
    </row>
    <row r="25" spans="2:8" ht="54" customHeight="1" x14ac:dyDescent="0.3">
      <c r="B25" s="229"/>
      <c r="C25" s="556"/>
      <c r="D25" s="232" t="s">
        <v>1</v>
      </c>
      <c r="E25" s="550" t="s">
        <v>549</v>
      </c>
      <c r="F25" s="551"/>
      <c r="G25" s="196"/>
      <c r="H25" s="200"/>
    </row>
    <row r="26" spans="2:8" ht="69" customHeight="1" x14ac:dyDescent="0.3">
      <c r="B26" s="229"/>
      <c r="C26" s="552" t="s">
        <v>550</v>
      </c>
      <c r="D26" s="553"/>
      <c r="E26" s="550" t="s">
        <v>308</v>
      </c>
      <c r="F26" s="551"/>
      <c r="G26" s="196"/>
      <c r="H26" s="200"/>
    </row>
    <row r="27" spans="2:8" ht="75" customHeight="1" x14ac:dyDescent="0.3">
      <c r="B27" s="229"/>
      <c r="C27" s="552" t="s">
        <v>129</v>
      </c>
      <c r="D27" s="553"/>
      <c r="E27" s="550" t="s">
        <v>586</v>
      </c>
      <c r="F27" s="551"/>
      <c r="G27" s="196"/>
      <c r="H27" s="200"/>
    </row>
    <row r="28" spans="2:8" ht="54" customHeight="1" x14ac:dyDescent="0.3">
      <c r="B28" s="229"/>
      <c r="C28" s="552" t="s">
        <v>309</v>
      </c>
      <c r="D28" s="553"/>
      <c r="E28" s="550" t="s">
        <v>551</v>
      </c>
      <c r="F28" s="551"/>
      <c r="G28" s="196"/>
      <c r="H28" s="200"/>
    </row>
    <row r="29" spans="2:8" ht="63.75" customHeight="1" x14ac:dyDescent="0.3">
      <c r="B29" s="229"/>
      <c r="C29" s="556" t="s">
        <v>267</v>
      </c>
      <c r="D29" s="232" t="s">
        <v>268</v>
      </c>
      <c r="E29" s="550" t="s">
        <v>552</v>
      </c>
      <c r="F29" s="551"/>
      <c r="G29" s="196"/>
      <c r="H29" s="200"/>
    </row>
    <row r="30" spans="2:8" ht="90.75" customHeight="1" x14ac:dyDescent="0.3">
      <c r="B30" s="229"/>
      <c r="C30" s="556"/>
      <c r="D30" s="232" t="s">
        <v>269</v>
      </c>
      <c r="E30" s="550" t="s">
        <v>553</v>
      </c>
      <c r="F30" s="551"/>
      <c r="G30" s="196"/>
      <c r="H30" s="200"/>
    </row>
    <row r="31" spans="2:8" ht="93" customHeight="1" x14ac:dyDescent="0.3">
      <c r="B31" s="229"/>
      <c r="C31" s="556"/>
      <c r="D31" s="232" t="s">
        <v>310</v>
      </c>
      <c r="E31" s="550" t="s">
        <v>554</v>
      </c>
      <c r="F31" s="551"/>
      <c r="G31" s="196"/>
      <c r="H31" s="200"/>
    </row>
    <row r="32" spans="2:8" ht="110.25" customHeight="1" x14ac:dyDescent="0.3">
      <c r="B32" s="229"/>
      <c r="C32" s="556"/>
      <c r="D32" s="232" t="s">
        <v>270</v>
      </c>
      <c r="E32" s="550" t="s">
        <v>555</v>
      </c>
      <c r="F32" s="551"/>
      <c r="G32" s="196"/>
      <c r="H32" s="200"/>
    </row>
    <row r="33" spans="2:8" ht="96" customHeight="1" x14ac:dyDescent="0.3">
      <c r="B33" s="229"/>
      <c r="C33" s="556"/>
      <c r="D33" s="232" t="s">
        <v>311</v>
      </c>
      <c r="E33" s="550" t="s">
        <v>556</v>
      </c>
      <c r="F33" s="551"/>
      <c r="G33" s="196"/>
      <c r="H33" s="200"/>
    </row>
    <row r="34" spans="2:8" ht="108" customHeight="1" x14ac:dyDescent="0.3">
      <c r="B34" s="229"/>
      <c r="C34" s="556"/>
      <c r="D34" s="232" t="s">
        <v>271</v>
      </c>
      <c r="E34" s="550" t="s">
        <v>557</v>
      </c>
      <c r="F34" s="551"/>
      <c r="G34" s="196"/>
      <c r="H34" s="200"/>
    </row>
    <row r="35" spans="2:8" ht="102.75" customHeight="1" x14ac:dyDescent="0.3">
      <c r="B35" s="229"/>
      <c r="C35" s="556"/>
      <c r="D35" s="232" t="s">
        <v>272</v>
      </c>
      <c r="E35" s="550" t="s">
        <v>558</v>
      </c>
      <c r="F35" s="551"/>
      <c r="G35" s="196"/>
      <c r="H35" s="200"/>
    </row>
    <row r="36" spans="2:8" ht="116.25" customHeight="1" x14ac:dyDescent="0.3">
      <c r="B36" s="229"/>
      <c r="C36" s="552" t="s">
        <v>312</v>
      </c>
      <c r="D36" s="553"/>
      <c r="E36" s="550" t="s">
        <v>313</v>
      </c>
      <c r="F36" s="551"/>
      <c r="G36" s="196"/>
      <c r="H36" s="200"/>
    </row>
    <row r="37" spans="2:8" ht="133.5" customHeight="1" x14ac:dyDescent="0.3">
      <c r="B37" s="229"/>
      <c r="C37" s="552" t="s">
        <v>314</v>
      </c>
      <c r="D37" s="553"/>
      <c r="E37" s="550" t="s">
        <v>559</v>
      </c>
      <c r="F37" s="551"/>
      <c r="G37" s="196"/>
      <c r="H37" s="200"/>
    </row>
    <row r="38" spans="2:8" ht="91.5" customHeight="1" x14ac:dyDescent="0.3">
      <c r="B38" s="229"/>
      <c r="C38" s="556" t="s">
        <v>560</v>
      </c>
      <c r="D38" s="231" t="s">
        <v>315</v>
      </c>
      <c r="E38" s="550" t="s">
        <v>568</v>
      </c>
      <c r="F38" s="551"/>
      <c r="G38" s="196"/>
      <c r="H38" s="200"/>
    </row>
    <row r="39" spans="2:8" ht="72" customHeight="1" x14ac:dyDescent="0.3">
      <c r="B39" s="229"/>
      <c r="C39" s="556"/>
      <c r="D39" s="231" t="s">
        <v>316</v>
      </c>
      <c r="E39" s="550" t="s">
        <v>561</v>
      </c>
      <c r="F39" s="551"/>
      <c r="G39" s="196"/>
      <c r="H39" s="200"/>
    </row>
    <row r="40" spans="2:8" ht="166.5" customHeight="1" x14ac:dyDescent="0.3">
      <c r="B40" s="229"/>
      <c r="C40" s="556"/>
      <c r="D40" s="231" t="s">
        <v>317</v>
      </c>
      <c r="E40" s="550" t="s">
        <v>326</v>
      </c>
      <c r="F40" s="551"/>
      <c r="G40" s="196"/>
      <c r="H40" s="200"/>
    </row>
    <row r="41" spans="2:8" ht="38.25" customHeight="1" x14ac:dyDescent="0.3">
      <c r="B41" s="229"/>
      <c r="C41" s="556" t="s">
        <v>36</v>
      </c>
      <c r="D41" s="232" t="s">
        <v>3</v>
      </c>
      <c r="E41" s="550" t="s">
        <v>318</v>
      </c>
      <c r="F41" s="551"/>
      <c r="G41" s="196"/>
      <c r="H41" s="200"/>
    </row>
    <row r="42" spans="2:8" ht="54.75" customHeight="1" x14ac:dyDescent="0.3">
      <c r="B42" s="229"/>
      <c r="C42" s="556"/>
      <c r="D42" s="232" t="s">
        <v>1</v>
      </c>
      <c r="E42" s="550" t="s">
        <v>319</v>
      </c>
      <c r="F42" s="551"/>
      <c r="G42" s="196"/>
      <c r="H42" s="200"/>
    </row>
    <row r="43" spans="2:8" ht="57.75" customHeight="1" x14ac:dyDescent="0.3">
      <c r="B43" s="229"/>
      <c r="C43" s="552" t="s">
        <v>562</v>
      </c>
      <c r="D43" s="553"/>
      <c r="E43" s="550" t="s">
        <v>308</v>
      </c>
      <c r="F43" s="551"/>
      <c r="G43" s="196"/>
      <c r="H43" s="200"/>
    </row>
    <row r="44" spans="2:8" ht="48.75" customHeight="1" x14ac:dyDescent="0.3">
      <c r="B44" s="229"/>
      <c r="C44" s="552" t="s">
        <v>320</v>
      </c>
      <c r="D44" s="553"/>
      <c r="E44" s="550" t="s">
        <v>563</v>
      </c>
      <c r="F44" s="551"/>
      <c r="G44" s="196"/>
      <c r="H44" s="200"/>
    </row>
    <row r="45" spans="2:8" ht="60.75" customHeight="1" x14ac:dyDescent="0.3">
      <c r="B45" s="229"/>
      <c r="C45" s="552" t="s">
        <v>587</v>
      </c>
      <c r="D45" s="553"/>
      <c r="E45" s="550" t="s">
        <v>321</v>
      </c>
      <c r="F45" s="551"/>
      <c r="G45" s="196"/>
      <c r="H45" s="200"/>
    </row>
    <row r="46" spans="2:8" ht="45.75" customHeight="1" x14ac:dyDescent="0.3">
      <c r="B46" s="229"/>
      <c r="C46" s="552" t="s">
        <v>322</v>
      </c>
      <c r="D46" s="553"/>
      <c r="E46" s="550" t="s">
        <v>323</v>
      </c>
      <c r="F46" s="551"/>
      <c r="G46" s="196"/>
      <c r="H46" s="200"/>
    </row>
    <row r="47" spans="2:8" ht="64.5" customHeight="1" thickBot="1" x14ac:dyDescent="0.35">
      <c r="B47" s="229"/>
      <c r="C47" s="559" t="s">
        <v>29</v>
      </c>
      <c r="D47" s="560"/>
      <c r="E47" s="557" t="s">
        <v>544</v>
      </c>
      <c r="F47" s="558"/>
      <c r="G47" s="196"/>
      <c r="H47" s="200"/>
    </row>
    <row r="48" spans="2:8" ht="17.25" thickTop="1" x14ac:dyDescent="0.3">
      <c r="B48" s="195"/>
      <c r="C48" s="201"/>
      <c r="D48" s="201"/>
      <c r="E48" s="202"/>
      <c r="F48" s="202"/>
      <c r="G48" s="196"/>
      <c r="H48" s="200"/>
    </row>
    <row r="49" spans="2:8" ht="21" hidden="1" customHeight="1" x14ac:dyDescent="0.25">
      <c r="B49" s="423" t="s">
        <v>581</v>
      </c>
      <c r="C49" s="424"/>
      <c r="D49" s="424"/>
      <c r="E49" s="424"/>
      <c r="F49" s="424"/>
      <c r="G49" s="424"/>
      <c r="H49" s="425"/>
    </row>
    <row r="50" spans="2:8" ht="20.25" hidden="1" customHeight="1" x14ac:dyDescent="0.25">
      <c r="B50" s="423" t="s">
        <v>582</v>
      </c>
      <c r="C50" s="424"/>
      <c r="D50" s="424"/>
      <c r="E50" s="424"/>
      <c r="F50" s="424"/>
      <c r="G50" s="424"/>
      <c r="H50" s="425"/>
    </row>
    <row r="51" spans="2:8" ht="20.25" hidden="1" customHeight="1" x14ac:dyDescent="0.25">
      <c r="B51" s="423" t="s">
        <v>583</v>
      </c>
      <c r="C51" s="424"/>
      <c r="D51" s="424"/>
      <c r="E51" s="424"/>
      <c r="F51" s="424"/>
      <c r="G51" s="424"/>
      <c r="H51" s="425"/>
    </row>
    <row r="52" spans="2:8" ht="20.25" hidden="1" customHeight="1" x14ac:dyDescent="0.25">
      <c r="B52" s="423" t="s">
        <v>584</v>
      </c>
      <c r="C52" s="424"/>
      <c r="D52" s="424"/>
      <c r="E52" s="424"/>
      <c r="F52" s="424"/>
      <c r="G52" s="424"/>
      <c r="H52" s="425"/>
    </row>
    <row r="53" spans="2:8" ht="16.5" hidden="1" x14ac:dyDescent="0.25">
      <c r="B53" s="423" t="s">
        <v>585</v>
      </c>
      <c r="C53" s="424"/>
      <c r="D53" s="424"/>
      <c r="E53" s="424"/>
      <c r="F53" s="424"/>
      <c r="G53" s="424"/>
      <c r="H53" s="425"/>
    </row>
    <row r="54" spans="2:8" ht="17.25" thickBot="1" x14ac:dyDescent="0.35">
      <c r="B54" s="203"/>
      <c r="C54" s="204"/>
      <c r="D54" s="204"/>
      <c r="E54" s="204"/>
      <c r="F54" s="204"/>
      <c r="G54" s="204"/>
      <c r="H54" s="205"/>
    </row>
  </sheetData>
  <mergeCells count="69">
    <mergeCell ref="B52:H52"/>
    <mergeCell ref="B53:H53"/>
    <mergeCell ref="B51:H51"/>
    <mergeCell ref="C41:C42"/>
    <mergeCell ref="E41:F41"/>
    <mergeCell ref="E42:F42"/>
    <mergeCell ref="C43:D43"/>
    <mergeCell ref="E43:F43"/>
    <mergeCell ref="B50:H50"/>
    <mergeCell ref="C44:D44"/>
    <mergeCell ref="E44:F44"/>
    <mergeCell ref="C45:D45"/>
    <mergeCell ref="E45:F45"/>
    <mergeCell ref="C46:D46"/>
    <mergeCell ref="E46:F46"/>
    <mergeCell ref="C47:D47"/>
    <mergeCell ref="E47:F47"/>
    <mergeCell ref="B49:H49"/>
    <mergeCell ref="C36:D36"/>
    <mergeCell ref="E36:F36"/>
    <mergeCell ref="C37:D37"/>
    <mergeCell ref="E37:F37"/>
    <mergeCell ref="C38:C40"/>
    <mergeCell ref="E38:F38"/>
    <mergeCell ref="E39:F39"/>
    <mergeCell ref="E40:F40"/>
    <mergeCell ref="C27:D27"/>
    <mergeCell ref="E27:F27"/>
    <mergeCell ref="C28:D28"/>
    <mergeCell ref="E28:F28"/>
    <mergeCell ref="C29:C35"/>
    <mergeCell ref="E29:F29"/>
    <mergeCell ref="E30:F30"/>
    <mergeCell ref="E31:F31"/>
    <mergeCell ref="E32:F32"/>
    <mergeCell ref="E33:F33"/>
    <mergeCell ref="E34:F34"/>
    <mergeCell ref="E35:F35"/>
    <mergeCell ref="E23:F23"/>
    <mergeCell ref="C24:C25"/>
    <mergeCell ref="E24:F24"/>
    <mergeCell ref="E25:F25"/>
    <mergeCell ref="C26:D26"/>
    <mergeCell ref="E26:F26"/>
    <mergeCell ref="C20:D20"/>
    <mergeCell ref="E20:F20"/>
    <mergeCell ref="C21:D21"/>
    <mergeCell ref="E21:F21"/>
    <mergeCell ref="C22:D22"/>
    <mergeCell ref="E22:F22"/>
    <mergeCell ref="C17:D17"/>
    <mergeCell ref="E17:F17"/>
    <mergeCell ref="C18:D18"/>
    <mergeCell ref="E18:F18"/>
    <mergeCell ref="C19:D19"/>
    <mergeCell ref="E19:F19"/>
    <mergeCell ref="B14:H15"/>
    <mergeCell ref="A1:B3"/>
    <mergeCell ref="C1:H1"/>
    <mergeCell ref="C2:H2"/>
    <mergeCell ref="C3:F3"/>
    <mergeCell ref="G3:H3"/>
    <mergeCell ref="B5:H5"/>
    <mergeCell ref="B6:H6"/>
    <mergeCell ref="B7:H7"/>
    <mergeCell ref="B8:H8"/>
    <mergeCell ref="B9:H9"/>
    <mergeCell ref="C10:F10"/>
    <mergeCell ref="B13:H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214"/>
  <sheetViews>
    <sheetView zoomScale="70" zoomScaleNormal="70" workbookViewId="0">
      <pane xSplit="2" ySplit="6" topLeftCell="C7" activePane="bottomRight" state="frozen"/>
      <selection pane="topRight" activeCell="C1" sqref="C1"/>
      <selection pane="bottomLeft" activeCell="A7" sqref="A7"/>
      <selection pane="bottomRight" activeCell="A103" sqref="A103:A108"/>
    </sheetView>
  </sheetViews>
  <sheetFormatPr baseColWidth="10" defaultColWidth="11.42578125" defaultRowHeight="16.5" x14ac:dyDescent="0.3"/>
  <cols>
    <col min="1" max="1" width="6.42578125" style="2" customWidth="1"/>
    <col min="2" max="3" width="41.42578125" style="112" customWidth="1"/>
    <col min="4" max="4" width="51.85546875" style="2" customWidth="1"/>
    <col min="5" max="5" width="26.5703125" style="2" customWidth="1"/>
    <col min="6" max="6" width="81" style="1" customWidth="1"/>
    <col min="7" max="7" width="27.85546875" style="3" customWidth="1"/>
    <col min="8" max="8" width="27" style="3" customWidth="1"/>
    <col min="9" max="9" width="17.85546875" style="1" customWidth="1"/>
    <col min="10" max="10" width="16.5703125" style="1" customWidth="1"/>
    <col min="11" max="11" width="6.28515625" style="1" bestFit="1" customWidth="1"/>
    <col min="12" max="12" width="17.5703125" style="1" customWidth="1"/>
    <col min="13" max="13" width="18" style="1" customWidth="1"/>
    <col min="14" max="14" width="8.85546875" style="1" customWidth="1"/>
    <col min="15" max="15" width="16" style="1" customWidth="1"/>
    <col min="16" max="16" width="5.85546875" style="1" customWidth="1"/>
    <col min="17" max="17" width="77.28515625" style="332" customWidth="1"/>
    <col min="18" max="18" width="14.7109375" style="3" customWidth="1"/>
    <col min="19" max="19" width="50.28515625" style="3" customWidth="1"/>
    <col min="20" max="20" width="15.140625" style="1" bestFit="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1.140625" style="1" customWidth="1"/>
    <col min="28" max="28" width="8.7109375" style="1" customWidth="1"/>
    <col min="29" max="29" width="8.85546875" style="1" customWidth="1"/>
    <col min="30" max="30" width="9.28515625" style="1" customWidth="1"/>
    <col min="31" max="31" width="7.85546875" style="1" customWidth="1"/>
    <col min="32" max="32" width="8.28515625" style="1" customWidth="1"/>
    <col min="33" max="38" width="7.28515625" style="1" customWidth="1"/>
    <col min="39" max="40" width="28.85546875" style="1" hidden="1" customWidth="1"/>
    <col min="41" max="41" width="21" style="1" hidden="1" customWidth="1"/>
    <col min="42" max="42" width="22.140625" style="1" hidden="1" customWidth="1"/>
    <col min="43" max="43" width="25.85546875" style="1" hidden="1" customWidth="1"/>
    <col min="44" max="44" width="20.5703125" style="1" hidden="1" customWidth="1"/>
    <col min="45" max="45" width="23" style="1" hidden="1" customWidth="1"/>
    <col min="46" max="46" width="18.85546875" style="1" customWidth="1"/>
    <col min="47" max="47" width="18.5703125" style="1" customWidth="1"/>
    <col min="48" max="48" width="21" style="1" customWidth="1"/>
    <col min="49" max="16384" width="11.42578125" style="1"/>
  </cols>
  <sheetData>
    <row r="1" spans="1:63" ht="55.5" customHeight="1" thickBot="1" x14ac:dyDescent="0.35">
      <c r="A1" s="564" t="s">
        <v>1063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row>
    <row r="2" spans="1:63" ht="34.5" customHeight="1" thickBot="1" x14ac:dyDescent="0.35">
      <c r="A2" s="561" t="s">
        <v>186</v>
      </c>
      <c r="B2" s="562"/>
      <c r="C2" s="562"/>
      <c r="D2" s="562"/>
      <c r="E2" s="562"/>
      <c r="F2" s="562"/>
      <c r="G2" s="562"/>
      <c r="H2" s="562"/>
      <c r="I2" s="563"/>
      <c r="J2" s="476" t="s">
        <v>266</v>
      </c>
      <c r="K2" s="477"/>
      <c r="L2" s="477"/>
      <c r="M2" s="477"/>
      <c r="N2" s="477"/>
      <c r="O2" s="478"/>
      <c r="P2" s="476" t="s">
        <v>265</v>
      </c>
      <c r="Q2" s="477"/>
      <c r="R2" s="477"/>
      <c r="S2" s="477"/>
      <c r="T2" s="477"/>
      <c r="U2" s="477"/>
      <c r="V2" s="477"/>
      <c r="W2" s="477"/>
      <c r="X2" s="477"/>
      <c r="Y2" s="477"/>
      <c r="Z2" s="478"/>
      <c r="AA2" s="476" t="s">
        <v>264</v>
      </c>
      <c r="AB2" s="477"/>
      <c r="AC2" s="477"/>
      <c r="AD2" s="477"/>
      <c r="AE2" s="477"/>
      <c r="AF2" s="477"/>
      <c r="AG2" s="478"/>
      <c r="AH2" s="476" t="s">
        <v>669</v>
      </c>
      <c r="AI2" s="477"/>
      <c r="AJ2" s="477"/>
      <c r="AK2" s="477"/>
      <c r="AL2" s="478"/>
      <c r="AM2" s="476" t="s">
        <v>185</v>
      </c>
      <c r="AN2" s="477"/>
      <c r="AO2" s="477"/>
      <c r="AP2" s="477"/>
      <c r="AQ2" s="478"/>
      <c r="AR2" s="566" t="s">
        <v>588</v>
      </c>
      <c r="AS2" s="567"/>
      <c r="AT2" s="4"/>
      <c r="AU2" s="4"/>
      <c r="AV2" s="4"/>
      <c r="AW2" s="4"/>
      <c r="AX2" s="4"/>
      <c r="AY2" s="4"/>
      <c r="AZ2" s="4"/>
    </row>
    <row r="3" spans="1:63" ht="33.75" customHeight="1" thickBot="1" x14ac:dyDescent="0.35">
      <c r="A3" s="479" t="s">
        <v>615</v>
      </c>
      <c r="B3" s="479" t="s">
        <v>616</v>
      </c>
      <c r="C3" s="479" t="s">
        <v>617</v>
      </c>
      <c r="D3" s="494" t="s">
        <v>626</v>
      </c>
      <c r="E3" s="495"/>
      <c r="F3" s="479" t="s">
        <v>184</v>
      </c>
      <c r="G3" s="479" t="s">
        <v>257</v>
      </c>
      <c r="H3" s="479" t="s">
        <v>667</v>
      </c>
      <c r="I3" s="479" t="s">
        <v>263</v>
      </c>
      <c r="J3" s="473" t="s">
        <v>262</v>
      </c>
      <c r="K3" s="473" t="s">
        <v>4</v>
      </c>
      <c r="L3" s="473" t="s">
        <v>718</v>
      </c>
      <c r="M3" s="473" t="s">
        <v>192</v>
      </c>
      <c r="N3" s="313"/>
      <c r="O3" s="473" t="s">
        <v>259</v>
      </c>
      <c r="P3" s="482" t="s">
        <v>10</v>
      </c>
      <c r="Q3" s="460" t="s">
        <v>258</v>
      </c>
      <c r="R3" s="460" t="s">
        <v>668</v>
      </c>
      <c r="S3" s="460" t="s">
        <v>693</v>
      </c>
      <c r="T3" s="460" t="s">
        <v>11</v>
      </c>
      <c r="U3" s="485" t="s">
        <v>7</v>
      </c>
      <c r="V3" s="486"/>
      <c r="W3" s="487"/>
      <c r="X3" s="486"/>
      <c r="Y3" s="486"/>
      <c r="Z3" s="488"/>
      <c r="AA3" s="443" t="s">
        <v>110</v>
      </c>
      <c r="AB3" s="446" t="s">
        <v>33</v>
      </c>
      <c r="AC3" s="446" t="s">
        <v>4</v>
      </c>
      <c r="AD3" s="446" t="s">
        <v>34</v>
      </c>
      <c r="AE3" s="446" t="s">
        <v>4</v>
      </c>
      <c r="AF3" s="463" t="s">
        <v>686</v>
      </c>
      <c r="AG3" s="464" t="s">
        <v>25</v>
      </c>
      <c r="AH3" s="470" t="s">
        <v>670</v>
      </c>
      <c r="AI3" s="470" t="s">
        <v>671</v>
      </c>
      <c r="AJ3" s="470" t="s">
        <v>672</v>
      </c>
      <c r="AK3" s="470" t="s">
        <v>673</v>
      </c>
      <c r="AL3" s="470" t="s">
        <v>674</v>
      </c>
      <c r="AM3" s="467" t="s">
        <v>182</v>
      </c>
      <c r="AN3" s="503" t="s">
        <v>675</v>
      </c>
      <c r="AO3" s="467" t="s">
        <v>181</v>
      </c>
      <c r="AP3" s="467" t="s">
        <v>676</v>
      </c>
      <c r="AQ3" s="571" t="s">
        <v>677</v>
      </c>
      <c r="AR3" s="568" t="s">
        <v>182</v>
      </c>
      <c r="AS3" s="575" t="s">
        <v>181</v>
      </c>
      <c r="AT3" s="4"/>
      <c r="AU3" s="4"/>
      <c r="AV3" s="4"/>
      <c r="AW3" s="4"/>
      <c r="AX3" s="4"/>
      <c r="AY3" s="4"/>
      <c r="AZ3" s="4"/>
    </row>
    <row r="4" spans="1:63" ht="21" customHeight="1" thickBot="1" x14ac:dyDescent="0.35">
      <c r="A4" s="480"/>
      <c r="B4" s="480"/>
      <c r="C4" s="480"/>
      <c r="D4" s="496"/>
      <c r="E4" s="497"/>
      <c r="F4" s="480"/>
      <c r="G4" s="480"/>
      <c r="H4" s="480"/>
      <c r="I4" s="480"/>
      <c r="J4" s="474"/>
      <c r="K4" s="474"/>
      <c r="L4" s="474"/>
      <c r="M4" s="474"/>
      <c r="N4" s="314"/>
      <c r="O4" s="474"/>
      <c r="P4" s="483"/>
      <c r="Q4" s="461"/>
      <c r="R4" s="461"/>
      <c r="S4" s="461"/>
      <c r="T4" s="461"/>
      <c r="U4" s="449" t="s">
        <v>12</v>
      </c>
      <c r="V4" s="449" t="s">
        <v>16</v>
      </c>
      <c r="W4" s="449" t="s">
        <v>24</v>
      </c>
      <c r="X4" s="449" t="s">
        <v>17</v>
      </c>
      <c r="Y4" s="449" t="s">
        <v>20</v>
      </c>
      <c r="Z4" s="452" t="s">
        <v>23</v>
      </c>
      <c r="AA4" s="444"/>
      <c r="AB4" s="447"/>
      <c r="AC4" s="447"/>
      <c r="AD4" s="447"/>
      <c r="AE4" s="447"/>
      <c r="AF4" s="447"/>
      <c r="AG4" s="465"/>
      <c r="AH4" s="471"/>
      <c r="AI4" s="471"/>
      <c r="AJ4" s="471"/>
      <c r="AK4" s="471"/>
      <c r="AL4" s="471"/>
      <c r="AM4" s="468"/>
      <c r="AN4" s="504"/>
      <c r="AO4" s="468"/>
      <c r="AP4" s="468"/>
      <c r="AQ4" s="572"/>
      <c r="AR4" s="569"/>
      <c r="AS4" s="576"/>
      <c r="AT4" s="4"/>
      <c r="AU4" s="4"/>
      <c r="AV4" s="4"/>
      <c r="AW4" s="4"/>
      <c r="AX4" s="4"/>
      <c r="AY4" s="4"/>
      <c r="AZ4" s="4"/>
    </row>
    <row r="5" spans="1:63" ht="33.6" customHeight="1" x14ac:dyDescent="0.3">
      <c r="A5" s="480"/>
      <c r="B5" s="480"/>
      <c r="C5" s="480"/>
      <c r="D5" s="479" t="s">
        <v>665</v>
      </c>
      <c r="E5" s="498" t="s">
        <v>666</v>
      </c>
      <c r="F5" s="480"/>
      <c r="G5" s="480"/>
      <c r="H5" s="480"/>
      <c r="I5" s="480"/>
      <c r="J5" s="474"/>
      <c r="K5" s="474"/>
      <c r="L5" s="474"/>
      <c r="M5" s="474"/>
      <c r="N5" s="314"/>
      <c r="O5" s="474"/>
      <c r="P5" s="483"/>
      <c r="Q5" s="461"/>
      <c r="R5" s="461"/>
      <c r="S5" s="461"/>
      <c r="T5" s="461"/>
      <c r="U5" s="450"/>
      <c r="V5" s="450"/>
      <c r="W5" s="450"/>
      <c r="X5" s="450"/>
      <c r="Y5" s="450"/>
      <c r="Z5" s="452"/>
      <c r="AA5" s="444"/>
      <c r="AB5" s="447"/>
      <c r="AC5" s="447"/>
      <c r="AD5" s="447"/>
      <c r="AE5" s="447"/>
      <c r="AF5" s="447"/>
      <c r="AG5" s="465"/>
      <c r="AH5" s="471"/>
      <c r="AI5" s="471"/>
      <c r="AJ5" s="471"/>
      <c r="AK5" s="471"/>
      <c r="AL5" s="471"/>
      <c r="AM5" s="468"/>
      <c r="AN5" s="504"/>
      <c r="AO5" s="468"/>
      <c r="AP5" s="468"/>
      <c r="AQ5" s="572"/>
      <c r="AR5" s="569"/>
      <c r="AS5" s="576"/>
      <c r="AT5" s="4"/>
      <c r="AU5" s="4"/>
      <c r="AV5" s="4"/>
      <c r="AW5" s="4"/>
      <c r="AX5" s="4"/>
      <c r="AY5" s="4"/>
      <c r="AZ5" s="4"/>
      <c r="BA5" s="4"/>
      <c r="BB5" s="4"/>
      <c r="BC5" s="4"/>
      <c r="BD5" s="4"/>
      <c r="BE5" s="4"/>
      <c r="BF5" s="4"/>
      <c r="BG5" s="4"/>
      <c r="BH5" s="4"/>
      <c r="BI5" s="4"/>
      <c r="BJ5" s="4"/>
      <c r="BK5" s="4"/>
    </row>
    <row r="6" spans="1:63" s="18" customFormat="1" ht="52.15" customHeight="1" thickBot="1" x14ac:dyDescent="0.3">
      <c r="A6" s="481"/>
      <c r="B6" s="481"/>
      <c r="C6" s="481"/>
      <c r="D6" s="481"/>
      <c r="E6" s="499"/>
      <c r="F6" s="481"/>
      <c r="G6" s="481"/>
      <c r="H6" s="481"/>
      <c r="I6" s="481"/>
      <c r="J6" s="475"/>
      <c r="K6" s="475"/>
      <c r="L6" s="475"/>
      <c r="M6" s="475"/>
      <c r="N6" s="315" t="s">
        <v>4</v>
      </c>
      <c r="O6" s="475"/>
      <c r="P6" s="484"/>
      <c r="Q6" s="462"/>
      <c r="R6" s="462"/>
      <c r="S6" s="462"/>
      <c r="T6" s="462"/>
      <c r="U6" s="451"/>
      <c r="V6" s="451"/>
      <c r="W6" s="451"/>
      <c r="X6" s="451"/>
      <c r="Y6" s="451"/>
      <c r="Z6" s="453"/>
      <c r="AA6" s="445"/>
      <c r="AB6" s="448"/>
      <c r="AC6" s="448"/>
      <c r="AD6" s="448"/>
      <c r="AE6" s="448"/>
      <c r="AF6" s="448"/>
      <c r="AG6" s="466"/>
      <c r="AH6" s="472"/>
      <c r="AI6" s="472"/>
      <c r="AJ6" s="472"/>
      <c r="AK6" s="472"/>
      <c r="AL6" s="472"/>
      <c r="AM6" s="469"/>
      <c r="AN6" s="505"/>
      <c r="AO6" s="469"/>
      <c r="AP6" s="469"/>
      <c r="AQ6" s="573"/>
      <c r="AR6" s="570"/>
      <c r="AS6" s="577"/>
    </row>
    <row r="7" spans="1:63" s="271" customFormat="1" ht="169.9" customHeight="1" x14ac:dyDescent="0.2">
      <c r="A7" s="509" t="s">
        <v>691</v>
      </c>
      <c r="B7" s="510" t="s">
        <v>596</v>
      </c>
      <c r="C7" s="511" t="s">
        <v>625</v>
      </c>
      <c r="D7" s="511" t="s">
        <v>690</v>
      </c>
      <c r="E7" s="512" t="s">
        <v>685</v>
      </c>
      <c r="F7" s="513" t="s">
        <v>689</v>
      </c>
      <c r="G7" s="512" t="s">
        <v>233</v>
      </c>
      <c r="H7" s="512" t="s">
        <v>1078</v>
      </c>
      <c r="I7" s="514">
        <v>237528</v>
      </c>
      <c r="J7" s="515" t="str">
        <f t="shared" ref="J7" si="0">IF(I7&lt;=0,"",IF(I7&lt;=2,"Muy Baja",IF(I7&lt;=24,"Baja",IF(I7&lt;=500,"Media",IF(I7&lt;=5000,"Alta","Muy Alta")))))</f>
        <v>Muy Alta</v>
      </c>
      <c r="K7" s="516">
        <f>IF(J7="","",IF(J7="Muy Baja",0.2,IF(J7="Baja",0.4,IF(J7="Media",0.6,IF(J7="Alta",0.8,IF(J7="Muy Alta",1,))))))</f>
        <v>1</v>
      </c>
      <c r="L7" s="515">
        <v>5</v>
      </c>
      <c r="M7" s="516" t="str">
        <f>IF(L7=1,"INSIGNIFICANTE",IF(L7=2,"Menor",IF(L7=3,"Moderado",IF(L7=4,"MAYOR",IF(L7=5,"Catastrófico",IF(L7=""," "))))))</f>
        <v>Catastrófico</v>
      </c>
      <c r="N7" s="516">
        <f>IF(M7="","",IF(M7="Leve",0.2,IF(M7="Menor",0.4,IF(M7="Moderado",0.6,IF(M7="Mayor",0.8,IF(M7="Catastrófico",1,))))))</f>
        <v>1</v>
      </c>
      <c r="O7" s="518" t="str">
        <f>IF(OR(AND(J7="Muy Baja",M7="Leve"),AND(J7="Muy Baja",J7="Menor"),AND(J7="Baja",M7="Leve")),"Bajo",IF(OR(AND(J7="Muy baja",M7="Moderado"),AND(J7="Baja",M7="Menor"),AND(J7="Baja",M7="Moderado"),AND(J7="Media",M7="Leve"),AND(J7="Media",M7="Menor"),AND(J7="Media",M7="Moderado"),AND(J7="Alta",M7="Leve"),AND(J7="Alta",M7="Menor")),"Moderado",IF(OR(AND(J7="Muy Baja",M7="Mayor"),AND(J7="Baja",M7="Mayor"),AND(J7="Media",M7="Mayor"),AND(J7="Alta",M7="Moderado"),AND(J7="Alta",M7="Mayor"),AND(J7="Muy Alta",M7="Leve"),AND(J7="Muy Alta",M7="Menor"),AND(J7="Muy Alta",M7="Moderado"),AND(J7="Muy Alta",M7="Mayor")),"Alto",IF(OR(AND(J7="Muy Baja",M7="Catastrófico"),AND(J7="Baja",M7="Catastrófico"),AND(J7="Media",M7="Catastrófico"),AND(J7="Alta",M7="Catastrófico"),AND(J7="Muy Alta",M7="Catastrófico")),"Extremo",""))))</f>
        <v>Extremo</v>
      </c>
      <c r="P7" s="278">
        <v>1</v>
      </c>
      <c r="Q7" s="329" t="s">
        <v>692</v>
      </c>
      <c r="R7" s="289" t="s">
        <v>293</v>
      </c>
      <c r="S7" s="289" t="s">
        <v>694</v>
      </c>
      <c r="T7" s="279" t="str">
        <f>IF(OR(U7="Preventivo",U7="Detectivo"),"Probabilidad",IF(U7="Correctivo","Impacto",""))</f>
        <v>Probabilidad</v>
      </c>
      <c r="U7" s="280" t="s">
        <v>13</v>
      </c>
      <c r="V7" s="280" t="s">
        <v>8</v>
      </c>
      <c r="W7" s="281" t="str">
        <f>IF(AND(U7="Preventivo",V7="Automático"),"50%",IF(AND(U7="Preventivo",V7="Manual"),"40%",IF(AND(U7="Detectivo",V7="Automático"),"40%",IF(AND(U7="Detectivo",V7="Manual"),"30%",IF(AND(U7="Correctivo",V7="Automático"),"35%",IF(AND(U7="Correctivo",V7="Manual"),"25%",""))))))</f>
        <v>40%</v>
      </c>
      <c r="X7" s="280" t="s">
        <v>18</v>
      </c>
      <c r="Y7" s="280" t="s">
        <v>21</v>
      </c>
      <c r="Z7" s="280" t="s">
        <v>103</v>
      </c>
      <c r="AA7" s="282">
        <f>IFERROR(IF(T7="Probabilidad",(K7-(+K7*W7)),IF(T7="Impacto",K7,"")),"")</f>
        <v>0.6</v>
      </c>
      <c r="AB7" s="283" t="str">
        <f>IFERROR(IF(AA7="","",IF(AA7&lt;=0.2,"Muy Baja",IF(AA7&lt;=0.4,"Baja",IF(AA7&lt;=0.6,"Media",IF(AA7&lt;=0.8,"Alta","Muy Alta"))))),"")</f>
        <v>Media</v>
      </c>
      <c r="AC7" s="281">
        <f>+AA7</f>
        <v>0.6</v>
      </c>
      <c r="AD7" s="283" t="str">
        <f>IFERROR(IF(AE7="","",IF(AE7&lt;=0.2,"Leve",IF(AE7&lt;=0.4,"Menor",IF(AE7&lt;=0.6,"Moderado",IF(AE7&lt;=0.8,"Mayor","Catastrófico"))))),"")</f>
        <v>Catastrófico</v>
      </c>
      <c r="AE7" s="297">
        <f>IFERROR(IF(T7="Impacto",(N7-(+N7*W7)),IF(T7="Probabilidad",N7,"")),"")</f>
        <v>1</v>
      </c>
      <c r="AF7" s="284"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Extremo</v>
      </c>
      <c r="AG7" s="280" t="s">
        <v>26</v>
      </c>
      <c r="AH7" s="290">
        <v>4</v>
      </c>
      <c r="AI7" s="290">
        <v>1</v>
      </c>
      <c r="AJ7" s="290">
        <v>1</v>
      </c>
      <c r="AK7" s="290">
        <v>1</v>
      </c>
      <c r="AL7" s="290">
        <v>1</v>
      </c>
      <c r="AM7" s="285"/>
      <c r="AN7" s="285"/>
      <c r="AO7" s="257"/>
      <c r="AP7" s="286"/>
      <c r="AQ7" s="287"/>
      <c r="AR7" s="288"/>
      <c r="AS7" s="288"/>
    </row>
    <row r="8" spans="1:63" s="113" customFormat="1" ht="144" customHeight="1" x14ac:dyDescent="0.2">
      <c r="A8" s="437"/>
      <c r="B8" s="438"/>
      <c r="C8" s="434"/>
      <c r="D8" s="434"/>
      <c r="E8" s="435"/>
      <c r="F8" s="436"/>
      <c r="G8" s="435"/>
      <c r="H8" s="435"/>
      <c r="I8" s="439"/>
      <c r="J8" s="430"/>
      <c r="K8" s="431"/>
      <c r="L8" s="430"/>
      <c r="M8" s="431"/>
      <c r="N8" s="431"/>
      <c r="O8" s="433"/>
      <c r="P8" s="316">
        <v>2</v>
      </c>
      <c r="Q8" s="325" t="s">
        <v>695</v>
      </c>
      <c r="R8" s="312" t="s">
        <v>293</v>
      </c>
      <c r="S8" s="317" t="s">
        <v>696</v>
      </c>
      <c r="T8" s="208" t="str">
        <f>IF(OR(U8="Preventivo",U8="Detectivo"),"Probabilidad",IF(U8="Correctivo","Impacto",""))</f>
        <v>Probabilidad</v>
      </c>
      <c r="U8" s="237" t="s">
        <v>13</v>
      </c>
      <c r="V8" s="237" t="s">
        <v>8</v>
      </c>
      <c r="W8" s="209" t="str">
        <f t="shared" ref="W8" si="1">IF(AND(U8="Preventivo",V8="Automático"),"50%",IF(AND(U8="Preventivo",V8="Manual"),"40%",IF(AND(U8="Detectivo",V8="Automático"),"40%",IF(AND(U8="Detectivo",V8="Manual"),"30%",IF(AND(U8="Correctivo",V8="Automático"),"35%",IF(AND(U8="Correctivo",V8="Manual"),"25%",""))))))</f>
        <v>40%</v>
      </c>
      <c r="X8" s="237" t="s">
        <v>18</v>
      </c>
      <c r="Y8" s="237" t="s">
        <v>21</v>
      </c>
      <c r="Z8" s="237" t="s">
        <v>103</v>
      </c>
      <c r="AA8" s="210">
        <f>IFERROR(IF(AND(T7="Probabilidad",T8="Probabilidad"),(AC7-(+AC7*W8)),IF(T8="Probabilidad",(K7-(+K7*W8)),IF(T8="Impacto",AC7,""))),"")</f>
        <v>0.36</v>
      </c>
      <c r="AB8" s="211" t="str">
        <f>IFERROR(IF(AA8="","",IF(AA8&lt;=0.2,"Muy Baja",IF(AA8&lt;=0.4,"Baja",IF(AA8&lt;=0.6,"Media",IF(AA8&lt;=0.8,"Alta","Muy Alta"))))),"")</f>
        <v>Baja</v>
      </c>
      <c r="AC8" s="209">
        <f t="shared" ref="AC8:AC12" si="2">+AA8</f>
        <v>0.36</v>
      </c>
      <c r="AD8" s="211" t="str">
        <f>IFERROR(IF(AE8="","",IF(AE8&lt;=0.2,"Leve",IF(AE8&lt;=0.4,"Menor",IF(AE8&lt;=0.6,"Moderado",IF(AE8&lt;=0.8,"Mayor","Catastrófico"))))),"")</f>
        <v>Catastrófico</v>
      </c>
      <c r="AE8" s="209">
        <f>IFERROR(IF(AND(T7="Impacto",T8="Impacto"),(AE7-(+AE7*W8)),IF(T8="Impacto",(#REF!-(+#REF!*W8)),IF(T8="Probabilidad",AE7,""))),"")</f>
        <v>1</v>
      </c>
      <c r="AF8" s="212" t="str">
        <f t="shared" ref="AF8:AF9" si="3">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Extremo</v>
      </c>
      <c r="AG8" s="237" t="s">
        <v>26</v>
      </c>
      <c r="AH8" s="319">
        <v>12</v>
      </c>
      <c r="AI8" s="319">
        <v>3</v>
      </c>
      <c r="AJ8" s="319">
        <v>3</v>
      </c>
      <c r="AK8" s="319">
        <v>3</v>
      </c>
      <c r="AL8" s="319">
        <v>3</v>
      </c>
      <c r="AM8" s="254"/>
      <c r="AN8" s="254"/>
      <c r="AO8" s="259"/>
      <c r="AP8" s="220"/>
      <c r="AQ8" s="254"/>
      <c r="AR8" s="277"/>
      <c r="AS8" s="277"/>
      <c r="AT8" s="129"/>
      <c r="AU8" s="129"/>
      <c r="AV8" s="129"/>
      <c r="AW8" s="129"/>
      <c r="AX8" s="129"/>
      <c r="AY8" s="129"/>
      <c r="AZ8" s="129"/>
      <c r="BA8" s="129"/>
      <c r="BB8" s="129"/>
      <c r="BC8" s="129"/>
      <c r="BD8" s="129"/>
      <c r="BE8" s="129"/>
      <c r="BF8" s="129"/>
      <c r="BG8" s="129"/>
      <c r="BH8" s="129"/>
    </row>
    <row r="9" spans="1:63" s="113" customFormat="1" ht="14.25" hidden="1" customHeight="1" x14ac:dyDescent="0.2">
      <c r="A9" s="437"/>
      <c r="B9" s="438"/>
      <c r="C9" s="434"/>
      <c r="D9" s="434"/>
      <c r="E9" s="435"/>
      <c r="F9" s="436"/>
      <c r="G9" s="435"/>
      <c r="H9" s="435"/>
      <c r="I9" s="439"/>
      <c r="J9" s="430"/>
      <c r="K9" s="431"/>
      <c r="L9" s="430"/>
      <c r="M9" s="431"/>
      <c r="N9" s="431"/>
      <c r="O9" s="433"/>
      <c r="P9" s="316">
        <v>3</v>
      </c>
      <c r="Q9" s="330"/>
      <c r="R9" s="312"/>
      <c r="S9" s="317"/>
      <c r="T9" s="208" t="str">
        <f>IF(OR(U9="Preventivo",U9="Detectivo"),"Probabilidad",IF(U9="Correctivo","Impacto",""))</f>
        <v/>
      </c>
      <c r="U9" s="237"/>
      <c r="V9" s="237"/>
      <c r="W9" s="209" t="str">
        <f>IF(AND(U9="Preventivo",V9="Automático"),"50%",IF(AND(U9="Preventivo",V9="Manual"),"40%",IF(AND(U9="Detectivo",V9="Automático"),"40%",IF(AND(U9="Detectivo",V9="Manual"),"30%",IF(AND(U9="Correctivo",V9="Automático"),"35%",IF(AND(U9="Correctivo",V9="Manual"),"25%",""))))))</f>
        <v/>
      </c>
      <c r="X9" s="237"/>
      <c r="Y9" s="237"/>
      <c r="Z9" s="237"/>
      <c r="AA9" s="210" t="str">
        <f t="shared" ref="AA9:AA12" si="4">IFERROR(IF(AND(T8="Probabilidad",T9="Probabilidad"),(AC8-(+AC8*W9)),IF(AND(T8="Impacto",T9="Probabilidad"),(AC7-(+AC7*W9)),IF(T9="Impacto",AC8,""))),"")</f>
        <v/>
      </c>
      <c r="AB9" s="211" t="str">
        <f t="shared" ref="AB9:AB12" si="5">IFERROR(IF(AA9="","",IF(AA9&lt;=0.2,"Muy Baja",IF(AA9&lt;=0.4,"Baja",IF(AA9&lt;=0.6,"Media",IF(AA9&lt;=0.8,"Alta","Muy Alta"))))),"")</f>
        <v/>
      </c>
      <c r="AC9" s="209" t="str">
        <f t="shared" si="2"/>
        <v/>
      </c>
      <c r="AD9" s="211" t="str">
        <f t="shared" ref="AD9:AD12" si="6">IFERROR(IF(AE9="","",IF(AE9&lt;=0.2,"Leve",IF(AE9&lt;=0.4,"Menor",IF(AE9&lt;=0.6,"Moderado",IF(AE9&lt;=0.8,"Mayor","Catastrófico"))))),"")</f>
        <v/>
      </c>
      <c r="AE9" s="209" t="str">
        <f>IFERROR(IF(AND(T8="Impacto",T9="Impacto"),(AE8-(+AE8*W9)),IF(T9="Impacto",(#REF!-(+#REF!*W9)),IF(T9="Probabilidad",AE8,""))),"")</f>
        <v/>
      </c>
      <c r="AF9" s="212" t="str">
        <f t="shared" si="3"/>
        <v/>
      </c>
      <c r="AG9" s="237"/>
      <c r="AH9" s="319"/>
      <c r="AI9" s="319"/>
      <c r="AJ9" s="319"/>
      <c r="AK9" s="319"/>
      <c r="AL9" s="319"/>
      <c r="AM9" s="254"/>
      <c r="AN9" s="254"/>
      <c r="AO9" s="259"/>
      <c r="AP9" s="220"/>
      <c r="AQ9" s="254"/>
      <c r="AR9" s="277"/>
      <c r="AS9" s="277"/>
      <c r="AT9" s="129"/>
      <c r="AU9" s="129"/>
      <c r="AV9" s="129"/>
      <c r="AW9" s="129"/>
      <c r="AX9" s="129"/>
      <c r="AY9" s="129"/>
      <c r="AZ9" s="129"/>
      <c r="BA9" s="129"/>
      <c r="BB9" s="129"/>
      <c r="BC9" s="129"/>
      <c r="BD9" s="129"/>
      <c r="BE9" s="129"/>
      <c r="BF9" s="129"/>
      <c r="BG9" s="129"/>
      <c r="BH9" s="129"/>
    </row>
    <row r="10" spans="1:63" s="113" customFormat="1" ht="14.25" hidden="1" customHeight="1" x14ac:dyDescent="0.2">
      <c r="A10" s="437"/>
      <c r="B10" s="438"/>
      <c r="C10" s="434"/>
      <c r="D10" s="434"/>
      <c r="E10" s="435"/>
      <c r="F10" s="436"/>
      <c r="G10" s="435"/>
      <c r="H10" s="435"/>
      <c r="I10" s="439"/>
      <c r="J10" s="430"/>
      <c r="K10" s="431"/>
      <c r="L10" s="430"/>
      <c r="M10" s="431"/>
      <c r="N10" s="431"/>
      <c r="O10" s="433"/>
      <c r="P10" s="316">
        <v>4</v>
      </c>
      <c r="Q10" s="325"/>
      <c r="R10" s="312"/>
      <c r="S10" s="317"/>
      <c r="T10" s="208" t="str">
        <f t="shared" ref="T10:T12" si="7">IF(OR(U10="Preventivo",U10="Detectivo"),"Probabilidad",IF(U10="Correctivo","Impacto",""))</f>
        <v/>
      </c>
      <c r="U10" s="237"/>
      <c r="V10" s="237"/>
      <c r="W10" s="209" t="str">
        <f t="shared" ref="W10:W62" si="8">IF(AND(U10="Preventivo",V10="Automático"),"50%",IF(AND(U10="Preventivo",V10="Manual"),"40%",IF(AND(U10="Detectivo",V10="Automático"),"40%",IF(AND(U10="Detectivo",V10="Manual"),"30%",IF(AND(U10="Correctivo",V10="Automático"),"35%",IF(AND(U10="Correctivo",V10="Manual"),"25%",""))))))</f>
        <v/>
      </c>
      <c r="X10" s="237"/>
      <c r="Y10" s="237"/>
      <c r="Z10" s="237"/>
      <c r="AA10" s="210" t="str">
        <f t="shared" si="4"/>
        <v/>
      </c>
      <c r="AB10" s="211" t="str">
        <f t="shared" si="5"/>
        <v/>
      </c>
      <c r="AC10" s="209" t="str">
        <f t="shared" si="2"/>
        <v/>
      </c>
      <c r="AD10" s="211" t="str">
        <f t="shared" si="6"/>
        <v/>
      </c>
      <c r="AE10" s="209" t="str">
        <f>IFERROR(IF(AND(T9="Impacto",T10="Impacto"),(AE9-(+AE9*W10)),IF(T10="Impacto",(#REF!-(+#REF!*W10)),IF(T10="Probabilidad",AE9,""))),"")</f>
        <v/>
      </c>
      <c r="AF10" s="212" t="str">
        <f>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
      </c>
      <c r="AG10" s="237"/>
      <c r="AH10" s="319"/>
      <c r="AI10" s="319"/>
      <c r="AJ10" s="319"/>
      <c r="AK10" s="319"/>
      <c r="AL10" s="319"/>
      <c r="AM10" s="213"/>
      <c r="AN10" s="213"/>
      <c r="AO10" s="256"/>
      <c r="AP10" s="220"/>
      <c r="AQ10" s="213"/>
      <c r="AR10" s="277"/>
      <c r="AS10" s="277"/>
      <c r="AT10" s="129"/>
      <c r="AU10" s="129"/>
      <c r="AV10" s="129"/>
      <c r="AW10" s="129"/>
      <c r="AX10" s="129"/>
      <c r="AY10" s="129"/>
      <c r="AZ10" s="129"/>
      <c r="BA10" s="129"/>
      <c r="BB10" s="129"/>
      <c r="BC10" s="129"/>
      <c r="BD10" s="129"/>
      <c r="BE10" s="129"/>
      <c r="BF10" s="129"/>
      <c r="BG10" s="129"/>
      <c r="BH10" s="129"/>
    </row>
    <row r="11" spans="1:63" s="113" customFormat="1" ht="14.25" hidden="1" customHeight="1" x14ac:dyDescent="0.2">
      <c r="A11" s="437"/>
      <c r="B11" s="438"/>
      <c r="C11" s="434"/>
      <c r="D11" s="434"/>
      <c r="E11" s="435"/>
      <c r="F11" s="436"/>
      <c r="G11" s="435"/>
      <c r="H11" s="435"/>
      <c r="I11" s="439"/>
      <c r="J11" s="430"/>
      <c r="K11" s="431"/>
      <c r="L11" s="430"/>
      <c r="M11" s="431"/>
      <c r="N11" s="431"/>
      <c r="O11" s="433"/>
      <c r="P11" s="316">
        <v>5</v>
      </c>
      <c r="Q11" s="325"/>
      <c r="R11" s="312"/>
      <c r="S11" s="317"/>
      <c r="T11" s="208" t="str">
        <f t="shared" si="7"/>
        <v/>
      </c>
      <c r="U11" s="237"/>
      <c r="V11" s="237"/>
      <c r="W11" s="209" t="str">
        <f t="shared" si="8"/>
        <v/>
      </c>
      <c r="X11" s="237"/>
      <c r="Y11" s="237"/>
      <c r="Z11" s="237"/>
      <c r="AA11" s="210" t="str">
        <f t="shared" si="4"/>
        <v/>
      </c>
      <c r="AB11" s="211" t="str">
        <f t="shared" si="5"/>
        <v/>
      </c>
      <c r="AC11" s="209" t="str">
        <f t="shared" si="2"/>
        <v/>
      </c>
      <c r="AD11" s="211" t="str">
        <f t="shared" si="6"/>
        <v/>
      </c>
      <c r="AE11" s="209" t="str">
        <f>IFERROR(IF(AND(T10="Impacto",T11="Impacto"),(AE10-(+AE10*W11)),IF(T11="Impacto",(#REF!-(+#REF!*W11)),IF(T11="Probabilidad",AE10,""))),"")</f>
        <v/>
      </c>
      <c r="AF11" s="212" t="str">
        <f t="shared" ref="AF11:AF12" si="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237"/>
      <c r="AH11" s="319"/>
      <c r="AI11" s="319"/>
      <c r="AJ11" s="319"/>
      <c r="AK11" s="319"/>
      <c r="AL11" s="319"/>
      <c r="AM11" s="253"/>
      <c r="AN11" s="253"/>
      <c r="AO11" s="255"/>
      <c r="AP11" s="216"/>
      <c r="AQ11" s="216"/>
      <c r="AR11" s="277"/>
      <c r="AS11" s="277"/>
      <c r="AT11" s="129"/>
      <c r="AU11" s="129"/>
      <c r="AV11" s="129"/>
      <c r="AW11" s="129"/>
      <c r="AX11" s="129"/>
      <c r="AY11" s="129"/>
      <c r="AZ11" s="129"/>
      <c r="BA11" s="129"/>
      <c r="BB11" s="129"/>
      <c r="BC11" s="129"/>
      <c r="BD11" s="129"/>
      <c r="BE11" s="129"/>
      <c r="BF11" s="129"/>
      <c r="BG11" s="129"/>
      <c r="BH11" s="129"/>
    </row>
    <row r="12" spans="1:63" s="113" customFormat="1" ht="14.25" hidden="1" customHeight="1" x14ac:dyDescent="0.2">
      <c r="A12" s="437"/>
      <c r="B12" s="438"/>
      <c r="C12" s="434"/>
      <c r="D12" s="434"/>
      <c r="E12" s="435"/>
      <c r="F12" s="436"/>
      <c r="G12" s="435"/>
      <c r="H12" s="435"/>
      <c r="I12" s="439"/>
      <c r="J12" s="430"/>
      <c r="K12" s="431"/>
      <c r="L12" s="430"/>
      <c r="M12" s="431"/>
      <c r="N12" s="431"/>
      <c r="O12" s="433"/>
      <c r="P12" s="316">
        <v>6</v>
      </c>
      <c r="Q12" s="325"/>
      <c r="R12" s="312"/>
      <c r="S12" s="317"/>
      <c r="T12" s="208" t="str">
        <f t="shared" si="7"/>
        <v/>
      </c>
      <c r="U12" s="237"/>
      <c r="V12" s="237"/>
      <c r="W12" s="209" t="str">
        <f t="shared" si="8"/>
        <v/>
      </c>
      <c r="X12" s="237"/>
      <c r="Y12" s="237"/>
      <c r="Z12" s="237"/>
      <c r="AA12" s="210" t="str">
        <f t="shared" si="4"/>
        <v/>
      </c>
      <c r="AB12" s="211" t="str">
        <f t="shared" si="5"/>
        <v/>
      </c>
      <c r="AC12" s="209" t="str">
        <f t="shared" si="2"/>
        <v/>
      </c>
      <c r="AD12" s="211" t="str">
        <f t="shared" si="6"/>
        <v/>
      </c>
      <c r="AE12" s="209" t="str">
        <f>IFERROR(IF(AND(T11="Impacto",T12="Impacto"),(AE11-(+AE11*W12)),IF(T12="Impacto",(#REF!-(+#REF!*W12)),IF(T12="Probabilidad",AE11,""))),"")</f>
        <v/>
      </c>
      <c r="AF12" s="212" t="str">
        <f t="shared" si="9"/>
        <v/>
      </c>
      <c r="AG12" s="237"/>
      <c r="AH12" s="319"/>
      <c r="AI12" s="319"/>
      <c r="AJ12" s="319"/>
      <c r="AK12" s="319"/>
      <c r="AL12" s="319"/>
      <c r="AM12" s="253"/>
      <c r="AN12" s="253"/>
      <c r="AO12" s="255"/>
      <c r="AP12" s="216"/>
      <c r="AQ12" s="216"/>
      <c r="AR12" s="277"/>
      <c r="AS12" s="277"/>
      <c r="AT12" s="129"/>
      <c r="AU12" s="129"/>
      <c r="AV12" s="129"/>
      <c r="AW12" s="129"/>
      <c r="AX12" s="129"/>
      <c r="AY12" s="129"/>
      <c r="AZ12" s="129"/>
      <c r="BA12" s="129"/>
      <c r="BB12" s="129"/>
      <c r="BC12" s="129"/>
      <c r="BD12" s="129"/>
      <c r="BE12" s="129"/>
      <c r="BF12" s="129"/>
      <c r="BG12" s="129"/>
      <c r="BH12" s="129"/>
    </row>
    <row r="13" spans="1:63" s="271" customFormat="1" ht="140.44999999999999" customHeight="1" x14ac:dyDescent="0.2">
      <c r="A13" s="437" t="s">
        <v>827</v>
      </c>
      <c r="B13" s="438" t="s">
        <v>818</v>
      </c>
      <c r="C13" s="434" t="s">
        <v>619</v>
      </c>
      <c r="D13" s="434" t="s">
        <v>829</v>
      </c>
      <c r="E13" s="435" t="s">
        <v>685</v>
      </c>
      <c r="F13" s="436" t="s">
        <v>828</v>
      </c>
      <c r="G13" s="435" t="s">
        <v>233</v>
      </c>
      <c r="H13" s="435" t="s">
        <v>1078</v>
      </c>
      <c r="I13" s="439">
        <v>2</v>
      </c>
      <c r="J13" s="430" t="str">
        <f t="shared" ref="J13" si="10">IF(I13&lt;=0,"",IF(I13&lt;=2,"Muy Baja",IF(I13&lt;=24,"Baja",IF(I13&lt;=500,"Media",IF(I13&lt;=5000,"Alta","Muy Alta")))))</f>
        <v>Muy Baja</v>
      </c>
      <c r="K13" s="431">
        <f t="shared" ref="K13" si="11">IF(J13="","",IF(J13="Muy Baja",0.2,IF(J13="Baja",0.4,IF(J13="Media",0.6,IF(J13="Alta",0.8,IF(J13="Muy Alta",1,))))))</f>
        <v>0.2</v>
      </c>
      <c r="L13" s="430">
        <v>5</v>
      </c>
      <c r="M13" s="431" t="str">
        <f>IF(L13=1,"INSIGNIFICANTE",IF(L13=2,"Menor",IF(L13=3,"Moderado",IF(L13=4,"MAYOR",IF(L13=5,"Catastrófico",IF(L13=""," "))))))</f>
        <v>Catastrófico</v>
      </c>
      <c r="N13" s="431">
        <f t="shared" ref="N13" si="12">IF(M13="","",IF(M13="Leve",0.2,IF(M13="Menor",0.4,IF(M13="Moderado",0.6,IF(M13="Mayor",0.8,IF(M13="Catastrófico",1,))))))</f>
        <v>1</v>
      </c>
      <c r="O13" s="433" t="str">
        <f t="shared" ref="O13" si="13">IF(OR(AND(J13="Muy Baja",M13="Leve"),AND(J13="Muy Baja",J13="Menor"),AND(J13="Baja",M13="Leve")),"Bajo",IF(OR(AND(J13="Muy baja",M13="Moderado"),AND(J13="Baja",M13="Menor"),AND(J13="Baja",M13="Moderado"),AND(J13="Media",M13="Leve"),AND(J13="Media",M13="Menor"),AND(J13="Media",M13="Moderado"),AND(J13="Alta",M13="Leve"),AND(J13="Alta",M13="Menor")),"Moderado",IF(OR(AND(J13="Muy Baja",M13="Mayor"),AND(J13="Baja",M13="Mayor"),AND(J13="Media",M13="Mayor"),AND(J13="Alta",M13="Moderado"),AND(J13="Alta",M13="Mayor"),AND(J13="Muy Alta",M13="Leve"),AND(J13="Muy Alta",M13="Menor"),AND(J13="Muy Alta",M13="Moderado"),AND(J13="Muy Alta",M13="Mayor")),"Alto",IF(OR(AND(J13="Muy Baja",M13="Catastrófico"),AND(J13="Baja",M13="Catastrófico"),AND(J13="Media",M13="Catastrófico"),AND(J13="Alta",M13="Catastrófico"),AND(J13="Muy Alta",M13="Catastrófico")),"Extremo",""))))</f>
        <v>Extremo</v>
      </c>
      <c r="P13" s="261">
        <v>1</v>
      </c>
      <c r="Q13" s="328" t="s">
        <v>830</v>
      </c>
      <c r="R13" s="272" t="s">
        <v>293</v>
      </c>
      <c r="S13" s="317" t="s">
        <v>831</v>
      </c>
      <c r="T13" s="262" t="str">
        <f>IF(OR(U13="Preventivo",U13="Detectivo"),"Probabilidad",IF(U13="Correctivo","Impacto",""))</f>
        <v>Probabilidad</v>
      </c>
      <c r="U13" s="263" t="s">
        <v>13</v>
      </c>
      <c r="V13" s="263" t="s">
        <v>8</v>
      </c>
      <c r="W13" s="264" t="str">
        <f t="shared" si="8"/>
        <v>40%</v>
      </c>
      <c r="X13" s="263" t="s">
        <v>18</v>
      </c>
      <c r="Y13" s="263" t="s">
        <v>21</v>
      </c>
      <c r="Z13" s="263" t="s">
        <v>103</v>
      </c>
      <c r="AA13" s="265">
        <f>IFERROR(IF(T13="Probabilidad",(K13-(+K13*W13)),IF(T13="Impacto",K13,"")),"")</f>
        <v>0.12</v>
      </c>
      <c r="AB13" s="266" t="str">
        <f>IFERROR(IF(AA13="","",IF(AA13&lt;=0.2,"Muy Baja",IF(AA13&lt;=0.4,"Baja",IF(AA13&lt;=0.6,"Media",IF(AA13&lt;=0.8,"Alta","Muy Alta"))))),"")</f>
        <v>Muy Baja</v>
      </c>
      <c r="AC13" s="264">
        <f>+AA13</f>
        <v>0.12</v>
      </c>
      <c r="AD13" s="266" t="str">
        <f>IFERROR(IF(AE13="","",IF(AE13&lt;=0.2,"Leve",IF(AE13&lt;=0.4,"Menor",IF(AE13&lt;=0.6,"Moderado",IF(AE13&lt;=0.8,"Mayor","Catastrófico"))))),"")</f>
        <v>Catastrófico</v>
      </c>
      <c r="AE13" s="264">
        <f>IFERROR(IF(T13="Impacto",(N13-(+N13*W13)),IF(T13="Probabilidad",N13,"")),"")</f>
        <v>1</v>
      </c>
      <c r="AF13" s="267" t="str">
        <f>IFERROR(IF(OR(AND(AB13="Muy Baja",AD13="Leve"),AND(AB13="Muy Baja",AD13="Menor"),AND(AB13="Baja",AD13="Leve")),"Bajo",IF(OR(AND(AB13="Muy baja",AD13="Moderado"),AND(AB13="Baja",AD13="Menor"),AND(AB13="Baja",AD13="Moderado"),AND(AB13="Media",AD13="Leve"),AND(AB13="Media",AD13="Menor"),AND(AB13="Media",AD13="Moderado"),AND(AB13="Alta",AD13="Leve"),AND(AB13="Alta",AD13="Menor")),"Moderado",IF(OR(AND(AB13="Muy Baja",AD13="Mayor"),AND(AB13="Baja",AD13="Mayor"),AND(AB13="Media",AD13="Mayor"),AND(AB13="Alta",AD13="Moderado"),AND(AB13="Alta",AD13="Mayor"),AND(AB13="Muy Alta",AD13="Leve"),AND(AB13="Muy Alta",AD13="Menor"),AND(AB13="Muy Alta",AD13="Moderado"),AND(AB13="Muy Alta",AD13="Mayor")),"Alto",IF(OR(AND(AB13="Muy Baja",AD13="Catastrófico"),AND(AB13="Baja",AD13="Catastrófico"),AND(AB13="Media",AD13="Catastrófico"),AND(AB13="Alta",AD13="Catastrófico"),AND(AB13="Muy Alta",AD13="Catastrófico")),"Extremo","")))),"")</f>
        <v>Extremo</v>
      </c>
      <c r="AG13" s="263" t="s">
        <v>26</v>
      </c>
      <c r="AH13" s="319">
        <v>4</v>
      </c>
      <c r="AI13" s="319">
        <v>1</v>
      </c>
      <c r="AJ13" s="319">
        <v>1</v>
      </c>
      <c r="AK13" s="319">
        <v>1</v>
      </c>
      <c r="AL13" s="319">
        <v>1</v>
      </c>
      <c r="AM13" s="268"/>
      <c r="AN13" s="268"/>
      <c r="AO13" s="258"/>
      <c r="AP13" s="269"/>
      <c r="AQ13" s="270"/>
      <c r="AR13" s="276"/>
      <c r="AS13" s="276"/>
    </row>
    <row r="14" spans="1:63" s="113" customFormat="1" ht="27" hidden="1" customHeight="1" x14ac:dyDescent="0.2">
      <c r="A14" s="437"/>
      <c r="B14" s="438"/>
      <c r="C14" s="434"/>
      <c r="D14" s="434"/>
      <c r="E14" s="435"/>
      <c r="F14" s="436"/>
      <c r="G14" s="435"/>
      <c r="H14" s="435"/>
      <c r="I14" s="439"/>
      <c r="J14" s="430"/>
      <c r="K14" s="431"/>
      <c r="L14" s="430"/>
      <c r="M14" s="431"/>
      <c r="N14" s="431"/>
      <c r="O14" s="433"/>
      <c r="P14" s="316">
        <v>2</v>
      </c>
      <c r="Q14" s="325"/>
      <c r="R14" s="312"/>
      <c r="S14" s="317"/>
      <c r="T14" s="208" t="str">
        <f>IF(OR(U14="Preventivo",U14="Detectivo"),"Probabilidad",IF(U14="Correctivo","Impacto",""))</f>
        <v/>
      </c>
      <c r="U14" s="237"/>
      <c r="V14" s="237"/>
      <c r="W14" s="209" t="str">
        <f t="shared" si="8"/>
        <v/>
      </c>
      <c r="X14" s="237"/>
      <c r="Y14" s="237"/>
      <c r="Z14" s="237"/>
      <c r="AA14" s="210" t="str">
        <f>IFERROR(IF(AND(T13="Probabilidad",T14="Probabilidad"),(AC13-(+AC13*W14)),IF(T14="Probabilidad",(K13-(+K13*W14)),IF(T14="Impacto",AC13,""))),"")</f>
        <v/>
      </c>
      <c r="AB14" s="211" t="str">
        <f t="shared" ref="AB14:AB18" si="14">IFERROR(IF(AA14="","",IF(AA14&lt;=0.2,"Muy Baja",IF(AA14&lt;=0.4,"Baja",IF(AA14&lt;=0.6,"Media",IF(AA14&lt;=0.8,"Alta","Muy Alta"))))),"")</f>
        <v/>
      </c>
      <c r="AC14" s="209" t="str">
        <f t="shared" ref="AC14:AC18" si="15">+AA14</f>
        <v/>
      </c>
      <c r="AD14" s="211" t="str">
        <f t="shared" ref="AD14:AD18" si="16">IFERROR(IF(AE14="","",IF(AE14&lt;=0.2,"Leve",IF(AE14&lt;=0.4,"Menor",IF(AE14&lt;=0.6,"Moderado",IF(AE14&lt;=0.8,"Mayor","Catastrófico"))))),"")</f>
        <v/>
      </c>
      <c r="AE14" s="209" t="str">
        <f>IFERROR(IF(AND(T13="Impacto",T14="Impacto"),(AE13-(+AE13*W14)),IF(T14="Impacto",(#REF!-(+#REF!*W14)),IF(T14="Probabilidad",AE13,""))),"")</f>
        <v/>
      </c>
      <c r="AF14" s="212" t="str">
        <f t="shared" ref="AF14:AF15" si="17">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237"/>
      <c r="AH14" s="319"/>
      <c r="AI14" s="319"/>
      <c r="AJ14" s="319"/>
      <c r="AK14" s="319"/>
      <c r="AL14" s="319"/>
      <c r="AM14" s="299"/>
      <c r="AN14" s="299"/>
      <c r="AO14" s="259"/>
      <c r="AP14" s="220"/>
      <c r="AQ14" s="299"/>
      <c r="AR14" s="277"/>
      <c r="AS14" s="277"/>
      <c r="AT14" s="129"/>
      <c r="AU14" s="129"/>
      <c r="AV14" s="129"/>
      <c r="AW14" s="129"/>
      <c r="AX14" s="129"/>
      <c r="AY14" s="129"/>
      <c r="AZ14" s="129"/>
      <c r="BA14" s="129"/>
      <c r="BB14" s="129"/>
      <c r="BC14" s="129"/>
      <c r="BD14" s="129"/>
      <c r="BE14" s="129"/>
      <c r="BF14" s="129"/>
      <c r="BG14" s="129"/>
      <c r="BH14" s="129"/>
    </row>
    <row r="15" spans="1:63" s="113" customFormat="1" ht="27" hidden="1" customHeight="1" x14ac:dyDescent="0.2">
      <c r="A15" s="437"/>
      <c r="B15" s="438"/>
      <c r="C15" s="434"/>
      <c r="D15" s="434"/>
      <c r="E15" s="435"/>
      <c r="F15" s="436"/>
      <c r="G15" s="435"/>
      <c r="H15" s="435"/>
      <c r="I15" s="439"/>
      <c r="J15" s="430"/>
      <c r="K15" s="431"/>
      <c r="L15" s="430"/>
      <c r="M15" s="431"/>
      <c r="N15" s="431"/>
      <c r="O15" s="433"/>
      <c r="P15" s="316">
        <v>3</v>
      </c>
      <c r="Q15" s="330"/>
      <c r="R15" s="312"/>
      <c r="S15" s="317"/>
      <c r="T15" s="208" t="str">
        <f>IF(OR(U15="Preventivo",U15="Detectivo"),"Probabilidad",IF(U15="Correctivo","Impacto",""))</f>
        <v/>
      </c>
      <c r="U15" s="237"/>
      <c r="V15" s="237"/>
      <c r="W15" s="209" t="str">
        <f>IF(AND(U15="Preventivo",V15="Automático"),"50%",IF(AND(U15="Preventivo",V15="Manual"),"40%",IF(AND(U15="Detectivo",V15="Automático"),"40%",IF(AND(U15="Detectivo",V15="Manual"),"30%",IF(AND(U15="Correctivo",V15="Automático"),"35%",IF(AND(U15="Correctivo",V15="Manual"),"25%",""))))))</f>
        <v/>
      </c>
      <c r="X15" s="237"/>
      <c r="Y15" s="237"/>
      <c r="Z15" s="237"/>
      <c r="AA15" s="210" t="str">
        <f t="shared" ref="AA15:AA18" si="18">IFERROR(IF(AND(T14="Probabilidad",T15="Probabilidad"),(AC14-(+AC14*W15)),IF(AND(T14="Impacto",T15="Probabilidad"),(AC13-(+AC13*W15)),IF(T15="Impacto",AC14,""))),"")</f>
        <v/>
      </c>
      <c r="AB15" s="211" t="str">
        <f t="shared" si="14"/>
        <v/>
      </c>
      <c r="AC15" s="209" t="str">
        <f t="shared" si="15"/>
        <v/>
      </c>
      <c r="AD15" s="211" t="str">
        <f t="shared" si="16"/>
        <v/>
      </c>
      <c r="AE15" s="209" t="str">
        <f>IFERROR(IF(AND(T14="Impacto",T15="Impacto"),(AE14-(+AE14*W15)),IF(T15="Impacto",(#REF!-(+#REF!*W15)),IF(T15="Probabilidad",AE14,""))),"")</f>
        <v/>
      </c>
      <c r="AF15" s="212" t="str">
        <f t="shared" si="17"/>
        <v/>
      </c>
      <c r="AG15" s="237"/>
      <c r="AH15" s="319"/>
      <c r="AI15" s="319"/>
      <c r="AJ15" s="319"/>
      <c r="AK15" s="319"/>
      <c r="AL15" s="319"/>
      <c r="AM15" s="299"/>
      <c r="AN15" s="299"/>
      <c r="AO15" s="259"/>
      <c r="AP15" s="220"/>
      <c r="AQ15" s="299"/>
      <c r="AR15" s="277"/>
      <c r="AS15" s="277"/>
      <c r="AT15" s="129"/>
      <c r="AU15" s="129"/>
      <c r="AV15" s="129"/>
      <c r="AW15" s="129"/>
      <c r="AX15" s="129"/>
      <c r="AY15" s="129"/>
      <c r="AZ15" s="129"/>
      <c r="BA15" s="129"/>
      <c r="BB15" s="129"/>
      <c r="BC15" s="129"/>
      <c r="BD15" s="129"/>
      <c r="BE15" s="129"/>
      <c r="BF15" s="129"/>
      <c r="BG15" s="129"/>
      <c r="BH15" s="129"/>
    </row>
    <row r="16" spans="1:63" s="113" customFormat="1" ht="27" hidden="1" customHeight="1" x14ac:dyDescent="0.2">
      <c r="A16" s="437"/>
      <c r="B16" s="438"/>
      <c r="C16" s="434"/>
      <c r="D16" s="434"/>
      <c r="E16" s="435"/>
      <c r="F16" s="436"/>
      <c r="G16" s="435"/>
      <c r="H16" s="435"/>
      <c r="I16" s="439"/>
      <c r="J16" s="430"/>
      <c r="K16" s="431"/>
      <c r="L16" s="430"/>
      <c r="M16" s="431"/>
      <c r="N16" s="431"/>
      <c r="O16" s="433"/>
      <c r="P16" s="316">
        <v>4</v>
      </c>
      <c r="Q16" s="325"/>
      <c r="R16" s="312"/>
      <c r="S16" s="317"/>
      <c r="T16" s="208" t="str">
        <f t="shared" ref="T16:T18" si="19">IF(OR(U16="Preventivo",U16="Detectivo"),"Probabilidad",IF(U16="Correctivo","Impacto",""))</f>
        <v/>
      </c>
      <c r="U16" s="237"/>
      <c r="V16" s="237"/>
      <c r="W16" s="209" t="str">
        <f t="shared" ref="W16:W18" si="20">IF(AND(U16="Preventivo",V16="Automático"),"50%",IF(AND(U16="Preventivo",V16="Manual"),"40%",IF(AND(U16="Detectivo",V16="Automático"),"40%",IF(AND(U16="Detectivo",V16="Manual"),"30%",IF(AND(U16="Correctivo",V16="Automático"),"35%",IF(AND(U16="Correctivo",V16="Manual"),"25%",""))))))</f>
        <v/>
      </c>
      <c r="X16" s="237"/>
      <c r="Y16" s="237"/>
      <c r="Z16" s="237"/>
      <c r="AA16" s="210" t="str">
        <f t="shared" si="18"/>
        <v/>
      </c>
      <c r="AB16" s="211" t="str">
        <f t="shared" si="14"/>
        <v/>
      </c>
      <c r="AC16" s="209" t="str">
        <f t="shared" si="15"/>
        <v/>
      </c>
      <c r="AD16" s="211" t="str">
        <f t="shared" si="16"/>
        <v/>
      </c>
      <c r="AE16" s="209" t="str">
        <f>IFERROR(IF(AND(T15="Impacto",T16="Impacto"),(AE15-(+AE15*W16)),IF(T16="Impacto",(#REF!-(+#REF!*W16)),IF(T16="Probabilidad",AE15,""))),"")</f>
        <v/>
      </c>
      <c r="AF16" s="212" t="str">
        <f>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
      </c>
      <c r="AG16" s="237"/>
      <c r="AH16" s="319"/>
      <c r="AI16" s="319"/>
      <c r="AJ16" s="319"/>
      <c r="AK16" s="319"/>
      <c r="AL16" s="319"/>
      <c r="AM16" s="213"/>
      <c r="AN16" s="213"/>
      <c r="AO16" s="301"/>
      <c r="AP16" s="220"/>
      <c r="AQ16" s="213"/>
      <c r="AR16" s="277"/>
      <c r="AS16" s="277"/>
      <c r="AT16" s="129"/>
      <c r="AU16" s="129"/>
      <c r="AV16" s="129"/>
      <c r="AW16" s="129"/>
      <c r="AX16" s="129"/>
      <c r="AY16" s="129"/>
      <c r="AZ16" s="129"/>
      <c r="BA16" s="129"/>
      <c r="BB16" s="129"/>
      <c r="BC16" s="129"/>
      <c r="BD16" s="129"/>
      <c r="BE16" s="129"/>
      <c r="BF16" s="129"/>
      <c r="BG16" s="129"/>
      <c r="BH16" s="129"/>
    </row>
    <row r="17" spans="1:60" s="113" customFormat="1" ht="27" hidden="1" customHeight="1" x14ac:dyDescent="0.2">
      <c r="A17" s="437"/>
      <c r="B17" s="438"/>
      <c r="C17" s="434"/>
      <c r="D17" s="434"/>
      <c r="E17" s="435"/>
      <c r="F17" s="436"/>
      <c r="G17" s="435"/>
      <c r="H17" s="435"/>
      <c r="I17" s="439"/>
      <c r="J17" s="430"/>
      <c r="K17" s="431"/>
      <c r="L17" s="430"/>
      <c r="M17" s="431"/>
      <c r="N17" s="431"/>
      <c r="O17" s="433"/>
      <c r="P17" s="316">
        <v>5</v>
      </c>
      <c r="Q17" s="325"/>
      <c r="R17" s="312"/>
      <c r="S17" s="317"/>
      <c r="T17" s="208" t="str">
        <f t="shared" si="19"/>
        <v/>
      </c>
      <c r="U17" s="237"/>
      <c r="V17" s="237"/>
      <c r="W17" s="209" t="str">
        <f t="shared" si="20"/>
        <v/>
      </c>
      <c r="X17" s="237"/>
      <c r="Y17" s="237"/>
      <c r="Z17" s="237"/>
      <c r="AA17" s="210" t="str">
        <f t="shared" si="18"/>
        <v/>
      </c>
      <c r="AB17" s="211" t="str">
        <f t="shared" si="14"/>
        <v/>
      </c>
      <c r="AC17" s="209" t="str">
        <f t="shared" si="15"/>
        <v/>
      </c>
      <c r="AD17" s="211" t="str">
        <f t="shared" si="16"/>
        <v/>
      </c>
      <c r="AE17" s="209" t="str">
        <f>IFERROR(IF(AND(T16="Impacto",T17="Impacto"),(AE16-(+AE16*W17)),IF(T17="Impacto",(#REF!-(+#REF!*W17)),IF(T17="Probabilidad",AE16,""))),"")</f>
        <v/>
      </c>
      <c r="AF17" s="212" t="str">
        <f t="shared" ref="AF17:AF18" si="21">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37"/>
      <c r="AH17" s="319"/>
      <c r="AI17" s="319"/>
      <c r="AJ17" s="319"/>
      <c r="AK17" s="319"/>
      <c r="AL17" s="319"/>
      <c r="AM17" s="300"/>
      <c r="AN17" s="300"/>
      <c r="AO17" s="298"/>
      <c r="AP17" s="216"/>
      <c r="AQ17" s="216"/>
      <c r="AR17" s="277"/>
      <c r="AS17" s="277"/>
      <c r="AT17" s="129"/>
      <c r="AU17" s="129"/>
      <c r="AV17" s="129"/>
      <c r="AW17" s="129"/>
      <c r="AX17" s="129"/>
      <c r="AY17" s="129"/>
      <c r="AZ17" s="129"/>
      <c r="BA17" s="129"/>
      <c r="BB17" s="129"/>
      <c r="BC17" s="129"/>
      <c r="BD17" s="129"/>
      <c r="BE17" s="129"/>
      <c r="BF17" s="129"/>
      <c r="BG17" s="129"/>
      <c r="BH17" s="129"/>
    </row>
    <row r="18" spans="1:60" s="113" customFormat="1" ht="27" hidden="1" customHeight="1" x14ac:dyDescent="0.2">
      <c r="A18" s="437"/>
      <c r="B18" s="438"/>
      <c r="C18" s="434"/>
      <c r="D18" s="434"/>
      <c r="E18" s="435"/>
      <c r="F18" s="436"/>
      <c r="G18" s="435"/>
      <c r="H18" s="435"/>
      <c r="I18" s="439"/>
      <c r="J18" s="430"/>
      <c r="K18" s="431"/>
      <c r="L18" s="430"/>
      <c r="M18" s="431"/>
      <c r="N18" s="431"/>
      <c r="O18" s="433"/>
      <c r="P18" s="316">
        <v>6</v>
      </c>
      <c r="Q18" s="325"/>
      <c r="R18" s="312"/>
      <c r="S18" s="317"/>
      <c r="T18" s="208" t="str">
        <f t="shared" si="19"/>
        <v/>
      </c>
      <c r="U18" s="237"/>
      <c r="V18" s="237"/>
      <c r="W18" s="209" t="str">
        <f t="shared" si="20"/>
        <v/>
      </c>
      <c r="X18" s="237"/>
      <c r="Y18" s="237"/>
      <c r="Z18" s="237"/>
      <c r="AA18" s="210" t="str">
        <f t="shared" si="18"/>
        <v/>
      </c>
      <c r="AB18" s="211" t="str">
        <f t="shared" si="14"/>
        <v/>
      </c>
      <c r="AC18" s="209" t="str">
        <f t="shared" si="15"/>
        <v/>
      </c>
      <c r="AD18" s="211" t="str">
        <f t="shared" si="16"/>
        <v/>
      </c>
      <c r="AE18" s="209" t="str">
        <f>IFERROR(IF(AND(T17="Impacto",T18="Impacto"),(AE17-(+AE17*W18)),IF(T18="Impacto",(#REF!-(+#REF!*W18)),IF(T18="Probabilidad",AE17,""))),"")</f>
        <v/>
      </c>
      <c r="AF18" s="212" t="str">
        <f t="shared" si="21"/>
        <v/>
      </c>
      <c r="AG18" s="237"/>
      <c r="AH18" s="319"/>
      <c r="AI18" s="319"/>
      <c r="AJ18" s="319"/>
      <c r="AK18" s="319"/>
      <c r="AL18" s="319"/>
      <c r="AM18" s="300"/>
      <c r="AN18" s="300"/>
      <c r="AO18" s="298"/>
      <c r="AP18" s="216"/>
      <c r="AQ18" s="216"/>
      <c r="AR18" s="277"/>
      <c r="AS18" s="277"/>
      <c r="AT18" s="129"/>
      <c r="AU18" s="129"/>
      <c r="AV18" s="129"/>
      <c r="AW18" s="129"/>
      <c r="AX18" s="129"/>
      <c r="AY18" s="129"/>
      <c r="AZ18" s="129"/>
      <c r="BA18" s="129"/>
      <c r="BB18" s="129"/>
      <c r="BC18" s="129"/>
      <c r="BD18" s="129"/>
      <c r="BE18" s="129"/>
      <c r="BF18" s="129"/>
      <c r="BG18" s="129"/>
      <c r="BH18" s="129"/>
    </row>
    <row r="19" spans="1:60" s="271" customFormat="1" ht="114" x14ac:dyDescent="0.2">
      <c r="A19" s="437" t="s">
        <v>841</v>
      </c>
      <c r="B19" s="438" t="s">
        <v>604</v>
      </c>
      <c r="C19" s="434" t="s">
        <v>622</v>
      </c>
      <c r="D19" s="434" t="s">
        <v>843</v>
      </c>
      <c r="E19" s="435" t="s">
        <v>685</v>
      </c>
      <c r="F19" s="436" t="s">
        <v>842</v>
      </c>
      <c r="G19" s="435" t="s">
        <v>233</v>
      </c>
      <c r="H19" s="435" t="s">
        <v>1078</v>
      </c>
      <c r="I19" s="439">
        <v>42</v>
      </c>
      <c r="J19" s="430" t="str">
        <f t="shared" ref="J19" si="22">IF(I19&lt;=0,"",IF(I19&lt;=2,"Muy Baja",IF(I19&lt;=24,"Baja",IF(I19&lt;=500,"Media",IF(I19&lt;=5000,"Alta","Muy Alta")))))</f>
        <v>Media</v>
      </c>
      <c r="K19" s="431">
        <f t="shared" ref="K19" si="23">IF(J19="","",IF(J19="Muy Baja",0.2,IF(J19="Baja",0.4,IF(J19="Media",0.6,IF(J19="Alta",0.8,IF(J19="Muy Alta",1,))))))</f>
        <v>0.6</v>
      </c>
      <c r="L19" s="430">
        <v>5</v>
      </c>
      <c r="M19" s="431" t="str">
        <f>IF(L19=1,"INSIGNIFICANTE",IF(L19=2,"Menor",IF(L19=3,"Moderado",IF(L19=4,"MAYOR",IF(L19=5,"Catastrófico",IF(L19=""," "))))))</f>
        <v>Catastrófico</v>
      </c>
      <c r="N19" s="431">
        <f t="shared" ref="N19" si="24">IF(M19="","",IF(M19="Leve",0.2,IF(M19="Menor",0.4,IF(M19="Moderado",0.6,IF(M19="Mayor",0.8,IF(M19="Catastrófico",1,))))))</f>
        <v>1</v>
      </c>
      <c r="O19" s="433" t="str">
        <f t="shared" ref="O19" si="25">IF(OR(AND(J19="Muy Baja",M19="Leve"),AND(J19="Muy Baja",J19="Menor"),AND(J19="Baja",M19="Leve")),"Bajo",IF(OR(AND(J19="Muy baja",M19="Moderado"),AND(J19="Baja",M19="Menor"),AND(J19="Baja",M19="Moderado"),AND(J19="Media",M19="Leve"),AND(J19="Media",M19="Menor"),AND(J19="Media",M19="Moderado"),AND(J19="Alta",M19="Leve"),AND(J19="Alta",M19="Menor")),"Moderado",IF(OR(AND(J19="Muy Baja",M19="Mayor"),AND(J19="Baja",M19="Mayor"),AND(J19="Media",M19="Mayor"),AND(J19="Alta",M19="Moderado"),AND(J19="Alta",M19="Mayor"),AND(J19="Muy Alta",M19="Leve"),AND(J19="Muy Alta",M19="Menor"),AND(J19="Muy Alta",M19="Moderado"),AND(J19="Muy Alta",M19="Mayor")),"Alto",IF(OR(AND(J19="Muy Baja",M19="Catastrófico"),AND(J19="Baja",M19="Catastrófico"),AND(J19="Media",M19="Catastrófico"),AND(J19="Alta",M19="Catastrófico"),AND(J19="Muy Alta",M19="Catastrófico")),"Extremo",""))))</f>
        <v>Extremo</v>
      </c>
      <c r="P19" s="261">
        <v>1</v>
      </c>
      <c r="Q19" s="328" t="s">
        <v>844</v>
      </c>
      <c r="R19" s="272" t="s">
        <v>293</v>
      </c>
      <c r="S19" s="317" t="s">
        <v>845</v>
      </c>
      <c r="T19" s="262" t="str">
        <f>IF(OR(U19="Preventivo",U19="Detectivo"),"Probabilidad",IF(U19="Correctivo","Impacto",""))</f>
        <v>Probabilidad</v>
      </c>
      <c r="U19" s="263" t="s">
        <v>13</v>
      </c>
      <c r="V19" s="263" t="s">
        <v>8</v>
      </c>
      <c r="W19" s="264" t="str">
        <f t="shared" ref="W19:W20" si="26">IF(AND(U19="Preventivo",V19="Automático"),"50%",IF(AND(U19="Preventivo",V19="Manual"),"40%",IF(AND(U19="Detectivo",V19="Automático"),"40%",IF(AND(U19="Detectivo",V19="Manual"),"30%",IF(AND(U19="Correctivo",V19="Automático"),"35%",IF(AND(U19="Correctivo",V19="Manual"),"25%",""))))))</f>
        <v>40%</v>
      </c>
      <c r="X19" s="263" t="s">
        <v>18</v>
      </c>
      <c r="Y19" s="263" t="s">
        <v>21</v>
      </c>
      <c r="Z19" s="263" t="s">
        <v>103</v>
      </c>
      <c r="AA19" s="265">
        <f>IFERROR(IF(T19="Probabilidad",(K19-(+K19*W19)),IF(T19="Impacto",K19,"")),"")</f>
        <v>0.36</v>
      </c>
      <c r="AB19" s="266" t="str">
        <f>IFERROR(IF(AA19="","",IF(AA19&lt;=0.2,"Muy Baja",IF(AA19&lt;=0.4,"Baja",IF(AA19&lt;=0.6,"Media",IF(AA19&lt;=0.8,"Alta","Muy Alta"))))),"")</f>
        <v>Baja</v>
      </c>
      <c r="AC19" s="264">
        <f>+AA19</f>
        <v>0.36</v>
      </c>
      <c r="AD19" s="266" t="str">
        <f>IFERROR(IF(AE19="","",IF(AE19&lt;=0.2,"Leve",IF(AE19&lt;=0.4,"Menor",IF(AE19&lt;=0.6,"Moderado",IF(AE19&lt;=0.8,"Mayor","Catastrófico"))))),"")</f>
        <v>Catastrófico</v>
      </c>
      <c r="AE19" s="264">
        <f>IFERROR(IF(T19="Impacto",(N19-(+N19*W19)),IF(T19="Probabilidad",N19,"")),"")</f>
        <v>1</v>
      </c>
      <c r="AF19" s="267" t="str">
        <f>IFERROR(IF(OR(AND(AB19="Muy Baja",AD19="Leve"),AND(AB19="Muy Baja",AD19="Menor"),AND(AB19="Baja",AD19="Leve")),"Bajo",IF(OR(AND(AB19="Muy baja",AD19="Moderado"),AND(AB19="Baja",AD19="Menor"),AND(AB19="Baja",AD19="Moderado"),AND(AB19="Media",AD19="Leve"),AND(AB19="Media",AD19="Menor"),AND(AB19="Media",AD19="Moderado"),AND(AB19="Alta",AD19="Leve"),AND(AB19="Alta",AD19="Menor")),"Moderado",IF(OR(AND(AB19="Muy Baja",AD19="Mayor"),AND(AB19="Baja",AD19="Mayor"),AND(AB19="Media",AD19="Mayor"),AND(AB19="Alta",AD19="Moderado"),AND(AB19="Alta",AD19="Mayor"),AND(AB19="Muy Alta",AD19="Leve"),AND(AB19="Muy Alta",AD19="Menor"),AND(AB19="Muy Alta",AD19="Moderado"),AND(AB19="Muy Alta",AD19="Mayor")),"Alto",IF(OR(AND(AB19="Muy Baja",AD19="Catastrófico"),AND(AB19="Baja",AD19="Catastrófico"),AND(AB19="Media",AD19="Catastrófico"),AND(AB19="Alta",AD19="Catastrófico"),AND(AB19="Muy Alta",AD19="Catastrófico")),"Extremo","")))),"")</f>
        <v>Extremo</v>
      </c>
      <c r="AG19" s="263" t="s">
        <v>26</v>
      </c>
      <c r="AH19" s="319">
        <v>0</v>
      </c>
      <c r="AI19" s="319">
        <v>0</v>
      </c>
      <c r="AJ19" s="319">
        <v>0</v>
      </c>
      <c r="AK19" s="319">
        <v>0</v>
      </c>
      <c r="AL19" s="319">
        <v>0</v>
      </c>
      <c r="AM19" s="268"/>
      <c r="AN19" s="268"/>
      <c r="AO19" s="258"/>
      <c r="AP19" s="269"/>
      <c r="AQ19" s="270"/>
      <c r="AR19" s="276"/>
      <c r="AS19" s="276"/>
    </row>
    <row r="20" spans="1:60" s="113" customFormat="1" ht="27" hidden="1" customHeight="1" x14ac:dyDescent="0.2">
      <c r="A20" s="437"/>
      <c r="B20" s="438"/>
      <c r="C20" s="434"/>
      <c r="D20" s="434"/>
      <c r="E20" s="435"/>
      <c r="F20" s="436"/>
      <c r="G20" s="435"/>
      <c r="H20" s="435"/>
      <c r="I20" s="439"/>
      <c r="J20" s="430"/>
      <c r="K20" s="431"/>
      <c r="L20" s="430"/>
      <c r="M20" s="431"/>
      <c r="N20" s="431"/>
      <c r="O20" s="433"/>
      <c r="P20" s="316">
        <v>2</v>
      </c>
      <c r="Q20" s="325"/>
      <c r="R20" s="312"/>
      <c r="S20" s="317"/>
      <c r="T20" s="208" t="str">
        <f>IF(OR(U20="Preventivo",U20="Detectivo"),"Probabilidad",IF(U20="Correctivo","Impacto",""))</f>
        <v/>
      </c>
      <c r="U20" s="237"/>
      <c r="V20" s="237"/>
      <c r="W20" s="209" t="str">
        <f t="shared" si="26"/>
        <v/>
      </c>
      <c r="X20" s="237"/>
      <c r="Y20" s="237"/>
      <c r="Z20" s="237"/>
      <c r="AA20" s="210" t="str">
        <f>IFERROR(IF(AND(T19="Probabilidad",T20="Probabilidad"),(AC19-(+AC19*W20)),IF(T20="Probabilidad",(K19-(+K19*W20)),IF(T20="Impacto",AC19,""))),"")</f>
        <v/>
      </c>
      <c r="AB20" s="211" t="str">
        <f t="shared" ref="AB20:AB24" si="27">IFERROR(IF(AA20="","",IF(AA20&lt;=0.2,"Muy Baja",IF(AA20&lt;=0.4,"Baja",IF(AA20&lt;=0.6,"Media",IF(AA20&lt;=0.8,"Alta","Muy Alta"))))),"")</f>
        <v/>
      </c>
      <c r="AC20" s="209" t="str">
        <f t="shared" ref="AC20:AC24" si="28">+AA20</f>
        <v/>
      </c>
      <c r="AD20" s="211" t="str">
        <f t="shared" ref="AD20:AD24" si="29">IFERROR(IF(AE20="","",IF(AE20&lt;=0.2,"Leve",IF(AE20&lt;=0.4,"Menor",IF(AE20&lt;=0.6,"Moderado",IF(AE20&lt;=0.8,"Mayor","Catastrófico"))))),"")</f>
        <v/>
      </c>
      <c r="AE20" s="209" t="str">
        <f>IFERROR(IF(AND(T19="Impacto",T20="Impacto"),(AE19-(+AE19*W20)),IF(T20="Impacto",(#REF!-(+#REF!*W20)),IF(T20="Probabilidad",AE19,""))),"")</f>
        <v/>
      </c>
      <c r="AF20" s="212" t="str">
        <f t="shared" ref="AF20:AF21" si="30">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237"/>
      <c r="AH20" s="319"/>
      <c r="AI20" s="319"/>
      <c r="AJ20" s="319"/>
      <c r="AK20" s="319"/>
      <c r="AL20" s="319"/>
      <c r="AM20" s="299"/>
      <c r="AN20" s="299"/>
      <c r="AO20" s="259"/>
      <c r="AP20" s="220"/>
      <c r="AQ20" s="299"/>
      <c r="AR20" s="277"/>
      <c r="AS20" s="277"/>
      <c r="AT20" s="129"/>
      <c r="AU20" s="129"/>
      <c r="AV20" s="129"/>
      <c r="AW20" s="129"/>
      <c r="AX20" s="129"/>
      <c r="AY20" s="129"/>
      <c r="AZ20" s="129"/>
      <c r="BA20" s="129"/>
      <c r="BB20" s="129"/>
      <c r="BC20" s="129"/>
      <c r="BD20" s="129"/>
      <c r="BE20" s="129"/>
      <c r="BF20" s="129"/>
      <c r="BG20" s="129"/>
      <c r="BH20" s="129"/>
    </row>
    <row r="21" spans="1:60" s="113" customFormat="1" ht="27" hidden="1" customHeight="1" x14ac:dyDescent="0.2">
      <c r="A21" s="437"/>
      <c r="B21" s="438"/>
      <c r="C21" s="434"/>
      <c r="D21" s="434"/>
      <c r="E21" s="435"/>
      <c r="F21" s="436"/>
      <c r="G21" s="435"/>
      <c r="H21" s="435"/>
      <c r="I21" s="439"/>
      <c r="J21" s="430"/>
      <c r="K21" s="431"/>
      <c r="L21" s="430"/>
      <c r="M21" s="431"/>
      <c r="N21" s="431"/>
      <c r="O21" s="433"/>
      <c r="P21" s="316">
        <v>3</v>
      </c>
      <c r="Q21" s="330"/>
      <c r="R21" s="312"/>
      <c r="S21" s="317"/>
      <c r="T21" s="208" t="str">
        <f>IF(OR(U21="Preventivo",U21="Detectivo"),"Probabilidad",IF(U21="Correctivo","Impacto",""))</f>
        <v/>
      </c>
      <c r="U21" s="237"/>
      <c r="V21" s="237"/>
      <c r="W21" s="209" t="str">
        <f>IF(AND(U21="Preventivo",V21="Automático"),"50%",IF(AND(U21="Preventivo",V21="Manual"),"40%",IF(AND(U21="Detectivo",V21="Automático"),"40%",IF(AND(U21="Detectivo",V21="Manual"),"30%",IF(AND(U21="Correctivo",V21="Automático"),"35%",IF(AND(U21="Correctivo",V21="Manual"),"25%",""))))))</f>
        <v/>
      </c>
      <c r="X21" s="237"/>
      <c r="Y21" s="237"/>
      <c r="Z21" s="237"/>
      <c r="AA21" s="210" t="str">
        <f t="shared" ref="AA21:AA24" si="31">IFERROR(IF(AND(T20="Probabilidad",T21="Probabilidad"),(AC20-(+AC20*W21)),IF(AND(T20="Impacto",T21="Probabilidad"),(AC19-(+AC19*W21)),IF(T21="Impacto",AC20,""))),"")</f>
        <v/>
      </c>
      <c r="AB21" s="211" t="str">
        <f t="shared" si="27"/>
        <v/>
      </c>
      <c r="AC21" s="209" t="str">
        <f t="shared" si="28"/>
        <v/>
      </c>
      <c r="AD21" s="211" t="str">
        <f t="shared" si="29"/>
        <v/>
      </c>
      <c r="AE21" s="209" t="str">
        <f>IFERROR(IF(AND(T20="Impacto",T21="Impacto"),(AE20-(+AE20*W21)),IF(T21="Impacto",(#REF!-(+#REF!*W21)),IF(T21="Probabilidad",AE20,""))),"")</f>
        <v/>
      </c>
      <c r="AF21" s="212" t="str">
        <f t="shared" si="30"/>
        <v/>
      </c>
      <c r="AG21" s="237"/>
      <c r="AH21" s="319"/>
      <c r="AI21" s="319"/>
      <c r="AJ21" s="319"/>
      <c r="AK21" s="319"/>
      <c r="AL21" s="319"/>
      <c r="AM21" s="299"/>
      <c r="AN21" s="299"/>
      <c r="AO21" s="259"/>
      <c r="AP21" s="220"/>
      <c r="AQ21" s="299"/>
      <c r="AR21" s="277"/>
      <c r="AS21" s="277"/>
      <c r="AT21" s="129"/>
      <c r="AU21" s="129"/>
      <c r="AV21" s="129"/>
      <c r="AW21" s="129"/>
      <c r="AX21" s="129"/>
      <c r="AY21" s="129"/>
      <c r="AZ21" s="129"/>
      <c r="BA21" s="129"/>
      <c r="BB21" s="129"/>
      <c r="BC21" s="129"/>
      <c r="BD21" s="129"/>
      <c r="BE21" s="129"/>
      <c r="BF21" s="129"/>
      <c r="BG21" s="129"/>
      <c r="BH21" s="129"/>
    </row>
    <row r="22" spans="1:60" s="113" customFormat="1" ht="27" hidden="1" customHeight="1" x14ac:dyDescent="0.2">
      <c r="A22" s="437"/>
      <c r="B22" s="438"/>
      <c r="C22" s="434"/>
      <c r="D22" s="434"/>
      <c r="E22" s="435"/>
      <c r="F22" s="436"/>
      <c r="G22" s="435"/>
      <c r="H22" s="435"/>
      <c r="I22" s="439"/>
      <c r="J22" s="430"/>
      <c r="K22" s="431"/>
      <c r="L22" s="430"/>
      <c r="M22" s="431"/>
      <c r="N22" s="431"/>
      <c r="O22" s="433"/>
      <c r="P22" s="316">
        <v>4</v>
      </c>
      <c r="Q22" s="325"/>
      <c r="R22" s="312"/>
      <c r="S22" s="317"/>
      <c r="T22" s="208" t="str">
        <f t="shared" ref="T22:T24" si="32">IF(OR(U22="Preventivo",U22="Detectivo"),"Probabilidad",IF(U22="Correctivo","Impacto",""))</f>
        <v/>
      </c>
      <c r="U22" s="237"/>
      <c r="V22" s="237"/>
      <c r="W22" s="209" t="str">
        <f t="shared" ref="W22:W24" si="33">IF(AND(U22="Preventivo",V22="Automático"),"50%",IF(AND(U22="Preventivo",V22="Manual"),"40%",IF(AND(U22="Detectivo",V22="Automático"),"40%",IF(AND(U22="Detectivo",V22="Manual"),"30%",IF(AND(U22="Correctivo",V22="Automático"),"35%",IF(AND(U22="Correctivo",V22="Manual"),"25%",""))))))</f>
        <v/>
      </c>
      <c r="X22" s="237"/>
      <c r="Y22" s="237"/>
      <c r="Z22" s="237"/>
      <c r="AA22" s="210" t="str">
        <f t="shared" si="31"/>
        <v/>
      </c>
      <c r="AB22" s="211" t="str">
        <f t="shared" si="27"/>
        <v/>
      </c>
      <c r="AC22" s="209" t="str">
        <f t="shared" si="28"/>
        <v/>
      </c>
      <c r="AD22" s="211" t="str">
        <f t="shared" si="29"/>
        <v/>
      </c>
      <c r="AE22" s="209" t="str">
        <f>IFERROR(IF(AND(T21="Impacto",T22="Impacto"),(AE21-(+AE21*W22)),IF(T22="Impacto",(#REF!-(+#REF!*W22)),IF(T22="Probabilidad",AE21,""))),"")</f>
        <v/>
      </c>
      <c r="AF22" s="212" t="str">
        <f>IFERROR(IF(OR(AND(AB22="Muy Baja",AD22="Leve"),AND(AB22="Muy Baja",AD22="Menor"),AND(AB22="Baja",AD22="Leve")),"Bajo",IF(OR(AND(AB22="Muy baja",AD22="Moderado"),AND(AB22="Baja",AD22="Menor"),AND(AB22="Baja",AD22="Moderado"),AND(AB22="Media",AD22="Leve"),AND(AB22="Media",AD22="Menor"),AND(AB22="Media",AD22="Moderado"),AND(AB22="Alta",AD22="Leve"),AND(AB22="Alta",AD22="Menor")),"Moderado",IF(OR(AND(AB22="Muy Baja",AD22="Mayor"),AND(AB22="Baja",AD22="Mayor"),AND(AB22="Media",AD22="Mayor"),AND(AB22="Alta",AD22="Moderado"),AND(AB22="Alta",AD22="Mayor"),AND(AB22="Muy Alta",AD22="Leve"),AND(AB22="Muy Alta",AD22="Menor"),AND(AB22="Muy Alta",AD22="Moderado"),AND(AB22="Muy Alta",AD22="Mayor")),"Alto",IF(OR(AND(AB22="Muy Baja",AD22="Catastrófico"),AND(AB22="Baja",AD22="Catastrófico"),AND(AB22="Media",AD22="Catastrófico"),AND(AB22="Alta",AD22="Catastrófico"),AND(AB22="Muy Alta",AD22="Catastrófico")),"Extremo","")))),"")</f>
        <v/>
      </c>
      <c r="AG22" s="237"/>
      <c r="AH22" s="319"/>
      <c r="AI22" s="319"/>
      <c r="AJ22" s="319"/>
      <c r="AK22" s="319"/>
      <c r="AL22" s="319"/>
      <c r="AM22" s="213"/>
      <c r="AN22" s="213"/>
      <c r="AO22" s="301"/>
      <c r="AP22" s="220"/>
      <c r="AQ22" s="213"/>
      <c r="AR22" s="277"/>
      <c r="AS22" s="277"/>
      <c r="AT22" s="129"/>
      <c r="AU22" s="129"/>
      <c r="AV22" s="129"/>
      <c r="AW22" s="129"/>
      <c r="AX22" s="129"/>
      <c r="AY22" s="129"/>
      <c r="AZ22" s="129"/>
      <c r="BA22" s="129"/>
      <c r="BB22" s="129"/>
      <c r="BC22" s="129"/>
      <c r="BD22" s="129"/>
      <c r="BE22" s="129"/>
      <c r="BF22" s="129"/>
      <c r="BG22" s="129"/>
      <c r="BH22" s="129"/>
    </row>
    <row r="23" spans="1:60" s="113" customFormat="1" ht="27" hidden="1" customHeight="1" x14ac:dyDescent="0.2">
      <c r="A23" s="437"/>
      <c r="B23" s="438"/>
      <c r="C23" s="434"/>
      <c r="D23" s="434"/>
      <c r="E23" s="435"/>
      <c r="F23" s="436"/>
      <c r="G23" s="435"/>
      <c r="H23" s="435"/>
      <c r="I23" s="439"/>
      <c r="J23" s="430"/>
      <c r="K23" s="431"/>
      <c r="L23" s="430"/>
      <c r="M23" s="431"/>
      <c r="N23" s="431"/>
      <c r="O23" s="433"/>
      <c r="P23" s="316">
        <v>5</v>
      </c>
      <c r="Q23" s="325"/>
      <c r="R23" s="312"/>
      <c r="S23" s="317"/>
      <c r="T23" s="208" t="str">
        <f t="shared" si="32"/>
        <v/>
      </c>
      <c r="U23" s="237"/>
      <c r="V23" s="237"/>
      <c r="W23" s="209" t="str">
        <f t="shared" si="33"/>
        <v/>
      </c>
      <c r="X23" s="237"/>
      <c r="Y23" s="237"/>
      <c r="Z23" s="237"/>
      <c r="AA23" s="210" t="str">
        <f t="shared" si="31"/>
        <v/>
      </c>
      <c r="AB23" s="211" t="str">
        <f t="shared" si="27"/>
        <v/>
      </c>
      <c r="AC23" s="209" t="str">
        <f t="shared" si="28"/>
        <v/>
      </c>
      <c r="AD23" s="211" t="str">
        <f t="shared" si="29"/>
        <v/>
      </c>
      <c r="AE23" s="209" t="str">
        <f>IFERROR(IF(AND(T22="Impacto",T23="Impacto"),(AE22-(+AE22*W23)),IF(T23="Impacto",(#REF!-(+#REF!*W23)),IF(T23="Probabilidad",AE22,""))),"")</f>
        <v/>
      </c>
      <c r="AF23" s="212" t="str">
        <f t="shared" ref="AF23:AF24" si="34">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237"/>
      <c r="AH23" s="319"/>
      <c r="AI23" s="319"/>
      <c r="AJ23" s="319"/>
      <c r="AK23" s="319"/>
      <c r="AL23" s="319"/>
      <c r="AM23" s="300"/>
      <c r="AN23" s="300"/>
      <c r="AO23" s="298"/>
      <c r="AP23" s="216"/>
      <c r="AQ23" s="216"/>
      <c r="AR23" s="277"/>
      <c r="AS23" s="277"/>
      <c r="AT23" s="129"/>
      <c r="AU23" s="129"/>
      <c r="AV23" s="129"/>
      <c r="AW23" s="129"/>
      <c r="AX23" s="129"/>
      <c r="AY23" s="129"/>
      <c r="AZ23" s="129"/>
      <c r="BA23" s="129"/>
      <c r="BB23" s="129"/>
      <c r="BC23" s="129"/>
      <c r="BD23" s="129"/>
      <c r="BE23" s="129"/>
      <c r="BF23" s="129"/>
      <c r="BG23" s="129"/>
      <c r="BH23" s="129"/>
    </row>
    <row r="24" spans="1:60" s="113" customFormat="1" ht="27" hidden="1" customHeight="1" x14ac:dyDescent="0.2">
      <c r="A24" s="437"/>
      <c r="B24" s="438"/>
      <c r="C24" s="434"/>
      <c r="D24" s="434"/>
      <c r="E24" s="435"/>
      <c r="F24" s="436"/>
      <c r="G24" s="435"/>
      <c r="H24" s="435"/>
      <c r="I24" s="439"/>
      <c r="J24" s="430"/>
      <c r="K24" s="431"/>
      <c r="L24" s="430"/>
      <c r="M24" s="431"/>
      <c r="N24" s="431"/>
      <c r="O24" s="433"/>
      <c r="P24" s="316">
        <v>6</v>
      </c>
      <c r="Q24" s="325"/>
      <c r="R24" s="312"/>
      <c r="S24" s="317"/>
      <c r="T24" s="208" t="str">
        <f t="shared" si="32"/>
        <v/>
      </c>
      <c r="U24" s="237"/>
      <c r="V24" s="237"/>
      <c r="W24" s="209" t="str">
        <f t="shared" si="33"/>
        <v/>
      </c>
      <c r="X24" s="237"/>
      <c r="Y24" s="237"/>
      <c r="Z24" s="237"/>
      <c r="AA24" s="210" t="str">
        <f t="shared" si="31"/>
        <v/>
      </c>
      <c r="AB24" s="211" t="str">
        <f t="shared" si="27"/>
        <v/>
      </c>
      <c r="AC24" s="209" t="str">
        <f t="shared" si="28"/>
        <v/>
      </c>
      <c r="AD24" s="211" t="str">
        <f t="shared" si="29"/>
        <v/>
      </c>
      <c r="AE24" s="209" t="str">
        <f>IFERROR(IF(AND(T23="Impacto",T24="Impacto"),(AE23-(+AE23*W24)),IF(T24="Impacto",(#REF!-(+#REF!*W24)),IF(T24="Probabilidad",AE23,""))),"")</f>
        <v/>
      </c>
      <c r="AF24" s="212" t="str">
        <f t="shared" si="34"/>
        <v/>
      </c>
      <c r="AG24" s="237"/>
      <c r="AH24" s="319"/>
      <c r="AI24" s="319"/>
      <c r="AJ24" s="319"/>
      <c r="AK24" s="319"/>
      <c r="AL24" s="319"/>
      <c r="AM24" s="300"/>
      <c r="AN24" s="300"/>
      <c r="AO24" s="298"/>
      <c r="AP24" s="216"/>
      <c r="AQ24" s="216"/>
      <c r="AR24" s="277"/>
      <c r="AS24" s="277"/>
      <c r="AT24" s="129"/>
      <c r="AU24" s="129"/>
      <c r="AV24" s="129"/>
      <c r="AW24" s="129"/>
      <c r="AX24" s="129"/>
      <c r="AY24" s="129"/>
      <c r="AZ24" s="129"/>
      <c r="BA24" s="129"/>
      <c r="BB24" s="129"/>
      <c r="BC24" s="129"/>
      <c r="BD24" s="129"/>
      <c r="BE24" s="129"/>
      <c r="BF24" s="129"/>
      <c r="BG24" s="129"/>
      <c r="BH24" s="129"/>
    </row>
    <row r="25" spans="1:60" s="271" customFormat="1" ht="225.6" customHeight="1" x14ac:dyDescent="0.2">
      <c r="A25" s="437" t="s">
        <v>865</v>
      </c>
      <c r="B25" s="438" t="s">
        <v>605</v>
      </c>
      <c r="C25" s="434" t="s">
        <v>625</v>
      </c>
      <c r="D25" s="434" t="s">
        <v>867</v>
      </c>
      <c r="E25" s="435" t="s">
        <v>685</v>
      </c>
      <c r="F25" s="436" t="s">
        <v>866</v>
      </c>
      <c r="G25" s="435" t="s">
        <v>233</v>
      </c>
      <c r="H25" s="435" t="s">
        <v>1078</v>
      </c>
      <c r="I25" s="439">
        <v>288000</v>
      </c>
      <c r="J25" s="430" t="str">
        <f t="shared" ref="J25" si="35">IF(I25&lt;=0,"",IF(I25&lt;=2,"Muy Baja",IF(I25&lt;=24,"Baja",IF(I25&lt;=500,"Media",IF(I25&lt;=5000,"Alta","Muy Alta")))))</f>
        <v>Muy Alta</v>
      </c>
      <c r="K25" s="431">
        <f t="shared" ref="K25" si="36">IF(J25="","",IF(J25="Muy Baja",0.2,IF(J25="Baja",0.4,IF(J25="Media",0.6,IF(J25="Alta",0.8,IF(J25="Muy Alta",1,))))))</f>
        <v>1</v>
      </c>
      <c r="L25" s="430">
        <v>4</v>
      </c>
      <c r="M25" s="431" t="str">
        <f>IF(L25=1,"INSIGNIFICANTE",IF(L25=2,"Menor",IF(L25=3,"Moderado",IF(L25=4,"MAYOR",IF(L25=5,"Catastrófico",IF(L25=""," "))))))</f>
        <v>MAYOR</v>
      </c>
      <c r="N25" s="431">
        <f t="shared" ref="N25" si="37">IF(M25="","",IF(M25="Leve",0.2,IF(M25="Menor",0.4,IF(M25="Moderado",0.6,IF(M25="Mayor",0.8,IF(M25="Catastrófico",1,))))))</f>
        <v>0.8</v>
      </c>
      <c r="O25" s="433" t="str">
        <f t="shared" ref="O25" si="38">IF(OR(AND(J25="Muy Baja",M25="Leve"),AND(J25="Muy Baja",J25="Menor"),AND(J25="Baja",M25="Leve")),"Bajo",IF(OR(AND(J25="Muy baja",M25="Moderado"),AND(J25="Baja",M25="Menor"),AND(J25="Baja",M25="Moderado"),AND(J25="Media",M25="Leve"),AND(J25="Media",M25="Menor"),AND(J25="Media",M25="Moderado"),AND(J25="Alta",M25="Leve"),AND(J25="Alta",M25="Menor")),"Moderado",IF(OR(AND(J25="Muy Baja",M25="Mayor"),AND(J25="Baja",M25="Mayor"),AND(J25="Media",M25="Mayor"),AND(J25="Alta",M25="Moderado"),AND(J25="Alta",M25="Mayor"),AND(J25="Muy Alta",M25="Leve"),AND(J25="Muy Alta",M25="Menor"),AND(J25="Muy Alta",M25="Moderado"),AND(J25="Muy Alta",M25="Mayor")),"Alto",IF(OR(AND(J25="Muy Baja",M25="Catastrófico"),AND(J25="Baja",M25="Catastrófico"),AND(J25="Media",M25="Catastrófico"),AND(J25="Alta",M25="Catastrófico"),AND(J25="Muy Alta",M25="Catastrófico")),"Extremo",""))))</f>
        <v>Alto</v>
      </c>
      <c r="P25" s="261">
        <v>1</v>
      </c>
      <c r="Q25" s="328" t="s">
        <v>868</v>
      </c>
      <c r="R25" s="272" t="s">
        <v>292</v>
      </c>
      <c r="S25" s="317" t="s">
        <v>869</v>
      </c>
      <c r="T25" s="262" t="str">
        <f>IF(OR(U25="Preventivo",U25="Detectivo"),"Probabilidad",IF(U25="Correctivo","Impacto",""))</f>
        <v>Probabilidad</v>
      </c>
      <c r="U25" s="263" t="s">
        <v>13</v>
      </c>
      <c r="V25" s="263" t="s">
        <v>8</v>
      </c>
      <c r="W25" s="264" t="str">
        <f t="shared" si="8"/>
        <v>40%</v>
      </c>
      <c r="X25" s="263" t="s">
        <v>18</v>
      </c>
      <c r="Y25" s="263" t="s">
        <v>21</v>
      </c>
      <c r="Z25" s="263" t="s">
        <v>103</v>
      </c>
      <c r="AA25" s="265">
        <f>IFERROR(IF(T25="Probabilidad",(K25-(+K25*W25)),IF(T25="Impacto",K25,"")),"")</f>
        <v>0.6</v>
      </c>
      <c r="AB25" s="266" t="str">
        <f>IFERROR(IF(AA25="","",IF(AA25&lt;=0.2,"Muy Baja",IF(AA25&lt;=0.4,"Baja",IF(AA25&lt;=0.6,"Media",IF(AA25&lt;=0.8,"Alta","Muy Alta"))))),"")</f>
        <v>Media</v>
      </c>
      <c r="AC25" s="264">
        <f>+AA25</f>
        <v>0.6</v>
      </c>
      <c r="AD25" s="266" t="str">
        <f>IFERROR(IF(AE25="","",IF(AE25&lt;=0.2,"Leve",IF(AE25&lt;=0.4,"Menor",IF(AE25&lt;=0.6,"Moderado",IF(AE25&lt;=0.8,"Mayor","Catastrófico"))))),"")</f>
        <v>Mayor</v>
      </c>
      <c r="AE25" s="264">
        <f>IFERROR(IF(T25="Impacto",(N25-(+N25*W25)),IF(T25="Probabilidad",N25,"")),"")</f>
        <v>0.8</v>
      </c>
      <c r="AF25" s="267" t="str">
        <f>IFERROR(IF(OR(AND(AB25="Muy Baja",AD25="Leve"),AND(AB25="Muy Baja",AD25="Menor"),AND(AB25="Baja",AD25="Leve")),"Bajo",IF(OR(AND(AB25="Muy baja",AD25="Moderado"),AND(AB25="Baja",AD25="Menor"),AND(AB25="Baja",AD25="Moderado"),AND(AB25="Media",AD25="Leve"),AND(AB25="Media",AD25="Menor"),AND(AB25="Media",AD25="Moderado"),AND(AB25="Alta",AD25="Leve"),AND(AB25="Alta",AD25="Menor")),"Moderado",IF(OR(AND(AB25="Muy Baja",AD25="Mayor"),AND(AB25="Baja",AD25="Mayor"),AND(AB25="Media",AD25="Mayor"),AND(AB25="Alta",AD25="Moderado"),AND(AB25="Alta",AD25="Mayor"),AND(AB25="Muy Alta",AD25="Leve"),AND(AB25="Muy Alta",AD25="Menor"),AND(AB25="Muy Alta",AD25="Moderado"),AND(AB25="Muy Alta",AD25="Mayor")),"Alto",IF(OR(AND(AB25="Muy Baja",AD25="Catastrófico"),AND(AB25="Baja",AD25="Catastrófico"),AND(AB25="Media",AD25="Catastrófico"),AND(AB25="Alta",AD25="Catastrófico"),AND(AB25="Muy Alta",AD25="Catastrófico")),"Extremo","")))),"")</f>
        <v>Alto</v>
      </c>
      <c r="AG25" s="263" t="s">
        <v>26</v>
      </c>
      <c r="AH25" s="319">
        <v>4</v>
      </c>
      <c r="AI25" s="319">
        <v>1</v>
      </c>
      <c r="AJ25" s="319">
        <v>1</v>
      </c>
      <c r="AK25" s="319">
        <v>1</v>
      </c>
      <c r="AL25" s="319">
        <v>1</v>
      </c>
      <c r="AM25" s="268"/>
      <c r="AN25" s="268"/>
      <c r="AO25" s="258"/>
      <c r="AP25" s="269"/>
      <c r="AQ25" s="270"/>
      <c r="AR25" s="276"/>
      <c r="AS25" s="276"/>
    </row>
    <row r="26" spans="1:60" s="113" customFormat="1" ht="21" hidden="1" customHeight="1" x14ac:dyDescent="0.2">
      <c r="A26" s="437"/>
      <c r="B26" s="438"/>
      <c r="C26" s="434"/>
      <c r="D26" s="434"/>
      <c r="E26" s="435"/>
      <c r="F26" s="436"/>
      <c r="G26" s="435"/>
      <c r="H26" s="435"/>
      <c r="I26" s="439"/>
      <c r="J26" s="430"/>
      <c r="K26" s="431"/>
      <c r="L26" s="430"/>
      <c r="M26" s="431"/>
      <c r="N26" s="431"/>
      <c r="O26" s="433"/>
      <c r="P26" s="316">
        <v>2</v>
      </c>
      <c r="Q26" s="325"/>
      <c r="R26" s="312"/>
      <c r="S26" s="317"/>
      <c r="T26" s="208" t="str">
        <f>IF(OR(U26="Preventivo",U26="Detectivo"),"Probabilidad",IF(U26="Correctivo","Impacto",""))</f>
        <v/>
      </c>
      <c r="U26" s="237"/>
      <c r="V26" s="237"/>
      <c r="W26" s="209" t="str">
        <f t="shared" si="8"/>
        <v/>
      </c>
      <c r="X26" s="237"/>
      <c r="Y26" s="237"/>
      <c r="Z26" s="237"/>
      <c r="AA26" s="210" t="str">
        <f>IFERROR(IF(AND(T25="Probabilidad",T26="Probabilidad"),(AC25-(+AC25*W26)),IF(T26="Probabilidad",(K25-(+K25*W26)),IF(T26="Impacto",AC25,""))),"")</f>
        <v/>
      </c>
      <c r="AB26" s="211" t="str">
        <f t="shared" ref="AB26:AB30" si="39">IFERROR(IF(AA26="","",IF(AA26&lt;=0.2,"Muy Baja",IF(AA26&lt;=0.4,"Baja",IF(AA26&lt;=0.6,"Media",IF(AA26&lt;=0.8,"Alta","Muy Alta"))))),"")</f>
        <v/>
      </c>
      <c r="AC26" s="209" t="str">
        <f t="shared" ref="AC26:AC30" si="40">+AA26</f>
        <v/>
      </c>
      <c r="AD26" s="211" t="str">
        <f t="shared" ref="AD26:AD30" si="41">IFERROR(IF(AE26="","",IF(AE26&lt;=0.2,"Leve",IF(AE26&lt;=0.4,"Menor",IF(AE26&lt;=0.6,"Moderado",IF(AE26&lt;=0.8,"Mayor","Catastrófico"))))),"")</f>
        <v/>
      </c>
      <c r="AE26" s="209" t="str">
        <f>IFERROR(IF(AND(T25="Impacto",T26="Impacto"),(AE25-(+AE25*W26)),IF(T26="Impacto",(#REF!-(+#REF!*W26)),IF(T26="Probabilidad",AE25,""))),"")</f>
        <v/>
      </c>
      <c r="AF26" s="212" t="str">
        <f t="shared" ref="AF26:AF27" si="42">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
      </c>
      <c r="AG26" s="237"/>
      <c r="AH26" s="319"/>
      <c r="AI26" s="319"/>
      <c r="AJ26" s="319"/>
      <c r="AK26" s="319"/>
      <c r="AL26" s="319"/>
      <c r="AM26" s="299"/>
      <c r="AN26" s="299"/>
      <c r="AO26" s="259"/>
      <c r="AP26" s="220"/>
      <c r="AQ26" s="299"/>
      <c r="AR26" s="277"/>
      <c r="AS26" s="277"/>
      <c r="AT26" s="129"/>
      <c r="AU26" s="129"/>
      <c r="AV26" s="129"/>
      <c r="AW26" s="129"/>
      <c r="AX26" s="129"/>
      <c r="AY26" s="129"/>
      <c r="AZ26" s="129"/>
      <c r="BA26" s="129"/>
      <c r="BB26" s="129"/>
      <c r="BC26" s="129"/>
      <c r="BD26" s="129"/>
      <c r="BE26" s="129"/>
      <c r="BF26" s="129"/>
      <c r="BG26" s="129"/>
      <c r="BH26" s="129"/>
    </row>
    <row r="27" spans="1:60" s="113" customFormat="1" ht="21" hidden="1" customHeight="1" x14ac:dyDescent="0.2">
      <c r="A27" s="437"/>
      <c r="B27" s="438"/>
      <c r="C27" s="434"/>
      <c r="D27" s="434"/>
      <c r="E27" s="435"/>
      <c r="F27" s="436"/>
      <c r="G27" s="435"/>
      <c r="H27" s="435"/>
      <c r="I27" s="439"/>
      <c r="J27" s="430"/>
      <c r="K27" s="431"/>
      <c r="L27" s="430"/>
      <c r="M27" s="431"/>
      <c r="N27" s="431"/>
      <c r="O27" s="433"/>
      <c r="P27" s="316">
        <v>3</v>
      </c>
      <c r="Q27" s="330"/>
      <c r="R27" s="312"/>
      <c r="S27" s="317"/>
      <c r="T27" s="208" t="str">
        <f>IF(OR(U27="Preventivo",U27="Detectivo"),"Probabilidad",IF(U27="Correctivo","Impacto",""))</f>
        <v/>
      </c>
      <c r="U27" s="237"/>
      <c r="V27" s="237"/>
      <c r="W27" s="209" t="str">
        <f>IF(AND(U27="Preventivo",V27="Automático"),"50%",IF(AND(U27="Preventivo",V27="Manual"),"40%",IF(AND(U27="Detectivo",V27="Automático"),"40%",IF(AND(U27="Detectivo",V27="Manual"),"30%",IF(AND(U27="Correctivo",V27="Automático"),"35%",IF(AND(U27="Correctivo",V27="Manual"),"25%",""))))))</f>
        <v/>
      </c>
      <c r="X27" s="237"/>
      <c r="Y27" s="237"/>
      <c r="Z27" s="237"/>
      <c r="AA27" s="210" t="str">
        <f t="shared" ref="AA27:AA30" si="43">IFERROR(IF(AND(T26="Probabilidad",T27="Probabilidad"),(AC26-(+AC26*W27)),IF(AND(T26="Impacto",T27="Probabilidad"),(AC25-(+AC25*W27)),IF(T27="Impacto",AC26,""))),"")</f>
        <v/>
      </c>
      <c r="AB27" s="211" t="str">
        <f t="shared" si="39"/>
        <v/>
      </c>
      <c r="AC27" s="209" t="str">
        <f t="shared" si="40"/>
        <v/>
      </c>
      <c r="AD27" s="211" t="str">
        <f t="shared" si="41"/>
        <v/>
      </c>
      <c r="AE27" s="209" t="str">
        <f>IFERROR(IF(AND(T26="Impacto",T27="Impacto"),(AE26-(+AE26*W27)),IF(T27="Impacto",(#REF!-(+#REF!*W27)),IF(T27="Probabilidad",AE26,""))),"")</f>
        <v/>
      </c>
      <c r="AF27" s="212" t="str">
        <f t="shared" si="42"/>
        <v/>
      </c>
      <c r="AG27" s="237"/>
      <c r="AH27" s="319"/>
      <c r="AI27" s="319"/>
      <c r="AJ27" s="319"/>
      <c r="AK27" s="319"/>
      <c r="AL27" s="319"/>
      <c r="AM27" s="299"/>
      <c r="AN27" s="299"/>
      <c r="AO27" s="259"/>
      <c r="AP27" s="220"/>
      <c r="AQ27" s="299"/>
      <c r="AR27" s="277"/>
      <c r="AS27" s="277"/>
      <c r="AT27" s="129"/>
      <c r="AU27" s="129"/>
      <c r="AV27" s="129"/>
      <c r="AW27" s="129"/>
      <c r="AX27" s="129"/>
      <c r="AY27" s="129"/>
      <c r="AZ27" s="129"/>
      <c r="BA27" s="129"/>
      <c r="BB27" s="129"/>
      <c r="BC27" s="129"/>
      <c r="BD27" s="129"/>
      <c r="BE27" s="129"/>
      <c r="BF27" s="129"/>
      <c r="BG27" s="129"/>
      <c r="BH27" s="129"/>
    </row>
    <row r="28" spans="1:60" s="113" customFormat="1" ht="21" hidden="1" customHeight="1" x14ac:dyDescent="0.2">
      <c r="A28" s="437"/>
      <c r="B28" s="438"/>
      <c r="C28" s="434"/>
      <c r="D28" s="434"/>
      <c r="E28" s="435"/>
      <c r="F28" s="436"/>
      <c r="G28" s="435"/>
      <c r="H28" s="435"/>
      <c r="I28" s="439"/>
      <c r="J28" s="430"/>
      <c r="K28" s="431"/>
      <c r="L28" s="430"/>
      <c r="M28" s="431"/>
      <c r="N28" s="431"/>
      <c r="O28" s="433"/>
      <c r="P28" s="316">
        <v>4</v>
      </c>
      <c r="Q28" s="325"/>
      <c r="R28" s="312"/>
      <c r="S28" s="317"/>
      <c r="T28" s="208" t="str">
        <f t="shared" ref="T28:T30" si="44">IF(OR(U28="Preventivo",U28="Detectivo"),"Probabilidad",IF(U28="Correctivo","Impacto",""))</f>
        <v/>
      </c>
      <c r="U28" s="237"/>
      <c r="V28" s="237"/>
      <c r="W28" s="209" t="str">
        <f t="shared" ref="W28:W44" si="45">IF(AND(U28="Preventivo",V28="Automático"),"50%",IF(AND(U28="Preventivo",V28="Manual"),"40%",IF(AND(U28="Detectivo",V28="Automático"),"40%",IF(AND(U28="Detectivo",V28="Manual"),"30%",IF(AND(U28="Correctivo",V28="Automático"),"35%",IF(AND(U28="Correctivo",V28="Manual"),"25%",""))))))</f>
        <v/>
      </c>
      <c r="X28" s="237"/>
      <c r="Y28" s="237"/>
      <c r="Z28" s="237"/>
      <c r="AA28" s="210" t="str">
        <f t="shared" si="43"/>
        <v/>
      </c>
      <c r="AB28" s="211" t="str">
        <f t="shared" si="39"/>
        <v/>
      </c>
      <c r="AC28" s="209" t="str">
        <f t="shared" si="40"/>
        <v/>
      </c>
      <c r="AD28" s="211" t="str">
        <f t="shared" si="41"/>
        <v/>
      </c>
      <c r="AE28" s="209" t="str">
        <f>IFERROR(IF(AND(T27="Impacto",T28="Impacto"),(AE27-(+AE27*W28)),IF(T28="Impacto",(#REF!-(+#REF!*W28)),IF(T28="Probabilidad",AE27,""))),"")</f>
        <v/>
      </c>
      <c r="AF28" s="212" t="str">
        <f>IFERROR(IF(OR(AND(AB28="Muy Baja",AD28="Leve"),AND(AB28="Muy Baja",AD28="Menor"),AND(AB28="Baja",AD28="Leve")),"Bajo",IF(OR(AND(AB28="Muy baja",AD28="Moderado"),AND(AB28="Baja",AD28="Menor"),AND(AB28="Baja",AD28="Moderado"),AND(AB28="Media",AD28="Leve"),AND(AB28="Media",AD28="Menor"),AND(AB28="Media",AD28="Moderado"),AND(AB28="Alta",AD28="Leve"),AND(AB28="Alta",AD28="Menor")),"Moderado",IF(OR(AND(AB28="Muy Baja",AD28="Mayor"),AND(AB28="Baja",AD28="Mayor"),AND(AB28="Media",AD28="Mayor"),AND(AB28="Alta",AD28="Moderado"),AND(AB28="Alta",AD28="Mayor"),AND(AB28="Muy Alta",AD28="Leve"),AND(AB28="Muy Alta",AD28="Menor"),AND(AB28="Muy Alta",AD28="Moderado"),AND(AB28="Muy Alta",AD28="Mayor")),"Alto",IF(OR(AND(AB28="Muy Baja",AD28="Catastrófico"),AND(AB28="Baja",AD28="Catastrófico"),AND(AB28="Media",AD28="Catastrófico"),AND(AB28="Alta",AD28="Catastrófico"),AND(AB28="Muy Alta",AD28="Catastrófico")),"Extremo","")))),"")</f>
        <v/>
      </c>
      <c r="AG28" s="237"/>
      <c r="AH28" s="319"/>
      <c r="AI28" s="319"/>
      <c r="AJ28" s="319"/>
      <c r="AK28" s="319"/>
      <c r="AL28" s="319"/>
      <c r="AM28" s="213"/>
      <c r="AN28" s="213"/>
      <c r="AO28" s="301"/>
      <c r="AP28" s="220"/>
      <c r="AQ28" s="213"/>
      <c r="AR28" s="277"/>
      <c r="AS28" s="277"/>
      <c r="AT28" s="129"/>
      <c r="AU28" s="129"/>
      <c r="AV28" s="129"/>
      <c r="AW28" s="129"/>
      <c r="AX28" s="129"/>
      <c r="AY28" s="129"/>
      <c r="AZ28" s="129"/>
      <c r="BA28" s="129"/>
      <c r="BB28" s="129"/>
      <c r="BC28" s="129"/>
      <c r="BD28" s="129"/>
      <c r="BE28" s="129"/>
      <c r="BF28" s="129"/>
      <c r="BG28" s="129"/>
      <c r="BH28" s="129"/>
    </row>
    <row r="29" spans="1:60" s="113" customFormat="1" ht="21" hidden="1" customHeight="1" x14ac:dyDescent="0.2">
      <c r="A29" s="437"/>
      <c r="B29" s="438"/>
      <c r="C29" s="434"/>
      <c r="D29" s="434"/>
      <c r="E29" s="435"/>
      <c r="F29" s="436"/>
      <c r="G29" s="435"/>
      <c r="H29" s="435"/>
      <c r="I29" s="439"/>
      <c r="J29" s="430"/>
      <c r="K29" s="431"/>
      <c r="L29" s="430"/>
      <c r="M29" s="431"/>
      <c r="N29" s="431"/>
      <c r="O29" s="433"/>
      <c r="P29" s="316">
        <v>5</v>
      </c>
      <c r="Q29" s="325"/>
      <c r="R29" s="312"/>
      <c r="S29" s="317"/>
      <c r="T29" s="208" t="str">
        <f t="shared" si="44"/>
        <v/>
      </c>
      <c r="U29" s="237"/>
      <c r="V29" s="237"/>
      <c r="W29" s="209" t="str">
        <f t="shared" si="45"/>
        <v/>
      </c>
      <c r="X29" s="237"/>
      <c r="Y29" s="237"/>
      <c r="Z29" s="237"/>
      <c r="AA29" s="210" t="str">
        <f t="shared" si="43"/>
        <v/>
      </c>
      <c r="AB29" s="211" t="str">
        <f t="shared" si="39"/>
        <v/>
      </c>
      <c r="AC29" s="209" t="str">
        <f t="shared" si="40"/>
        <v/>
      </c>
      <c r="AD29" s="211" t="str">
        <f t="shared" si="41"/>
        <v/>
      </c>
      <c r="AE29" s="209" t="str">
        <f>IFERROR(IF(AND(T28="Impacto",T29="Impacto"),(AE28-(+AE28*W29)),IF(T29="Impacto",(#REF!-(+#REF!*W29)),IF(T29="Probabilidad",AE28,""))),"")</f>
        <v/>
      </c>
      <c r="AF29" s="212" t="str">
        <f t="shared" ref="AF29:AF30" si="46">IFERROR(IF(OR(AND(AB29="Muy Baja",AD29="Leve"),AND(AB29="Muy Baja",AD29="Menor"),AND(AB29="Baja",AD29="Leve")),"Bajo",IF(OR(AND(AB29="Muy baja",AD29="Moderado"),AND(AB29="Baja",AD29="Menor"),AND(AB29="Baja",AD29="Moderado"),AND(AB29="Media",AD29="Leve"),AND(AB29="Media",AD29="Menor"),AND(AB29="Media",AD29="Moderado"),AND(AB29="Alta",AD29="Leve"),AND(AB29="Alta",AD29="Menor")),"Moderado",IF(OR(AND(AB29="Muy Baja",AD29="Mayor"),AND(AB29="Baja",AD29="Mayor"),AND(AB29="Media",AD29="Mayor"),AND(AB29="Alta",AD29="Moderado"),AND(AB29="Alta",AD29="Mayor"),AND(AB29="Muy Alta",AD29="Leve"),AND(AB29="Muy Alta",AD29="Menor"),AND(AB29="Muy Alta",AD29="Moderado"),AND(AB29="Muy Alta",AD29="Mayor")),"Alto",IF(OR(AND(AB29="Muy Baja",AD29="Catastrófico"),AND(AB29="Baja",AD29="Catastrófico"),AND(AB29="Media",AD29="Catastrófico"),AND(AB29="Alta",AD29="Catastrófico"),AND(AB29="Muy Alta",AD29="Catastrófico")),"Extremo","")))),"")</f>
        <v/>
      </c>
      <c r="AG29" s="237"/>
      <c r="AH29" s="319"/>
      <c r="AI29" s="319"/>
      <c r="AJ29" s="319"/>
      <c r="AK29" s="319"/>
      <c r="AL29" s="319"/>
      <c r="AM29" s="300"/>
      <c r="AN29" s="300"/>
      <c r="AO29" s="298"/>
      <c r="AP29" s="216"/>
      <c r="AQ29" s="216"/>
      <c r="AR29" s="277"/>
      <c r="AS29" s="277"/>
      <c r="AT29" s="129"/>
      <c r="AU29" s="129"/>
      <c r="AV29" s="129"/>
      <c r="AW29" s="129"/>
      <c r="AX29" s="129"/>
      <c r="AY29" s="129"/>
      <c r="AZ29" s="129"/>
      <c r="BA29" s="129"/>
      <c r="BB29" s="129"/>
      <c r="BC29" s="129"/>
      <c r="BD29" s="129"/>
      <c r="BE29" s="129"/>
      <c r="BF29" s="129"/>
      <c r="BG29" s="129"/>
      <c r="BH29" s="129"/>
    </row>
    <row r="30" spans="1:60" s="113" customFormat="1" ht="21" hidden="1" customHeight="1" x14ac:dyDescent="0.2">
      <c r="A30" s="437"/>
      <c r="B30" s="438"/>
      <c r="C30" s="434"/>
      <c r="D30" s="434"/>
      <c r="E30" s="435"/>
      <c r="F30" s="436"/>
      <c r="G30" s="435"/>
      <c r="H30" s="435"/>
      <c r="I30" s="439"/>
      <c r="J30" s="430"/>
      <c r="K30" s="431"/>
      <c r="L30" s="430"/>
      <c r="M30" s="431"/>
      <c r="N30" s="431"/>
      <c r="O30" s="433"/>
      <c r="P30" s="316">
        <v>6</v>
      </c>
      <c r="Q30" s="325"/>
      <c r="R30" s="312"/>
      <c r="S30" s="317"/>
      <c r="T30" s="208" t="str">
        <f t="shared" si="44"/>
        <v/>
      </c>
      <c r="U30" s="237"/>
      <c r="V30" s="237"/>
      <c r="W30" s="209" t="str">
        <f t="shared" si="45"/>
        <v/>
      </c>
      <c r="X30" s="237"/>
      <c r="Y30" s="237"/>
      <c r="Z30" s="237"/>
      <c r="AA30" s="210" t="str">
        <f t="shared" si="43"/>
        <v/>
      </c>
      <c r="AB30" s="211" t="str">
        <f t="shared" si="39"/>
        <v/>
      </c>
      <c r="AC30" s="209" t="str">
        <f t="shared" si="40"/>
        <v/>
      </c>
      <c r="AD30" s="211" t="str">
        <f t="shared" si="41"/>
        <v/>
      </c>
      <c r="AE30" s="209" t="str">
        <f>IFERROR(IF(AND(T29="Impacto",T30="Impacto"),(AE29-(+AE29*W30)),IF(T30="Impacto",(#REF!-(+#REF!*W30)),IF(T30="Probabilidad",AE29,""))),"")</f>
        <v/>
      </c>
      <c r="AF30" s="212" t="str">
        <f t="shared" si="46"/>
        <v/>
      </c>
      <c r="AG30" s="237"/>
      <c r="AH30" s="319"/>
      <c r="AI30" s="319"/>
      <c r="AJ30" s="319"/>
      <c r="AK30" s="319"/>
      <c r="AL30" s="319"/>
      <c r="AM30" s="300"/>
      <c r="AN30" s="300"/>
      <c r="AO30" s="298"/>
      <c r="AP30" s="216"/>
      <c r="AQ30" s="216"/>
      <c r="AR30" s="277"/>
      <c r="AS30" s="277"/>
      <c r="AT30" s="129"/>
      <c r="AU30" s="129"/>
      <c r="AV30" s="129"/>
      <c r="AW30" s="129"/>
      <c r="AX30" s="129"/>
      <c r="AY30" s="129"/>
      <c r="AZ30" s="129"/>
      <c r="BA30" s="129"/>
      <c r="BB30" s="129"/>
      <c r="BC30" s="129"/>
      <c r="BD30" s="129"/>
      <c r="BE30" s="129"/>
      <c r="BF30" s="129"/>
      <c r="BG30" s="129"/>
      <c r="BH30" s="129"/>
    </row>
    <row r="31" spans="1:60" s="271" customFormat="1" ht="156.75" x14ac:dyDescent="0.2">
      <c r="A31" s="437" t="s">
        <v>870</v>
      </c>
      <c r="B31" s="438" t="s">
        <v>609</v>
      </c>
      <c r="C31" s="434" t="s">
        <v>621</v>
      </c>
      <c r="D31" s="434" t="s">
        <v>873</v>
      </c>
      <c r="E31" s="435" t="s">
        <v>685</v>
      </c>
      <c r="F31" s="436" t="s">
        <v>872</v>
      </c>
      <c r="G31" s="435" t="s">
        <v>233</v>
      </c>
      <c r="H31" s="435" t="s">
        <v>1078</v>
      </c>
      <c r="I31" s="439">
        <v>2</v>
      </c>
      <c r="J31" s="430" t="str">
        <f t="shared" ref="J31" si="47">IF(I31&lt;=0,"",IF(I31&lt;=2,"Muy Baja",IF(I31&lt;=24,"Baja",IF(I31&lt;=500,"Media",IF(I31&lt;=5000,"Alta","Muy Alta")))))</f>
        <v>Muy Baja</v>
      </c>
      <c r="K31" s="431">
        <f t="shared" ref="K31" si="48">IF(J31="","",IF(J31="Muy Baja",0.2,IF(J31="Baja",0.4,IF(J31="Media",0.6,IF(J31="Alta",0.8,IF(J31="Muy Alta",1,))))))</f>
        <v>0.2</v>
      </c>
      <c r="L31" s="430">
        <v>5</v>
      </c>
      <c r="M31" s="431" t="str">
        <f>IF(L31=1,"INSIGNIFICANTE",IF(L31=2,"Menor",IF(L31=3,"Moderado",IF(L31=4,"MAYOR",IF(L31=5,"Catastrófico",IF(L31=""," "))))))</f>
        <v>Catastrófico</v>
      </c>
      <c r="N31" s="431">
        <f t="shared" ref="N31" si="49">IF(M31="","",IF(M31="Leve",0.2,IF(M31="Menor",0.4,IF(M31="Moderado",0.6,IF(M31="Mayor",0.8,IF(M31="Catastrófico",1,))))))</f>
        <v>1</v>
      </c>
      <c r="O31" s="433" t="str">
        <f t="shared" ref="O31" si="50">IF(OR(AND(J31="Muy Baja",M31="Leve"),AND(J31="Muy Baja",J31="Menor"),AND(J31="Baja",M31="Leve")),"Bajo",IF(OR(AND(J31="Muy baja",M31="Moderado"),AND(J31="Baja",M31="Menor"),AND(J31="Baja",M31="Moderado"),AND(J31="Media",M31="Leve"),AND(J31="Media",M31="Menor"),AND(J31="Media",M31="Moderado"),AND(J31="Alta",M31="Leve"),AND(J31="Alta",M31="Menor")),"Moderado",IF(OR(AND(J31="Muy Baja",M31="Mayor"),AND(J31="Baja",M31="Mayor"),AND(J31="Media",M31="Mayor"),AND(J31="Alta",M31="Moderado"),AND(J31="Alta",M31="Mayor"),AND(J31="Muy Alta",M31="Leve"),AND(J31="Muy Alta",M31="Menor"),AND(J31="Muy Alta",M31="Moderado"),AND(J31="Muy Alta",M31="Mayor")),"Alto",IF(OR(AND(J31="Muy Baja",M31="Catastrófico"),AND(J31="Baja",M31="Catastrófico"),AND(J31="Media",M31="Catastrófico"),AND(J31="Alta",M31="Catastrófico"),AND(J31="Muy Alta",M31="Catastrófico")),"Extremo",""))))</f>
        <v>Extremo</v>
      </c>
      <c r="P31" s="261">
        <v>1</v>
      </c>
      <c r="Q31" s="328" t="s">
        <v>874</v>
      </c>
      <c r="R31" s="272" t="s">
        <v>293</v>
      </c>
      <c r="S31" s="317" t="s">
        <v>875</v>
      </c>
      <c r="T31" s="262" t="str">
        <f>IF(OR(U31="Preventivo",U31="Detectivo"),"Probabilidad",IF(U31="Correctivo","Impacto",""))</f>
        <v>Probabilidad</v>
      </c>
      <c r="U31" s="263" t="s">
        <v>13</v>
      </c>
      <c r="V31" s="263" t="s">
        <v>8</v>
      </c>
      <c r="W31" s="264" t="str">
        <f t="shared" si="45"/>
        <v>40%</v>
      </c>
      <c r="X31" s="263" t="s">
        <v>18</v>
      </c>
      <c r="Y31" s="263" t="s">
        <v>21</v>
      </c>
      <c r="Z31" s="263" t="s">
        <v>103</v>
      </c>
      <c r="AA31" s="265">
        <f>IFERROR(IF(T31="Probabilidad",(K31-(+K31*W31)),IF(T31="Impacto",K31,"")),"")</f>
        <v>0.12</v>
      </c>
      <c r="AB31" s="266" t="str">
        <f>IFERROR(IF(AA31="","",IF(AA31&lt;=0.2,"Muy Baja",IF(AA31&lt;=0.4,"Baja",IF(AA31&lt;=0.6,"Media",IF(AA31&lt;=0.8,"Alta","Muy Alta"))))),"")</f>
        <v>Muy Baja</v>
      </c>
      <c r="AC31" s="264">
        <f>+AA31</f>
        <v>0.12</v>
      </c>
      <c r="AD31" s="266" t="str">
        <f>IFERROR(IF(AE31="","",IF(AE31&lt;=0.2,"Leve",IF(AE31&lt;=0.4,"Menor",IF(AE31&lt;=0.6,"Moderado",IF(AE31&lt;=0.8,"Mayor","Catastrófico"))))),"")</f>
        <v>Catastrófico</v>
      </c>
      <c r="AE31" s="264">
        <f>IFERROR(IF(T31="Impacto",(N31-(+N31*W31)),IF(T31="Probabilidad",N31,"")),"")</f>
        <v>1</v>
      </c>
      <c r="AF31" s="267" t="str">
        <f>IFERROR(IF(OR(AND(AB31="Muy Baja",AD31="Leve"),AND(AB31="Muy Baja",AD31="Menor"),AND(AB31="Baja",AD31="Leve")),"Bajo",IF(OR(AND(AB31="Muy baja",AD31="Moderado"),AND(AB31="Baja",AD31="Menor"),AND(AB31="Baja",AD31="Moderado"),AND(AB31="Media",AD31="Leve"),AND(AB31="Media",AD31="Menor"),AND(AB31="Media",AD31="Moderado"),AND(AB31="Alta",AD31="Leve"),AND(AB31="Alta",AD31="Menor")),"Moderado",IF(OR(AND(AB31="Muy Baja",AD31="Mayor"),AND(AB31="Baja",AD31="Mayor"),AND(AB31="Media",AD31="Mayor"),AND(AB31="Alta",AD31="Moderado"),AND(AB31="Alta",AD31="Mayor"),AND(AB31="Muy Alta",AD31="Leve"),AND(AB31="Muy Alta",AD31="Menor"),AND(AB31="Muy Alta",AD31="Moderado"),AND(AB31="Muy Alta",AD31="Mayor")),"Alto",IF(OR(AND(AB31="Muy Baja",AD31="Catastrófico"),AND(AB31="Baja",AD31="Catastrófico"),AND(AB31="Media",AD31="Catastrófico"),AND(AB31="Alta",AD31="Catastrófico"),AND(AB31="Muy Alta",AD31="Catastrófico")),"Extremo","")))),"")</f>
        <v>Extremo</v>
      </c>
      <c r="AG31" s="263" t="s">
        <v>26</v>
      </c>
      <c r="AH31" s="319">
        <v>0</v>
      </c>
      <c r="AI31" s="319">
        <v>0</v>
      </c>
      <c r="AJ31" s="319">
        <v>0</v>
      </c>
      <c r="AK31" s="319">
        <v>0</v>
      </c>
      <c r="AL31" s="319">
        <v>0</v>
      </c>
      <c r="AM31" s="268"/>
      <c r="AN31" s="268"/>
      <c r="AO31" s="258"/>
      <c r="AP31" s="269"/>
      <c r="AQ31" s="270"/>
      <c r="AR31" s="276"/>
      <c r="AS31" s="276"/>
    </row>
    <row r="32" spans="1:60" s="113" customFormat="1" ht="8.25" hidden="1" customHeight="1" x14ac:dyDescent="0.2">
      <c r="A32" s="437"/>
      <c r="B32" s="438"/>
      <c r="C32" s="434"/>
      <c r="D32" s="434"/>
      <c r="E32" s="435"/>
      <c r="F32" s="436"/>
      <c r="G32" s="435"/>
      <c r="H32" s="435"/>
      <c r="I32" s="439"/>
      <c r="J32" s="430"/>
      <c r="K32" s="431"/>
      <c r="L32" s="430"/>
      <c r="M32" s="431"/>
      <c r="N32" s="431"/>
      <c r="O32" s="433"/>
      <c r="P32" s="316">
        <v>2</v>
      </c>
      <c r="Q32" s="325"/>
      <c r="R32" s="312"/>
      <c r="S32" s="317"/>
      <c r="T32" s="208" t="str">
        <f>IF(OR(U32="Preventivo",U32="Detectivo"),"Probabilidad",IF(U32="Correctivo","Impacto",""))</f>
        <v/>
      </c>
      <c r="U32" s="237"/>
      <c r="V32" s="237"/>
      <c r="W32" s="209" t="str">
        <f t="shared" si="45"/>
        <v/>
      </c>
      <c r="X32" s="237"/>
      <c r="Y32" s="237"/>
      <c r="Z32" s="237"/>
      <c r="AA32" s="210" t="str">
        <f>IFERROR(IF(AND(T31="Probabilidad",T32="Probabilidad"),(AC31-(+AC31*W32)),IF(T32="Probabilidad",(K31-(+K31*W32)),IF(T32="Impacto",AC31,""))),"")</f>
        <v/>
      </c>
      <c r="AB32" s="211" t="str">
        <f t="shared" ref="AB32:AB36" si="51">IFERROR(IF(AA32="","",IF(AA32&lt;=0.2,"Muy Baja",IF(AA32&lt;=0.4,"Baja",IF(AA32&lt;=0.6,"Media",IF(AA32&lt;=0.8,"Alta","Muy Alta"))))),"")</f>
        <v/>
      </c>
      <c r="AC32" s="209" t="str">
        <f t="shared" ref="AC32:AC36" si="52">+AA32</f>
        <v/>
      </c>
      <c r="AD32" s="211" t="str">
        <f t="shared" ref="AD32:AD36" si="53">IFERROR(IF(AE32="","",IF(AE32&lt;=0.2,"Leve",IF(AE32&lt;=0.4,"Menor",IF(AE32&lt;=0.6,"Moderado",IF(AE32&lt;=0.8,"Mayor","Catastrófico"))))),"")</f>
        <v/>
      </c>
      <c r="AE32" s="209" t="str">
        <f>IFERROR(IF(AND(T31="Impacto",T32="Impacto"),(AE31-(+AE31*W32)),IF(T32="Impacto",(#REF!-(+#REF!*W32)),IF(T32="Probabilidad",AE31,""))),"")</f>
        <v/>
      </c>
      <c r="AF32" s="212" t="str">
        <f t="shared" ref="AF32:AF33" si="54">IFERROR(IF(OR(AND(AB32="Muy Baja",AD32="Leve"),AND(AB32="Muy Baja",AD32="Menor"),AND(AB32="Baja",AD32="Leve")),"Bajo",IF(OR(AND(AB32="Muy baja",AD32="Moderado"),AND(AB32="Baja",AD32="Menor"),AND(AB32="Baja",AD32="Moderado"),AND(AB32="Media",AD32="Leve"),AND(AB32="Media",AD32="Menor"),AND(AB32="Media",AD32="Moderado"),AND(AB32="Alta",AD32="Leve"),AND(AB32="Alta",AD32="Menor")),"Moderado",IF(OR(AND(AB32="Muy Baja",AD32="Mayor"),AND(AB32="Baja",AD32="Mayor"),AND(AB32="Media",AD32="Mayor"),AND(AB32="Alta",AD32="Moderado"),AND(AB32="Alta",AD32="Mayor"),AND(AB32="Muy Alta",AD32="Leve"),AND(AB32="Muy Alta",AD32="Menor"),AND(AB32="Muy Alta",AD32="Moderado"),AND(AB32="Muy Alta",AD32="Mayor")),"Alto",IF(OR(AND(AB32="Muy Baja",AD32="Catastrófico"),AND(AB32="Baja",AD32="Catastrófico"),AND(AB32="Media",AD32="Catastrófico"),AND(AB32="Alta",AD32="Catastrófico"),AND(AB32="Muy Alta",AD32="Catastrófico")),"Extremo","")))),"")</f>
        <v/>
      </c>
      <c r="AG32" s="237"/>
      <c r="AH32" s="319"/>
      <c r="AI32" s="319"/>
      <c r="AJ32" s="319"/>
      <c r="AK32" s="319"/>
      <c r="AL32" s="319"/>
      <c r="AM32" s="307"/>
      <c r="AN32" s="307"/>
      <c r="AO32" s="259"/>
      <c r="AP32" s="220"/>
      <c r="AQ32" s="307"/>
      <c r="AR32" s="277"/>
      <c r="AS32" s="277"/>
      <c r="AT32" s="129"/>
      <c r="AU32" s="129"/>
      <c r="AV32" s="129"/>
      <c r="AW32" s="129"/>
      <c r="AX32" s="129"/>
      <c r="AY32" s="129"/>
      <c r="AZ32" s="129"/>
      <c r="BA32" s="129"/>
      <c r="BB32" s="129"/>
      <c r="BC32" s="129"/>
      <c r="BD32" s="129"/>
      <c r="BE32" s="129"/>
      <c r="BF32" s="129"/>
      <c r="BG32" s="129"/>
      <c r="BH32" s="129"/>
    </row>
    <row r="33" spans="1:60" s="113" customFormat="1" ht="8.25" hidden="1" customHeight="1" x14ac:dyDescent="0.2">
      <c r="A33" s="437"/>
      <c r="B33" s="438"/>
      <c r="C33" s="434"/>
      <c r="D33" s="434"/>
      <c r="E33" s="435"/>
      <c r="F33" s="436"/>
      <c r="G33" s="435"/>
      <c r="H33" s="435"/>
      <c r="I33" s="439"/>
      <c r="J33" s="430"/>
      <c r="K33" s="431"/>
      <c r="L33" s="430"/>
      <c r="M33" s="431"/>
      <c r="N33" s="431"/>
      <c r="O33" s="433"/>
      <c r="P33" s="316">
        <v>3</v>
      </c>
      <c r="Q33" s="330"/>
      <c r="R33" s="312"/>
      <c r="S33" s="317"/>
      <c r="T33" s="208" t="str">
        <f>IF(OR(U33="Preventivo",U33="Detectivo"),"Probabilidad",IF(U33="Correctivo","Impacto",""))</f>
        <v/>
      </c>
      <c r="U33" s="237"/>
      <c r="V33" s="237"/>
      <c r="W33" s="209" t="str">
        <f>IF(AND(U33="Preventivo",V33="Automático"),"50%",IF(AND(U33="Preventivo",V33="Manual"),"40%",IF(AND(U33="Detectivo",V33="Automático"),"40%",IF(AND(U33="Detectivo",V33="Manual"),"30%",IF(AND(U33="Correctivo",V33="Automático"),"35%",IF(AND(U33="Correctivo",V33="Manual"),"25%",""))))))</f>
        <v/>
      </c>
      <c r="X33" s="237"/>
      <c r="Y33" s="237"/>
      <c r="Z33" s="237"/>
      <c r="AA33" s="210" t="str">
        <f t="shared" ref="AA33:AA36" si="55">IFERROR(IF(AND(T32="Probabilidad",T33="Probabilidad"),(AC32-(+AC32*W33)),IF(AND(T32="Impacto",T33="Probabilidad"),(AC31-(+AC31*W33)),IF(T33="Impacto",AC32,""))),"")</f>
        <v/>
      </c>
      <c r="AB33" s="211" t="str">
        <f t="shared" si="51"/>
        <v/>
      </c>
      <c r="AC33" s="209" t="str">
        <f t="shared" si="52"/>
        <v/>
      </c>
      <c r="AD33" s="211" t="str">
        <f t="shared" si="53"/>
        <v/>
      </c>
      <c r="AE33" s="209" t="str">
        <f>IFERROR(IF(AND(T32="Impacto",T33="Impacto"),(AE32-(+AE32*W33)),IF(T33="Impacto",(#REF!-(+#REF!*W33)),IF(T33="Probabilidad",AE32,""))),"")</f>
        <v/>
      </c>
      <c r="AF33" s="212" t="str">
        <f t="shared" si="54"/>
        <v/>
      </c>
      <c r="AG33" s="237"/>
      <c r="AH33" s="319"/>
      <c r="AI33" s="319"/>
      <c r="AJ33" s="319"/>
      <c r="AK33" s="319"/>
      <c r="AL33" s="319"/>
      <c r="AM33" s="307"/>
      <c r="AN33" s="307"/>
      <c r="AO33" s="259"/>
      <c r="AP33" s="220"/>
      <c r="AQ33" s="307"/>
      <c r="AR33" s="277"/>
      <c r="AS33" s="277"/>
      <c r="AT33" s="129"/>
      <c r="AU33" s="129"/>
      <c r="AV33" s="129"/>
      <c r="AW33" s="129"/>
      <c r="AX33" s="129"/>
      <c r="AY33" s="129"/>
      <c r="AZ33" s="129"/>
      <c r="BA33" s="129"/>
      <c r="BB33" s="129"/>
      <c r="BC33" s="129"/>
      <c r="BD33" s="129"/>
      <c r="BE33" s="129"/>
      <c r="BF33" s="129"/>
      <c r="BG33" s="129"/>
      <c r="BH33" s="129"/>
    </row>
    <row r="34" spans="1:60" s="113" customFormat="1" ht="8.25" hidden="1" customHeight="1" x14ac:dyDescent="0.2">
      <c r="A34" s="437"/>
      <c r="B34" s="438"/>
      <c r="C34" s="434"/>
      <c r="D34" s="434"/>
      <c r="E34" s="435"/>
      <c r="F34" s="436"/>
      <c r="G34" s="435"/>
      <c r="H34" s="435"/>
      <c r="I34" s="439"/>
      <c r="J34" s="430"/>
      <c r="K34" s="431"/>
      <c r="L34" s="430"/>
      <c r="M34" s="431"/>
      <c r="N34" s="431"/>
      <c r="O34" s="433"/>
      <c r="P34" s="316">
        <v>4</v>
      </c>
      <c r="Q34" s="325"/>
      <c r="R34" s="312"/>
      <c r="S34" s="317"/>
      <c r="T34" s="208" t="str">
        <f t="shared" ref="T34:T36" si="56">IF(OR(U34="Preventivo",U34="Detectivo"),"Probabilidad",IF(U34="Correctivo","Impacto",""))</f>
        <v/>
      </c>
      <c r="U34" s="237"/>
      <c r="V34" s="237"/>
      <c r="W34" s="209" t="str">
        <f t="shared" ref="W34:W36" si="57">IF(AND(U34="Preventivo",V34="Automático"),"50%",IF(AND(U34="Preventivo",V34="Manual"),"40%",IF(AND(U34="Detectivo",V34="Automático"),"40%",IF(AND(U34="Detectivo",V34="Manual"),"30%",IF(AND(U34="Correctivo",V34="Automático"),"35%",IF(AND(U34="Correctivo",V34="Manual"),"25%",""))))))</f>
        <v/>
      </c>
      <c r="X34" s="237"/>
      <c r="Y34" s="237"/>
      <c r="Z34" s="237"/>
      <c r="AA34" s="210" t="str">
        <f t="shared" si="55"/>
        <v/>
      </c>
      <c r="AB34" s="211" t="str">
        <f t="shared" si="51"/>
        <v/>
      </c>
      <c r="AC34" s="209" t="str">
        <f t="shared" si="52"/>
        <v/>
      </c>
      <c r="AD34" s="211" t="str">
        <f t="shared" si="53"/>
        <v/>
      </c>
      <c r="AE34" s="209" t="str">
        <f>IFERROR(IF(AND(T33="Impacto",T34="Impacto"),(AE33-(+AE33*W34)),IF(T34="Impacto",(#REF!-(+#REF!*W34)),IF(T34="Probabilidad",AE33,""))),"")</f>
        <v/>
      </c>
      <c r="AF34" s="212" t="str">
        <f>IFERROR(IF(OR(AND(AB34="Muy Baja",AD34="Leve"),AND(AB34="Muy Baja",AD34="Menor"),AND(AB34="Baja",AD34="Leve")),"Bajo",IF(OR(AND(AB34="Muy baja",AD34="Moderado"),AND(AB34="Baja",AD34="Menor"),AND(AB34="Baja",AD34="Moderado"),AND(AB34="Media",AD34="Leve"),AND(AB34="Media",AD34="Menor"),AND(AB34="Media",AD34="Moderado"),AND(AB34="Alta",AD34="Leve"),AND(AB34="Alta",AD34="Menor")),"Moderado",IF(OR(AND(AB34="Muy Baja",AD34="Mayor"),AND(AB34="Baja",AD34="Mayor"),AND(AB34="Media",AD34="Mayor"),AND(AB34="Alta",AD34="Moderado"),AND(AB34="Alta",AD34="Mayor"),AND(AB34="Muy Alta",AD34="Leve"),AND(AB34="Muy Alta",AD34="Menor"),AND(AB34="Muy Alta",AD34="Moderado"),AND(AB34="Muy Alta",AD34="Mayor")),"Alto",IF(OR(AND(AB34="Muy Baja",AD34="Catastrófico"),AND(AB34="Baja",AD34="Catastrófico"),AND(AB34="Media",AD34="Catastrófico"),AND(AB34="Alta",AD34="Catastrófico"),AND(AB34="Muy Alta",AD34="Catastrófico")),"Extremo","")))),"")</f>
        <v/>
      </c>
      <c r="AG34" s="237"/>
      <c r="AH34" s="319"/>
      <c r="AI34" s="319"/>
      <c r="AJ34" s="319"/>
      <c r="AK34" s="319"/>
      <c r="AL34" s="319"/>
      <c r="AM34" s="213"/>
      <c r="AN34" s="213"/>
      <c r="AO34" s="308"/>
      <c r="AP34" s="220"/>
      <c r="AQ34" s="213"/>
      <c r="AR34" s="277"/>
      <c r="AS34" s="277"/>
      <c r="AT34" s="129"/>
      <c r="AU34" s="129"/>
      <c r="AV34" s="129"/>
      <c r="AW34" s="129"/>
      <c r="AX34" s="129"/>
      <c r="AY34" s="129"/>
      <c r="AZ34" s="129"/>
      <c r="BA34" s="129"/>
      <c r="BB34" s="129"/>
      <c r="BC34" s="129"/>
      <c r="BD34" s="129"/>
      <c r="BE34" s="129"/>
      <c r="BF34" s="129"/>
      <c r="BG34" s="129"/>
      <c r="BH34" s="129"/>
    </row>
    <row r="35" spans="1:60" s="113" customFormat="1" ht="8.25" hidden="1" customHeight="1" x14ac:dyDescent="0.2">
      <c r="A35" s="437"/>
      <c r="B35" s="438"/>
      <c r="C35" s="434"/>
      <c r="D35" s="434"/>
      <c r="E35" s="435"/>
      <c r="F35" s="436"/>
      <c r="G35" s="435"/>
      <c r="H35" s="435"/>
      <c r="I35" s="439"/>
      <c r="J35" s="430"/>
      <c r="K35" s="431"/>
      <c r="L35" s="430"/>
      <c r="M35" s="431"/>
      <c r="N35" s="431"/>
      <c r="O35" s="433"/>
      <c r="P35" s="316">
        <v>5</v>
      </c>
      <c r="Q35" s="325"/>
      <c r="R35" s="312"/>
      <c r="S35" s="317"/>
      <c r="T35" s="208" t="str">
        <f t="shared" si="56"/>
        <v/>
      </c>
      <c r="U35" s="237"/>
      <c r="V35" s="237"/>
      <c r="W35" s="209" t="str">
        <f t="shared" si="57"/>
        <v/>
      </c>
      <c r="X35" s="237"/>
      <c r="Y35" s="237"/>
      <c r="Z35" s="237"/>
      <c r="AA35" s="210" t="str">
        <f t="shared" si="55"/>
        <v/>
      </c>
      <c r="AB35" s="211" t="str">
        <f t="shared" si="51"/>
        <v/>
      </c>
      <c r="AC35" s="209" t="str">
        <f t="shared" si="52"/>
        <v/>
      </c>
      <c r="AD35" s="211" t="str">
        <f t="shared" si="53"/>
        <v/>
      </c>
      <c r="AE35" s="209" t="str">
        <f>IFERROR(IF(AND(T34="Impacto",T35="Impacto"),(AE34-(+AE34*W35)),IF(T35="Impacto",(#REF!-(+#REF!*W35)),IF(T35="Probabilidad",AE34,""))),"")</f>
        <v/>
      </c>
      <c r="AF35" s="212" t="str">
        <f t="shared" ref="AF35:AF36" si="58">IFERROR(IF(OR(AND(AB35="Muy Baja",AD35="Leve"),AND(AB35="Muy Baja",AD35="Menor"),AND(AB35="Baja",AD35="Leve")),"Bajo",IF(OR(AND(AB35="Muy baja",AD35="Moderado"),AND(AB35="Baja",AD35="Menor"),AND(AB35="Baja",AD35="Moderado"),AND(AB35="Media",AD35="Leve"),AND(AB35="Media",AD35="Menor"),AND(AB35="Media",AD35="Moderado"),AND(AB35="Alta",AD35="Leve"),AND(AB35="Alta",AD35="Menor")),"Moderado",IF(OR(AND(AB35="Muy Baja",AD35="Mayor"),AND(AB35="Baja",AD35="Mayor"),AND(AB35="Media",AD35="Mayor"),AND(AB35="Alta",AD35="Moderado"),AND(AB35="Alta",AD35="Mayor"),AND(AB35="Muy Alta",AD35="Leve"),AND(AB35="Muy Alta",AD35="Menor"),AND(AB35="Muy Alta",AD35="Moderado"),AND(AB35="Muy Alta",AD35="Mayor")),"Alto",IF(OR(AND(AB35="Muy Baja",AD35="Catastrófico"),AND(AB35="Baja",AD35="Catastrófico"),AND(AB35="Media",AD35="Catastrófico"),AND(AB35="Alta",AD35="Catastrófico"),AND(AB35="Muy Alta",AD35="Catastrófico")),"Extremo","")))),"")</f>
        <v/>
      </c>
      <c r="AG35" s="237"/>
      <c r="AH35" s="319"/>
      <c r="AI35" s="319"/>
      <c r="AJ35" s="319"/>
      <c r="AK35" s="319"/>
      <c r="AL35" s="319"/>
      <c r="AM35" s="305"/>
      <c r="AN35" s="305"/>
      <c r="AO35" s="306"/>
      <c r="AP35" s="216"/>
      <c r="AQ35" s="216"/>
      <c r="AR35" s="277"/>
      <c r="AS35" s="277"/>
      <c r="AT35" s="129"/>
      <c r="AU35" s="129"/>
      <c r="AV35" s="129"/>
      <c r="AW35" s="129"/>
      <c r="AX35" s="129"/>
      <c r="AY35" s="129"/>
      <c r="AZ35" s="129"/>
      <c r="BA35" s="129"/>
      <c r="BB35" s="129"/>
      <c r="BC35" s="129"/>
      <c r="BD35" s="129"/>
      <c r="BE35" s="129"/>
      <c r="BF35" s="129"/>
      <c r="BG35" s="129"/>
      <c r="BH35" s="129"/>
    </row>
    <row r="36" spans="1:60" s="113" customFormat="1" ht="8.25" hidden="1" customHeight="1" x14ac:dyDescent="0.2">
      <c r="A36" s="437"/>
      <c r="B36" s="438"/>
      <c r="C36" s="434"/>
      <c r="D36" s="434"/>
      <c r="E36" s="435"/>
      <c r="F36" s="436"/>
      <c r="G36" s="435"/>
      <c r="H36" s="435"/>
      <c r="I36" s="439"/>
      <c r="J36" s="430"/>
      <c r="K36" s="431"/>
      <c r="L36" s="430"/>
      <c r="M36" s="431"/>
      <c r="N36" s="431"/>
      <c r="O36" s="433"/>
      <c r="P36" s="316">
        <v>6</v>
      </c>
      <c r="Q36" s="325"/>
      <c r="R36" s="312"/>
      <c r="S36" s="317"/>
      <c r="T36" s="208" t="str">
        <f t="shared" si="56"/>
        <v/>
      </c>
      <c r="U36" s="237"/>
      <c r="V36" s="237"/>
      <c r="W36" s="209" t="str">
        <f t="shared" si="57"/>
        <v/>
      </c>
      <c r="X36" s="237"/>
      <c r="Y36" s="237"/>
      <c r="Z36" s="237"/>
      <c r="AA36" s="210" t="str">
        <f t="shared" si="55"/>
        <v/>
      </c>
      <c r="AB36" s="211" t="str">
        <f t="shared" si="51"/>
        <v/>
      </c>
      <c r="AC36" s="209" t="str">
        <f t="shared" si="52"/>
        <v/>
      </c>
      <c r="AD36" s="211" t="str">
        <f t="shared" si="53"/>
        <v/>
      </c>
      <c r="AE36" s="209" t="str">
        <f>IFERROR(IF(AND(T35="Impacto",T36="Impacto"),(AE35-(+AE35*W36)),IF(T36="Impacto",(#REF!-(+#REF!*W36)),IF(T36="Probabilidad",AE35,""))),"")</f>
        <v/>
      </c>
      <c r="AF36" s="212" t="str">
        <f t="shared" si="58"/>
        <v/>
      </c>
      <c r="AG36" s="237"/>
      <c r="AH36" s="319"/>
      <c r="AI36" s="319"/>
      <c r="AJ36" s="319"/>
      <c r="AK36" s="319"/>
      <c r="AL36" s="319"/>
      <c r="AM36" s="305"/>
      <c r="AN36" s="305"/>
      <c r="AO36" s="306"/>
      <c r="AP36" s="216"/>
      <c r="AQ36" s="216"/>
      <c r="AR36" s="277"/>
      <c r="AS36" s="277"/>
      <c r="AT36" s="129"/>
      <c r="AU36" s="129"/>
      <c r="AV36" s="129"/>
      <c r="AW36" s="129"/>
      <c r="AX36" s="129"/>
      <c r="AY36" s="129"/>
      <c r="AZ36" s="129"/>
      <c r="BA36" s="129"/>
      <c r="BB36" s="129"/>
      <c r="BC36" s="129"/>
      <c r="BD36" s="129"/>
      <c r="BE36" s="129"/>
      <c r="BF36" s="129"/>
      <c r="BG36" s="129"/>
      <c r="BH36" s="129"/>
    </row>
    <row r="37" spans="1:60" s="271" customFormat="1" ht="199.5" x14ac:dyDescent="0.2">
      <c r="A37" s="437" t="s">
        <v>876</v>
      </c>
      <c r="B37" s="438" t="s">
        <v>609</v>
      </c>
      <c r="C37" s="434" t="s">
        <v>621</v>
      </c>
      <c r="D37" s="434" t="s">
        <v>878</v>
      </c>
      <c r="E37" s="435" t="s">
        <v>685</v>
      </c>
      <c r="F37" s="436" t="s">
        <v>877</v>
      </c>
      <c r="G37" s="435" t="s">
        <v>233</v>
      </c>
      <c r="H37" s="435" t="s">
        <v>1078</v>
      </c>
      <c r="I37" s="439">
        <v>25</v>
      </c>
      <c r="J37" s="430" t="str">
        <f t="shared" ref="J37" si="59">IF(I37&lt;=0,"",IF(I37&lt;=2,"Muy Baja",IF(I37&lt;=24,"Baja",IF(I37&lt;=500,"Media",IF(I37&lt;=5000,"Alta","Muy Alta")))))</f>
        <v>Media</v>
      </c>
      <c r="K37" s="431">
        <f t="shared" ref="K37" si="60">IF(J37="","",IF(J37="Muy Baja",0.2,IF(J37="Baja",0.4,IF(J37="Media",0.6,IF(J37="Alta",0.8,IF(J37="Muy Alta",1,))))))</f>
        <v>0.6</v>
      </c>
      <c r="L37" s="430">
        <v>5</v>
      </c>
      <c r="M37" s="431" t="str">
        <f>IF(L37=1,"INSIGNIFICANTE",IF(L37=2,"Menor",IF(L37=3,"Moderado",IF(L37=4,"MAYOR",IF(L37=5,"Catastrófico",IF(L37=""," "))))))</f>
        <v>Catastrófico</v>
      </c>
      <c r="N37" s="431">
        <f t="shared" ref="N37" si="61">IF(M37="","",IF(M37="Leve",0.2,IF(M37="Menor",0.4,IF(M37="Moderado",0.6,IF(M37="Mayor",0.8,IF(M37="Catastrófico",1,))))))</f>
        <v>1</v>
      </c>
      <c r="O37" s="433" t="str">
        <f t="shared" ref="O37" si="62">IF(OR(AND(J37="Muy Baja",M37="Leve"),AND(J37="Muy Baja",J37="Menor"),AND(J37="Baja",M37="Leve")),"Bajo",IF(OR(AND(J37="Muy baja",M37="Moderado"),AND(J37="Baja",M37="Menor"),AND(J37="Baja",M37="Moderado"),AND(J37="Media",M37="Leve"),AND(J37="Media",M37="Menor"),AND(J37="Media",M37="Moderado"),AND(J37="Alta",M37="Leve"),AND(J37="Alta",M37="Menor")),"Moderado",IF(OR(AND(J37="Muy Baja",M37="Mayor"),AND(J37="Baja",M37="Mayor"),AND(J37="Media",M37="Mayor"),AND(J37="Alta",M37="Moderado"),AND(J37="Alta",M37="Mayor"),AND(J37="Muy Alta",M37="Leve"),AND(J37="Muy Alta",M37="Menor"),AND(J37="Muy Alta",M37="Moderado"),AND(J37="Muy Alta",M37="Mayor")),"Alto",IF(OR(AND(J37="Muy Baja",M37="Catastrófico"),AND(J37="Baja",M37="Catastrófico"),AND(J37="Media",M37="Catastrófico"),AND(J37="Alta",M37="Catastrófico"),AND(J37="Muy Alta",M37="Catastrófico")),"Extremo",""))))</f>
        <v>Extremo</v>
      </c>
      <c r="P37" s="261">
        <v>1</v>
      </c>
      <c r="Q37" s="328" t="s">
        <v>879</v>
      </c>
      <c r="R37" s="272" t="s">
        <v>293</v>
      </c>
      <c r="S37" s="317" t="s">
        <v>880</v>
      </c>
      <c r="T37" s="262" t="str">
        <f>IF(OR(U37="Preventivo",U37="Detectivo"),"Probabilidad",IF(U37="Correctivo","Impacto",""))</f>
        <v>Probabilidad</v>
      </c>
      <c r="U37" s="263" t="s">
        <v>13</v>
      </c>
      <c r="V37" s="263" t="s">
        <v>8</v>
      </c>
      <c r="W37" s="264" t="str">
        <f t="shared" ref="W37:W38" si="63">IF(AND(U37="Preventivo",V37="Automático"),"50%",IF(AND(U37="Preventivo",V37="Manual"),"40%",IF(AND(U37="Detectivo",V37="Automático"),"40%",IF(AND(U37="Detectivo",V37="Manual"),"30%",IF(AND(U37="Correctivo",V37="Automático"),"35%",IF(AND(U37="Correctivo",V37="Manual"),"25%",""))))))</f>
        <v>40%</v>
      </c>
      <c r="X37" s="263" t="s">
        <v>18</v>
      </c>
      <c r="Y37" s="263" t="s">
        <v>21</v>
      </c>
      <c r="Z37" s="263" t="s">
        <v>103</v>
      </c>
      <c r="AA37" s="265">
        <f>IFERROR(IF(T37="Probabilidad",(K37-(+K37*W37)),IF(T37="Impacto",K37,"")),"")</f>
        <v>0.36</v>
      </c>
      <c r="AB37" s="266" t="str">
        <f>IFERROR(IF(AA37="","",IF(AA37&lt;=0.2,"Muy Baja",IF(AA37&lt;=0.4,"Baja",IF(AA37&lt;=0.6,"Media",IF(AA37&lt;=0.8,"Alta","Muy Alta"))))),"")</f>
        <v>Baja</v>
      </c>
      <c r="AC37" s="264">
        <f>+AA37</f>
        <v>0.36</v>
      </c>
      <c r="AD37" s="266" t="str">
        <f>IFERROR(IF(AE37="","",IF(AE37&lt;=0.2,"Leve",IF(AE37&lt;=0.4,"Menor",IF(AE37&lt;=0.6,"Moderado",IF(AE37&lt;=0.8,"Mayor","Catastrófico"))))),"")</f>
        <v>Catastrófico</v>
      </c>
      <c r="AE37" s="264">
        <f>IFERROR(IF(T37="Impacto",(N37-(+N37*W37)),IF(T37="Probabilidad",N37,"")),"")</f>
        <v>1</v>
      </c>
      <c r="AF37" s="267" t="str">
        <f>IFERROR(IF(OR(AND(AB37="Muy Baja",AD37="Leve"),AND(AB37="Muy Baja",AD37="Menor"),AND(AB37="Baja",AD37="Leve")),"Bajo",IF(OR(AND(AB37="Muy baja",AD37="Moderado"),AND(AB37="Baja",AD37="Menor"),AND(AB37="Baja",AD37="Moderado"),AND(AB37="Media",AD37="Leve"),AND(AB37="Media",AD37="Menor"),AND(AB37="Media",AD37="Moderado"),AND(AB37="Alta",AD37="Leve"),AND(AB37="Alta",AD37="Menor")),"Moderado",IF(OR(AND(AB37="Muy Baja",AD37="Mayor"),AND(AB37="Baja",AD37="Mayor"),AND(AB37="Media",AD37="Mayor"),AND(AB37="Alta",AD37="Moderado"),AND(AB37="Alta",AD37="Mayor"),AND(AB37="Muy Alta",AD37="Leve"),AND(AB37="Muy Alta",AD37="Menor"),AND(AB37="Muy Alta",AD37="Moderado"),AND(AB37="Muy Alta",AD37="Mayor")),"Alto",IF(OR(AND(AB37="Muy Baja",AD37="Catastrófico"),AND(AB37="Baja",AD37="Catastrófico"),AND(AB37="Media",AD37="Catastrófico"),AND(AB37="Alta",AD37="Catastrófico"),AND(AB37="Muy Alta",AD37="Catastrófico")),"Extremo","")))),"")</f>
        <v>Extremo</v>
      </c>
      <c r="AG37" s="263" t="s">
        <v>26</v>
      </c>
      <c r="AH37" s="319">
        <v>0</v>
      </c>
      <c r="AI37" s="319">
        <v>0</v>
      </c>
      <c r="AJ37" s="319">
        <v>0</v>
      </c>
      <c r="AK37" s="319">
        <v>0</v>
      </c>
      <c r="AL37" s="319">
        <v>0</v>
      </c>
      <c r="AM37" s="268"/>
      <c r="AN37" s="268"/>
      <c r="AO37" s="258"/>
      <c r="AP37" s="269"/>
      <c r="AQ37" s="270"/>
      <c r="AR37" s="276"/>
      <c r="AS37" s="276"/>
    </row>
    <row r="38" spans="1:60" s="113" customFormat="1" ht="156.75" x14ac:dyDescent="0.2">
      <c r="A38" s="437"/>
      <c r="B38" s="438"/>
      <c r="C38" s="434"/>
      <c r="D38" s="434"/>
      <c r="E38" s="435"/>
      <c r="F38" s="436"/>
      <c r="G38" s="435"/>
      <c r="H38" s="435"/>
      <c r="I38" s="439"/>
      <c r="J38" s="430"/>
      <c r="K38" s="431"/>
      <c r="L38" s="430"/>
      <c r="M38" s="431"/>
      <c r="N38" s="431"/>
      <c r="O38" s="433"/>
      <c r="P38" s="316">
        <v>2</v>
      </c>
      <c r="Q38" s="325" t="s">
        <v>881</v>
      </c>
      <c r="R38" s="312" t="s">
        <v>293</v>
      </c>
      <c r="S38" s="317" t="s">
        <v>882</v>
      </c>
      <c r="T38" s="208" t="str">
        <f>IF(OR(U38="Preventivo",U38="Detectivo"),"Probabilidad",IF(U38="Correctivo","Impacto",""))</f>
        <v>Probabilidad</v>
      </c>
      <c r="U38" s="237" t="s">
        <v>13</v>
      </c>
      <c r="V38" s="237" t="s">
        <v>8</v>
      </c>
      <c r="W38" s="209" t="str">
        <f t="shared" si="63"/>
        <v>40%</v>
      </c>
      <c r="X38" s="237" t="s">
        <v>18</v>
      </c>
      <c r="Y38" s="237" t="s">
        <v>21</v>
      </c>
      <c r="Z38" s="237" t="s">
        <v>103</v>
      </c>
      <c r="AA38" s="210">
        <f>IFERROR(IF(AND(T37="Probabilidad",T38="Probabilidad"),(AC37-(+AC37*W38)),IF(T38="Probabilidad",(K37-(+K37*W38)),IF(T38="Impacto",AC37,""))),"")</f>
        <v>0.216</v>
      </c>
      <c r="AB38" s="211" t="str">
        <f t="shared" ref="AB38:AB42" si="64">IFERROR(IF(AA38="","",IF(AA38&lt;=0.2,"Muy Baja",IF(AA38&lt;=0.4,"Baja",IF(AA38&lt;=0.6,"Media",IF(AA38&lt;=0.8,"Alta","Muy Alta"))))),"")</f>
        <v>Baja</v>
      </c>
      <c r="AC38" s="209">
        <f t="shared" ref="AC38:AC42" si="65">+AA38</f>
        <v>0.216</v>
      </c>
      <c r="AD38" s="211" t="str">
        <f t="shared" ref="AD38:AD42" si="66">IFERROR(IF(AE38="","",IF(AE38&lt;=0.2,"Leve",IF(AE38&lt;=0.4,"Menor",IF(AE38&lt;=0.6,"Moderado",IF(AE38&lt;=0.8,"Mayor","Catastrófico"))))),"")</f>
        <v>Catastrófico</v>
      </c>
      <c r="AE38" s="209">
        <f>IFERROR(IF(AND(T37="Impacto",T38="Impacto"),(AE37-(+AE37*W38)),IF(T38="Impacto",(#REF!-(+#REF!*W38)),IF(T38="Probabilidad",AE37,""))),"")</f>
        <v>1</v>
      </c>
      <c r="AF38" s="212" t="str">
        <f t="shared" ref="AF38:AF39" si="67">IFERROR(IF(OR(AND(AB38="Muy Baja",AD38="Leve"),AND(AB38="Muy Baja",AD38="Menor"),AND(AB38="Baja",AD38="Leve")),"Bajo",IF(OR(AND(AB38="Muy baja",AD38="Moderado"),AND(AB38="Baja",AD38="Menor"),AND(AB38="Baja",AD38="Moderado"),AND(AB38="Media",AD38="Leve"),AND(AB38="Media",AD38="Menor"),AND(AB38="Media",AD38="Moderado"),AND(AB38="Alta",AD38="Leve"),AND(AB38="Alta",AD38="Menor")),"Moderado",IF(OR(AND(AB38="Muy Baja",AD38="Mayor"),AND(AB38="Baja",AD38="Mayor"),AND(AB38="Media",AD38="Mayor"),AND(AB38="Alta",AD38="Moderado"),AND(AB38="Alta",AD38="Mayor"),AND(AB38="Muy Alta",AD38="Leve"),AND(AB38="Muy Alta",AD38="Menor"),AND(AB38="Muy Alta",AD38="Moderado"),AND(AB38="Muy Alta",AD38="Mayor")),"Alto",IF(OR(AND(AB38="Muy Baja",AD38="Catastrófico"),AND(AB38="Baja",AD38="Catastrófico"),AND(AB38="Media",AD38="Catastrófico"),AND(AB38="Alta",AD38="Catastrófico"),AND(AB38="Muy Alta",AD38="Catastrófico")),"Extremo","")))),"")</f>
        <v>Extremo</v>
      </c>
      <c r="AG38" s="237" t="s">
        <v>26</v>
      </c>
      <c r="AH38" s="319">
        <v>0</v>
      </c>
      <c r="AI38" s="319">
        <v>0</v>
      </c>
      <c r="AJ38" s="319">
        <v>0</v>
      </c>
      <c r="AK38" s="319">
        <v>0</v>
      </c>
      <c r="AL38" s="319">
        <v>0</v>
      </c>
      <c r="AM38" s="307"/>
      <c r="AN38" s="307"/>
      <c r="AO38" s="259"/>
      <c r="AP38" s="220"/>
      <c r="AQ38" s="307"/>
      <c r="AR38" s="277"/>
      <c r="AS38" s="277"/>
      <c r="AT38" s="129"/>
      <c r="AU38" s="129"/>
      <c r="AV38" s="129"/>
      <c r="AW38" s="129"/>
      <c r="AX38" s="129"/>
      <c r="AY38" s="129"/>
      <c r="AZ38" s="129"/>
      <c r="BA38" s="129"/>
      <c r="BB38" s="129"/>
      <c r="BC38" s="129"/>
      <c r="BD38" s="129"/>
      <c r="BE38" s="129"/>
      <c r="BF38" s="129"/>
      <c r="BG38" s="129"/>
      <c r="BH38" s="129"/>
    </row>
    <row r="39" spans="1:60" s="113" customFormat="1" ht="10.5" hidden="1" customHeight="1" x14ac:dyDescent="0.2">
      <c r="A39" s="437"/>
      <c r="B39" s="438"/>
      <c r="C39" s="434"/>
      <c r="D39" s="434"/>
      <c r="E39" s="435"/>
      <c r="F39" s="436"/>
      <c r="G39" s="435"/>
      <c r="H39" s="435"/>
      <c r="I39" s="439"/>
      <c r="J39" s="430"/>
      <c r="K39" s="431"/>
      <c r="L39" s="430"/>
      <c r="M39" s="431"/>
      <c r="N39" s="431"/>
      <c r="O39" s="433"/>
      <c r="P39" s="316">
        <v>3</v>
      </c>
      <c r="Q39" s="330"/>
      <c r="R39" s="312"/>
      <c r="S39" s="317"/>
      <c r="T39" s="208" t="str">
        <f>IF(OR(U39="Preventivo",U39="Detectivo"),"Probabilidad",IF(U39="Correctivo","Impacto",""))</f>
        <v/>
      </c>
      <c r="U39" s="237"/>
      <c r="V39" s="237"/>
      <c r="W39" s="209" t="str">
        <f>IF(AND(U39="Preventivo",V39="Automático"),"50%",IF(AND(U39="Preventivo",V39="Manual"),"40%",IF(AND(U39="Detectivo",V39="Automático"),"40%",IF(AND(U39="Detectivo",V39="Manual"),"30%",IF(AND(U39="Correctivo",V39="Automático"),"35%",IF(AND(U39="Correctivo",V39="Manual"),"25%",""))))))</f>
        <v/>
      </c>
      <c r="X39" s="237"/>
      <c r="Y39" s="237"/>
      <c r="Z39" s="237"/>
      <c r="AA39" s="210" t="str">
        <f t="shared" ref="AA39:AA42" si="68">IFERROR(IF(AND(T38="Probabilidad",T39="Probabilidad"),(AC38-(+AC38*W39)),IF(AND(T38="Impacto",T39="Probabilidad"),(AC37-(+AC37*W39)),IF(T39="Impacto",AC38,""))),"")</f>
        <v/>
      </c>
      <c r="AB39" s="211" t="str">
        <f t="shared" si="64"/>
        <v/>
      </c>
      <c r="AC39" s="209" t="str">
        <f t="shared" si="65"/>
        <v/>
      </c>
      <c r="AD39" s="211" t="str">
        <f t="shared" si="66"/>
        <v/>
      </c>
      <c r="AE39" s="209" t="str">
        <f>IFERROR(IF(AND(T38="Impacto",T39="Impacto"),(AE38-(+AE38*W39)),IF(T39="Impacto",(#REF!-(+#REF!*W39)),IF(T39="Probabilidad",AE38,""))),"")</f>
        <v/>
      </c>
      <c r="AF39" s="212" t="str">
        <f t="shared" si="67"/>
        <v/>
      </c>
      <c r="AG39" s="237"/>
      <c r="AH39" s="319"/>
      <c r="AI39" s="319"/>
      <c r="AJ39" s="319"/>
      <c r="AK39" s="319"/>
      <c r="AL39" s="319"/>
      <c r="AM39" s="307"/>
      <c r="AN39" s="307"/>
      <c r="AO39" s="259"/>
      <c r="AP39" s="220"/>
      <c r="AQ39" s="307"/>
      <c r="AR39" s="277"/>
      <c r="AS39" s="277"/>
      <c r="AT39" s="129"/>
      <c r="AU39" s="129"/>
      <c r="AV39" s="129"/>
      <c r="AW39" s="129"/>
      <c r="AX39" s="129"/>
      <c r="AY39" s="129"/>
      <c r="AZ39" s="129"/>
      <c r="BA39" s="129"/>
      <c r="BB39" s="129"/>
      <c r="BC39" s="129"/>
      <c r="BD39" s="129"/>
      <c r="BE39" s="129"/>
      <c r="BF39" s="129"/>
      <c r="BG39" s="129"/>
      <c r="BH39" s="129"/>
    </row>
    <row r="40" spans="1:60" s="113" customFormat="1" ht="10.5" hidden="1" customHeight="1" x14ac:dyDescent="0.2">
      <c r="A40" s="437"/>
      <c r="B40" s="438"/>
      <c r="C40" s="434"/>
      <c r="D40" s="434"/>
      <c r="E40" s="435"/>
      <c r="F40" s="436"/>
      <c r="G40" s="435"/>
      <c r="H40" s="435"/>
      <c r="I40" s="439"/>
      <c r="J40" s="430"/>
      <c r="K40" s="431"/>
      <c r="L40" s="430"/>
      <c r="M40" s="431"/>
      <c r="N40" s="431"/>
      <c r="O40" s="433"/>
      <c r="P40" s="316">
        <v>4</v>
      </c>
      <c r="Q40" s="325"/>
      <c r="R40" s="312"/>
      <c r="S40" s="317"/>
      <c r="T40" s="208" t="str">
        <f t="shared" ref="T40:T42" si="69">IF(OR(U40="Preventivo",U40="Detectivo"),"Probabilidad",IF(U40="Correctivo","Impacto",""))</f>
        <v/>
      </c>
      <c r="U40" s="237"/>
      <c r="V40" s="237"/>
      <c r="W40" s="209" t="str">
        <f t="shared" ref="W40:W42" si="70">IF(AND(U40="Preventivo",V40="Automático"),"50%",IF(AND(U40="Preventivo",V40="Manual"),"40%",IF(AND(U40="Detectivo",V40="Automático"),"40%",IF(AND(U40="Detectivo",V40="Manual"),"30%",IF(AND(U40="Correctivo",V40="Automático"),"35%",IF(AND(U40="Correctivo",V40="Manual"),"25%",""))))))</f>
        <v/>
      </c>
      <c r="X40" s="237"/>
      <c r="Y40" s="237"/>
      <c r="Z40" s="237"/>
      <c r="AA40" s="210" t="str">
        <f t="shared" si="68"/>
        <v/>
      </c>
      <c r="AB40" s="211" t="str">
        <f t="shared" si="64"/>
        <v/>
      </c>
      <c r="AC40" s="209" t="str">
        <f t="shared" si="65"/>
        <v/>
      </c>
      <c r="AD40" s="211" t="str">
        <f t="shared" si="66"/>
        <v/>
      </c>
      <c r="AE40" s="209" t="str">
        <f>IFERROR(IF(AND(T39="Impacto",T40="Impacto"),(AE39-(+AE39*W40)),IF(T40="Impacto",(#REF!-(+#REF!*W40)),IF(T40="Probabilidad",AE39,""))),"")</f>
        <v/>
      </c>
      <c r="AF40" s="212" t="str">
        <f>IFERROR(IF(OR(AND(AB40="Muy Baja",AD40="Leve"),AND(AB40="Muy Baja",AD40="Menor"),AND(AB40="Baja",AD40="Leve")),"Bajo",IF(OR(AND(AB40="Muy baja",AD40="Moderado"),AND(AB40="Baja",AD40="Menor"),AND(AB40="Baja",AD40="Moderado"),AND(AB40="Media",AD40="Leve"),AND(AB40="Media",AD40="Menor"),AND(AB40="Media",AD40="Moderado"),AND(AB40="Alta",AD40="Leve"),AND(AB40="Alta",AD40="Menor")),"Moderado",IF(OR(AND(AB40="Muy Baja",AD40="Mayor"),AND(AB40="Baja",AD40="Mayor"),AND(AB40="Media",AD40="Mayor"),AND(AB40="Alta",AD40="Moderado"),AND(AB40="Alta",AD40="Mayor"),AND(AB40="Muy Alta",AD40="Leve"),AND(AB40="Muy Alta",AD40="Menor"),AND(AB40="Muy Alta",AD40="Moderado"),AND(AB40="Muy Alta",AD40="Mayor")),"Alto",IF(OR(AND(AB40="Muy Baja",AD40="Catastrófico"),AND(AB40="Baja",AD40="Catastrófico"),AND(AB40="Media",AD40="Catastrófico"),AND(AB40="Alta",AD40="Catastrófico"),AND(AB40="Muy Alta",AD40="Catastrófico")),"Extremo","")))),"")</f>
        <v/>
      </c>
      <c r="AG40" s="237"/>
      <c r="AH40" s="319"/>
      <c r="AI40" s="319"/>
      <c r="AJ40" s="319"/>
      <c r="AK40" s="319"/>
      <c r="AL40" s="319"/>
      <c r="AM40" s="213"/>
      <c r="AN40" s="213"/>
      <c r="AO40" s="308"/>
      <c r="AP40" s="220"/>
      <c r="AQ40" s="213"/>
      <c r="AR40" s="277"/>
      <c r="AS40" s="277"/>
      <c r="AT40" s="129"/>
      <c r="AU40" s="129"/>
      <c r="AV40" s="129"/>
      <c r="AW40" s="129"/>
      <c r="AX40" s="129"/>
      <c r="AY40" s="129"/>
      <c r="AZ40" s="129"/>
      <c r="BA40" s="129"/>
      <c r="BB40" s="129"/>
      <c r="BC40" s="129"/>
      <c r="BD40" s="129"/>
      <c r="BE40" s="129"/>
      <c r="BF40" s="129"/>
      <c r="BG40" s="129"/>
      <c r="BH40" s="129"/>
    </row>
    <row r="41" spans="1:60" s="113" customFormat="1" ht="10.5" hidden="1" customHeight="1" x14ac:dyDescent="0.2">
      <c r="A41" s="437"/>
      <c r="B41" s="438"/>
      <c r="C41" s="434"/>
      <c r="D41" s="434"/>
      <c r="E41" s="435"/>
      <c r="F41" s="436"/>
      <c r="G41" s="435"/>
      <c r="H41" s="435"/>
      <c r="I41" s="439"/>
      <c r="J41" s="430"/>
      <c r="K41" s="431"/>
      <c r="L41" s="430"/>
      <c r="M41" s="431"/>
      <c r="N41" s="431"/>
      <c r="O41" s="433"/>
      <c r="P41" s="316">
        <v>5</v>
      </c>
      <c r="Q41" s="325"/>
      <c r="R41" s="312"/>
      <c r="S41" s="317"/>
      <c r="T41" s="208" t="str">
        <f t="shared" si="69"/>
        <v/>
      </c>
      <c r="U41" s="237"/>
      <c r="V41" s="237"/>
      <c r="W41" s="209" t="str">
        <f t="shared" si="70"/>
        <v/>
      </c>
      <c r="X41" s="237"/>
      <c r="Y41" s="237"/>
      <c r="Z41" s="237"/>
      <c r="AA41" s="210" t="str">
        <f t="shared" si="68"/>
        <v/>
      </c>
      <c r="AB41" s="211" t="str">
        <f t="shared" si="64"/>
        <v/>
      </c>
      <c r="AC41" s="209" t="str">
        <f t="shared" si="65"/>
        <v/>
      </c>
      <c r="AD41" s="211" t="str">
        <f t="shared" si="66"/>
        <v/>
      </c>
      <c r="AE41" s="209" t="str">
        <f>IFERROR(IF(AND(T40="Impacto",T41="Impacto"),(AE40-(+AE40*W41)),IF(T41="Impacto",(#REF!-(+#REF!*W41)),IF(T41="Probabilidad",AE40,""))),"")</f>
        <v/>
      </c>
      <c r="AF41" s="212" t="str">
        <f t="shared" ref="AF41:AF42" si="71">IFERROR(IF(OR(AND(AB41="Muy Baja",AD41="Leve"),AND(AB41="Muy Baja",AD41="Menor"),AND(AB41="Baja",AD41="Leve")),"Bajo",IF(OR(AND(AB41="Muy baja",AD41="Moderado"),AND(AB41="Baja",AD41="Menor"),AND(AB41="Baja",AD41="Moderado"),AND(AB41="Media",AD41="Leve"),AND(AB41="Media",AD41="Menor"),AND(AB41="Media",AD41="Moderado"),AND(AB41="Alta",AD41="Leve"),AND(AB41="Alta",AD41="Menor")),"Moderado",IF(OR(AND(AB41="Muy Baja",AD41="Mayor"),AND(AB41="Baja",AD41="Mayor"),AND(AB41="Media",AD41="Mayor"),AND(AB41="Alta",AD41="Moderado"),AND(AB41="Alta",AD41="Mayor"),AND(AB41="Muy Alta",AD41="Leve"),AND(AB41="Muy Alta",AD41="Menor"),AND(AB41="Muy Alta",AD41="Moderado"),AND(AB41="Muy Alta",AD41="Mayor")),"Alto",IF(OR(AND(AB41="Muy Baja",AD41="Catastrófico"),AND(AB41="Baja",AD41="Catastrófico"),AND(AB41="Media",AD41="Catastrófico"),AND(AB41="Alta",AD41="Catastrófico"),AND(AB41="Muy Alta",AD41="Catastrófico")),"Extremo","")))),"")</f>
        <v/>
      </c>
      <c r="AG41" s="237"/>
      <c r="AH41" s="319"/>
      <c r="AI41" s="319"/>
      <c r="AJ41" s="319"/>
      <c r="AK41" s="319"/>
      <c r="AL41" s="319"/>
      <c r="AM41" s="305"/>
      <c r="AN41" s="305"/>
      <c r="AO41" s="306"/>
      <c r="AP41" s="216"/>
      <c r="AQ41" s="216"/>
      <c r="AR41" s="277"/>
      <c r="AS41" s="277"/>
      <c r="AT41" s="129"/>
      <c r="AU41" s="129"/>
      <c r="AV41" s="129"/>
      <c r="AW41" s="129"/>
      <c r="AX41" s="129"/>
      <c r="AY41" s="129"/>
      <c r="AZ41" s="129"/>
      <c r="BA41" s="129"/>
      <c r="BB41" s="129"/>
      <c r="BC41" s="129"/>
      <c r="BD41" s="129"/>
      <c r="BE41" s="129"/>
      <c r="BF41" s="129"/>
      <c r="BG41" s="129"/>
      <c r="BH41" s="129"/>
    </row>
    <row r="42" spans="1:60" s="113" customFormat="1" ht="10.5" hidden="1" customHeight="1" x14ac:dyDescent="0.2">
      <c r="A42" s="437"/>
      <c r="B42" s="438"/>
      <c r="C42" s="434"/>
      <c r="D42" s="434"/>
      <c r="E42" s="435"/>
      <c r="F42" s="436"/>
      <c r="G42" s="435"/>
      <c r="H42" s="435"/>
      <c r="I42" s="439"/>
      <c r="J42" s="430"/>
      <c r="K42" s="431"/>
      <c r="L42" s="430"/>
      <c r="M42" s="431"/>
      <c r="N42" s="431"/>
      <c r="O42" s="433"/>
      <c r="P42" s="316">
        <v>6</v>
      </c>
      <c r="Q42" s="325"/>
      <c r="R42" s="312"/>
      <c r="S42" s="317"/>
      <c r="T42" s="208" t="str">
        <f t="shared" si="69"/>
        <v/>
      </c>
      <c r="U42" s="237"/>
      <c r="V42" s="237"/>
      <c r="W42" s="209" t="str">
        <f t="shared" si="70"/>
        <v/>
      </c>
      <c r="X42" s="237"/>
      <c r="Y42" s="237"/>
      <c r="Z42" s="237"/>
      <c r="AA42" s="210" t="str">
        <f t="shared" si="68"/>
        <v/>
      </c>
      <c r="AB42" s="211" t="str">
        <f t="shared" si="64"/>
        <v/>
      </c>
      <c r="AC42" s="209" t="str">
        <f t="shared" si="65"/>
        <v/>
      </c>
      <c r="AD42" s="211" t="str">
        <f t="shared" si="66"/>
        <v/>
      </c>
      <c r="AE42" s="209" t="str">
        <f>IFERROR(IF(AND(T41="Impacto",T42="Impacto"),(AE41-(+AE41*W42)),IF(T42="Impacto",(#REF!-(+#REF!*W42)),IF(T42="Probabilidad",AE41,""))),"")</f>
        <v/>
      </c>
      <c r="AF42" s="212" t="str">
        <f t="shared" si="71"/>
        <v/>
      </c>
      <c r="AG42" s="237"/>
      <c r="AH42" s="319"/>
      <c r="AI42" s="319"/>
      <c r="AJ42" s="319"/>
      <c r="AK42" s="319"/>
      <c r="AL42" s="319"/>
      <c r="AM42" s="305"/>
      <c r="AN42" s="305"/>
      <c r="AO42" s="306"/>
      <c r="AP42" s="216"/>
      <c r="AQ42" s="216"/>
      <c r="AR42" s="277"/>
      <c r="AS42" s="277"/>
      <c r="AT42" s="129"/>
      <c r="AU42" s="129"/>
      <c r="AV42" s="129"/>
      <c r="AW42" s="129"/>
      <c r="AX42" s="129"/>
      <c r="AY42" s="129"/>
      <c r="AZ42" s="129"/>
      <c r="BA42" s="129"/>
      <c r="BB42" s="129"/>
      <c r="BC42" s="129"/>
      <c r="BD42" s="129"/>
      <c r="BE42" s="129"/>
      <c r="BF42" s="129"/>
      <c r="BG42" s="129"/>
      <c r="BH42" s="129"/>
    </row>
    <row r="43" spans="1:60" s="271" customFormat="1" ht="128.25" x14ac:dyDescent="0.2">
      <c r="A43" s="437" t="s">
        <v>929</v>
      </c>
      <c r="B43" s="438" t="s">
        <v>607</v>
      </c>
      <c r="C43" s="434" t="s">
        <v>621</v>
      </c>
      <c r="D43" s="434" t="s">
        <v>931</v>
      </c>
      <c r="E43" s="435" t="s">
        <v>685</v>
      </c>
      <c r="F43" s="436" t="s">
        <v>930</v>
      </c>
      <c r="G43" s="435" t="s">
        <v>233</v>
      </c>
      <c r="H43" s="435" t="s">
        <v>1078</v>
      </c>
      <c r="I43" s="439">
        <v>12</v>
      </c>
      <c r="J43" s="430" t="str">
        <f t="shared" ref="J43" si="72">IF(I43&lt;=0,"",IF(I43&lt;=2,"Muy Baja",IF(I43&lt;=24,"Baja",IF(I43&lt;=500,"Media",IF(I43&lt;=5000,"Alta","Muy Alta")))))</f>
        <v>Baja</v>
      </c>
      <c r="K43" s="431">
        <f t="shared" ref="K43" si="73">IF(J43="","",IF(J43="Muy Baja",0.2,IF(J43="Baja",0.4,IF(J43="Media",0.6,IF(J43="Alta",0.8,IF(J43="Muy Alta",1,))))))</f>
        <v>0.4</v>
      </c>
      <c r="L43" s="430">
        <v>5</v>
      </c>
      <c r="M43" s="431" t="str">
        <f>IF(L43=1,"INSIGNIFICANTE",IF(L43=2,"Menor",IF(L43=3,"Moderado",IF(L43=4,"MAYOR",IF(L43=5,"Catastrófico",IF(L43=""," "))))))</f>
        <v>Catastrófico</v>
      </c>
      <c r="N43" s="431">
        <f t="shared" ref="N43" si="74">IF(M43="","",IF(M43="Leve",0.2,IF(M43="Menor",0.4,IF(M43="Moderado",0.6,IF(M43="Mayor",0.8,IF(M43="Catastrófico",1,))))))</f>
        <v>1</v>
      </c>
      <c r="O43" s="433" t="str">
        <f t="shared" ref="O43" si="75">IF(OR(AND(J43="Muy Baja",M43="Leve"),AND(J43="Muy Baja",J43="Menor"),AND(J43="Baja",M43="Leve")),"Bajo",IF(OR(AND(J43="Muy baja",M43="Moderado"),AND(J43="Baja",M43="Menor"),AND(J43="Baja",M43="Moderado"),AND(J43="Media",M43="Leve"),AND(J43="Media",M43="Menor"),AND(J43="Media",M43="Moderado"),AND(J43="Alta",M43="Leve"),AND(J43="Alta",M43="Menor")),"Moderado",IF(OR(AND(J43="Muy Baja",M43="Mayor"),AND(J43="Baja",M43="Mayor"),AND(J43="Media",M43="Mayor"),AND(J43="Alta",M43="Moderado"),AND(J43="Alta",M43="Mayor"),AND(J43="Muy Alta",M43="Leve"),AND(J43="Muy Alta",M43="Menor"),AND(J43="Muy Alta",M43="Moderado"),AND(J43="Muy Alta",M43="Mayor")),"Alto",IF(OR(AND(J43="Muy Baja",M43="Catastrófico"),AND(J43="Baja",M43="Catastrófico"),AND(J43="Media",M43="Catastrófico"),AND(J43="Alta",M43="Catastrófico"),AND(J43="Muy Alta",M43="Catastrófico")),"Extremo",""))))</f>
        <v>Extremo</v>
      </c>
      <c r="P43" s="261">
        <v>1</v>
      </c>
      <c r="Q43" s="328" t="s">
        <v>932</v>
      </c>
      <c r="R43" s="272" t="s">
        <v>293</v>
      </c>
      <c r="S43" s="317" t="s">
        <v>933</v>
      </c>
      <c r="T43" s="262" t="str">
        <f>IF(OR(U43="Preventivo",U43="Detectivo"),"Probabilidad",IF(U43="Correctivo","Impacto",""))</f>
        <v>Probabilidad</v>
      </c>
      <c r="U43" s="263" t="s">
        <v>13</v>
      </c>
      <c r="V43" s="263" t="s">
        <v>8</v>
      </c>
      <c r="W43" s="264" t="str">
        <f t="shared" si="45"/>
        <v>40%</v>
      </c>
      <c r="X43" s="263" t="s">
        <v>18</v>
      </c>
      <c r="Y43" s="263" t="s">
        <v>21</v>
      </c>
      <c r="Z43" s="263" t="s">
        <v>103</v>
      </c>
      <c r="AA43" s="265">
        <f>IFERROR(IF(T43="Probabilidad",(K43-(+K43*W43)),IF(T43="Impacto",K43,"")),"")</f>
        <v>0.24</v>
      </c>
      <c r="AB43" s="266" t="str">
        <f>IFERROR(IF(AA43="","",IF(AA43&lt;=0.2,"Muy Baja",IF(AA43&lt;=0.4,"Baja",IF(AA43&lt;=0.6,"Media",IF(AA43&lt;=0.8,"Alta","Muy Alta"))))),"")</f>
        <v>Baja</v>
      </c>
      <c r="AC43" s="264">
        <f>+AA43</f>
        <v>0.24</v>
      </c>
      <c r="AD43" s="266" t="str">
        <f>IFERROR(IF(AE43="","",IF(AE43&lt;=0.2,"Leve",IF(AE43&lt;=0.4,"Menor",IF(AE43&lt;=0.6,"Moderado",IF(AE43&lt;=0.8,"Mayor","Catastrófico"))))),"")</f>
        <v>Catastrófico</v>
      </c>
      <c r="AE43" s="264">
        <f>IFERROR(IF(T43="Impacto",(N43-(+N43*W43)),IF(T43="Probabilidad",N43,"")),"")</f>
        <v>1</v>
      </c>
      <c r="AF43" s="267" t="str">
        <f>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Extremo</v>
      </c>
      <c r="AG43" s="263" t="s">
        <v>26</v>
      </c>
      <c r="AH43" s="319">
        <v>0</v>
      </c>
      <c r="AI43" s="319">
        <v>0</v>
      </c>
      <c r="AJ43" s="319">
        <v>0</v>
      </c>
      <c r="AK43" s="319">
        <v>0</v>
      </c>
      <c r="AL43" s="319">
        <v>0</v>
      </c>
      <c r="AM43" s="268"/>
      <c r="AN43" s="268"/>
      <c r="AO43" s="258"/>
      <c r="AP43" s="269"/>
      <c r="AQ43" s="270"/>
      <c r="AR43" s="276"/>
      <c r="AS43" s="276"/>
    </row>
    <row r="44" spans="1:60" s="113" customFormat="1" ht="114" x14ac:dyDescent="0.2">
      <c r="A44" s="437"/>
      <c r="B44" s="438"/>
      <c r="C44" s="434"/>
      <c r="D44" s="434"/>
      <c r="E44" s="435"/>
      <c r="F44" s="436"/>
      <c r="G44" s="435"/>
      <c r="H44" s="435"/>
      <c r="I44" s="439"/>
      <c r="J44" s="430"/>
      <c r="K44" s="431"/>
      <c r="L44" s="430"/>
      <c r="M44" s="431"/>
      <c r="N44" s="431"/>
      <c r="O44" s="433"/>
      <c r="P44" s="316">
        <v>2</v>
      </c>
      <c r="Q44" s="325" t="s">
        <v>934</v>
      </c>
      <c r="R44" s="312" t="s">
        <v>293</v>
      </c>
      <c r="S44" s="317" t="s">
        <v>935</v>
      </c>
      <c r="T44" s="208" t="str">
        <f>IF(OR(U44="Preventivo",U44="Detectivo"),"Probabilidad",IF(U44="Correctivo","Impacto",""))</f>
        <v>Probabilidad</v>
      </c>
      <c r="U44" s="237" t="s">
        <v>13</v>
      </c>
      <c r="V44" s="237" t="s">
        <v>8</v>
      </c>
      <c r="W44" s="209" t="str">
        <f t="shared" si="45"/>
        <v>40%</v>
      </c>
      <c r="X44" s="237" t="s">
        <v>18</v>
      </c>
      <c r="Y44" s="237" t="s">
        <v>21</v>
      </c>
      <c r="Z44" s="237" t="s">
        <v>103</v>
      </c>
      <c r="AA44" s="210">
        <f>IFERROR(IF(AND(T43="Probabilidad",T44="Probabilidad"),(AC43-(+AC43*W44)),IF(T44="Probabilidad",(K43-(+K43*W44)),IF(T44="Impacto",AC43,""))),"")</f>
        <v>0.14399999999999999</v>
      </c>
      <c r="AB44" s="211" t="str">
        <f t="shared" ref="AB44:AB48" si="76">IFERROR(IF(AA44="","",IF(AA44&lt;=0.2,"Muy Baja",IF(AA44&lt;=0.4,"Baja",IF(AA44&lt;=0.6,"Media",IF(AA44&lt;=0.8,"Alta","Muy Alta"))))),"")</f>
        <v>Muy Baja</v>
      </c>
      <c r="AC44" s="209">
        <f t="shared" ref="AC44:AC48" si="77">+AA44</f>
        <v>0.14399999999999999</v>
      </c>
      <c r="AD44" s="211" t="str">
        <f t="shared" ref="AD44:AD48" si="78">IFERROR(IF(AE44="","",IF(AE44&lt;=0.2,"Leve",IF(AE44&lt;=0.4,"Menor",IF(AE44&lt;=0.6,"Moderado",IF(AE44&lt;=0.8,"Mayor","Catastrófico"))))),"")</f>
        <v>Catastrófico</v>
      </c>
      <c r="AE44" s="209">
        <f>IFERROR(IF(AND(T43="Impacto",T44="Impacto"),(AE43-(+AE43*W44)),IF(T44="Impacto",(#REF!-(+#REF!*W44)),IF(T44="Probabilidad",AE43,""))),"")</f>
        <v>1</v>
      </c>
      <c r="AF44" s="212" t="str">
        <f t="shared" ref="AF44:AF45" si="79">IFERROR(IF(OR(AND(AB44="Muy Baja",AD44="Leve"),AND(AB44="Muy Baja",AD44="Menor"),AND(AB44="Baja",AD44="Leve")),"Bajo",IF(OR(AND(AB44="Muy baja",AD44="Moderado"),AND(AB44="Baja",AD44="Menor"),AND(AB44="Baja",AD44="Moderado"),AND(AB44="Media",AD44="Leve"),AND(AB44="Media",AD44="Menor"),AND(AB44="Media",AD44="Moderado"),AND(AB44="Alta",AD44="Leve"),AND(AB44="Alta",AD44="Menor")),"Moderado",IF(OR(AND(AB44="Muy Baja",AD44="Mayor"),AND(AB44="Baja",AD44="Mayor"),AND(AB44="Media",AD44="Mayor"),AND(AB44="Alta",AD44="Moderado"),AND(AB44="Alta",AD44="Mayor"),AND(AB44="Muy Alta",AD44="Leve"),AND(AB44="Muy Alta",AD44="Menor"),AND(AB44="Muy Alta",AD44="Moderado"),AND(AB44="Muy Alta",AD44="Mayor")),"Alto",IF(OR(AND(AB44="Muy Baja",AD44="Catastrófico"),AND(AB44="Baja",AD44="Catastrófico"),AND(AB44="Media",AD44="Catastrófico"),AND(AB44="Alta",AD44="Catastrófico"),AND(AB44="Muy Alta",AD44="Catastrófico")),"Extremo","")))),"")</f>
        <v>Extremo</v>
      </c>
      <c r="AG44" s="237" t="s">
        <v>26</v>
      </c>
      <c r="AH44" s="319">
        <v>0</v>
      </c>
      <c r="AI44" s="319">
        <v>0</v>
      </c>
      <c r="AJ44" s="319">
        <v>0</v>
      </c>
      <c r="AK44" s="319">
        <v>0</v>
      </c>
      <c r="AL44" s="319">
        <v>0</v>
      </c>
      <c r="AM44" s="307"/>
      <c r="AN44" s="307"/>
      <c r="AO44" s="259"/>
      <c r="AP44" s="220"/>
      <c r="AQ44" s="307"/>
      <c r="AR44" s="277"/>
      <c r="AS44" s="277"/>
      <c r="AT44" s="129"/>
      <c r="AU44" s="129"/>
      <c r="AV44" s="129"/>
      <c r="AW44" s="129"/>
      <c r="AX44" s="129"/>
      <c r="AY44" s="129"/>
      <c r="AZ44" s="129"/>
      <c r="BA44" s="129"/>
      <c r="BB44" s="129"/>
      <c r="BC44" s="129"/>
      <c r="BD44" s="129"/>
      <c r="BE44" s="129"/>
      <c r="BF44" s="129"/>
      <c r="BG44" s="129"/>
      <c r="BH44" s="129"/>
    </row>
    <row r="45" spans="1:60" s="113" customFormat="1" ht="99.75" x14ac:dyDescent="0.2">
      <c r="A45" s="437"/>
      <c r="B45" s="438"/>
      <c r="C45" s="434"/>
      <c r="D45" s="434"/>
      <c r="E45" s="435"/>
      <c r="F45" s="436"/>
      <c r="G45" s="435"/>
      <c r="H45" s="435"/>
      <c r="I45" s="439"/>
      <c r="J45" s="430"/>
      <c r="K45" s="431"/>
      <c r="L45" s="430"/>
      <c r="M45" s="431"/>
      <c r="N45" s="431"/>
      <c r="O45" s="433"/>
      <c r="P45" s="316">
        <v>3</v>
      </c>
      <c r="Q45" s="325" t="s">
        <v>936</v>
      </c>
      <c r="R45" s="312" t="s">
        <v>293</v>
      </c>
      <c r="S45" s="317" t="s">
        <v>937</v>
      </c>
      <c r="T45" s="208" t="str">
        <f>IF(OR(U45="Preventivo",U45="Detectivo"),"Probabilidad",IF(U45="Correctivo","Impacto",""))</f>
        <v>Probabilidad</v>
      </c>
      <c r="U45" s="237" t="s">
        <v>13</v>
      </c>
      <c r="V45" s="237" t="s">
        <v>8</v>
      </c>
      <c r="W45" s="209" t="str">
        <f>IF(AND(U45="Preventivo",V45="Automático"),"50%",IF(AND(U45="Preventivo",V45="Manual"),"40%",IF(AND(U45="Detectivo",V45="Automático"),"40%",IF(AND(U45="Detectivo",V45="Manual"),"30%",IF(AND(U45="Correctivo",V45="Automático"),"35%",IF(AND(U45="Correctivo",V45="Manual"),"25%",""))))))</f>
        <v>40%</v>
      </c>
      <c r="X45" s="237" t="s">
        <v>18</v>
      </c>
      <c r="Y45" s="237" t="s">
        <v>21</v>
      </c>
      <c r="Z45" s="237" t="s">
        <v>103</v>
      </c>
      <c r="AA45" s="210">
        <f t="shared" ref="AA45:AA48" si="80">IFERROR(IF(AND(T44="Probabilidad",T45="Probabilidad"),(AC44-(+AC44*W45)),IF(AND(T44="Impacto",T45="Probabilidad"),(AC43-(+AC43*W45)),IF(T45="Impacto",AC44,""))),"")</f>
        <v>8.6399999999999991E-2</v>
      </c>
      <c r="AB45" s="211" t="str">
        <f t="shared" si="76"/>
        <v>Muy Baja</v>
      </c>
      <c r="AC45" s="209">
        <f t="shared" si="77"/>
        <v>8.6399999999999991E-2</v>
      </c>
      <c r="AD45" s="211" t="str">
        <f t="shared" si="78"/>
        <v>Catastrófico</v>
      </c>
      <c r="AE45" s="209">
        <f>IFERROR(IF(AND(T44="Impacto",T45="Impacto"),(AE44-(+AE44*W45)),IF(T45="Impacto",(#REF!-(+#REF!*W45)),IF(T45="Probabilidad",AE44,""))),"")</f>
        <v>1</v>
      </c>
      <c r="AF45" s="212" t="str">
        <f t="shared" si="79"/>
        <v>Extremo</v>
      </c>
      <c r="AG45" s="237" t="s">
        <v>26</v>
      </c>
      <c r="AH45" s="319">
        <v>0</v>
      </c>
      <c r="AI45" s="319">
        <v>0</v>
      </c>
      <c r="AJ45" s="319">
        <v>0</v>
      </c>
      <c r="AK45" s="319">
        <v>0</v>
      </c>
      <c r="AL45" s="319">
        <v>0</v>
      </c>
      <c r="AM45" s="307"/>
      <c r="AN45" s="307"/>
      <c r="AO45" s="259"/>
      <c r="AP45" s="220"/>
      <c r="AQ45" s="307"/>
      <c r="AR45" s="277"/>
      <c r="AS45" s="277"/>
      <c r="AT45" s="129"/>
      <c r="AU45" s="129"/>
      <c r="AV45" s="129"/>
      <c r="AW45" s="129"/>
      <c r="AX45" s="129"/>
      <c r="AY45" s="129"/>
      <c r="AZ45" s="129"/>
      <c r="BA45" s="129"/>
      <c r="BB45" s="129"/>
      <c r="BC45" s="129"/>
      <c r="BD45" s="129"/>
      <c r="BE45" s="129"/>
      <c r="BF45" s="129"/>
      <c r="BG45" s="129"/>
      <c r="BH45" s="129"/>
    </row>
    <row r="46" spans="1:60" s="113" customFormat="1" ht="24.75" hidden="1" customHeight="1" x14ac:dyDescent="0.2">
      <c r="A46" s="437"/>
      <c r="B46" s="438"/>
      <c r="C46" s="434"/>
      <c r="D46" s="434"/>
      <c r="E46" s="435"/>
      <c r="F46" s="436"/>
      <c r="G46" s="435"/>
      <c r="H46" s="435"/>
      <c r="I46" s="439"/>
      <c r="J46" s="430"/>
      <c r="K46" s="431"/>
      <c r="L46" s="430"/>
      <c r="M46" s="431"/>
      <c r="N46" s="431"/>
      <c r="O46" s="433"/>
      <c r="P46" s="316">
        <v>4</v>
      </c>
      <c r="Q46" s="325"/>
      <c r="R46" s="312"/>
      <c r="S46" s="317"/>
      <c r="T46" s="208" t="str">
        <f t="shared" ref="T46:T48" si="81">IF(OR(U46="Preventivo",U46="Detectivo"),"Probabilidad",IF(U46="Correctivo","Impacto",""))</f>
        <v/>
      </c>
      <c r="U46" s="237"/>
      <c r="V46" s="237"/>
      <c r="W46" s="209" t="str">
        <f t="shared" ref="W46:W56" si="82">IF(AND(U46="Preventivo",V46="Automático"),"50%",IF(AND(U46="Preventivo",V46="Manual"),"40%",IF(AND(U46="Detectivo",V46="Automático"),"40%",IF(AND(U46="Detectivo",V46="Manual"),"30%",IF(AND(U46="Correctivo",V46="Automático"),"35%",IF(AND(U46="Correctivo",V46="Manual"),"25%",""))))))</f>
        <v/>
      </c>
      <c r="X46" s="237"/>
      <c r="Y46" s="237"/>
      <c r="Z46" s="237"/>
      <c r="AA46" s="210" t="str">
        <f t="shared" si="80"/>
        <v/>
      </c>
      <c r="AB46" s="211" t="str">
        <f t="shared" si="76"/>
        <v/>
      </c>
      <c r="AC46" s="209" t="str">
        <f t="shared" si="77"/>
        <v/>
      </c>
      <c r="AD46" s="211" t="str">
        <f t="shared" si="78"/>
        <v/>
      </c>
      <c r="AE46" s="209" t="str">
        <f>IFERROR(IF(AND(T45="Impacto",T46="Impacto"),(AE45-(+AE45*W46)),IF(T46="Impacto",(#REF!-(+#REF!*W46)),IF(T46="Probabilidad",AE45,""))),"")</f>
        <v/>
      </c>
      <c r="AF46" s="212" t="str">
        <f>IFERROR(IF(OR(AND(AB46="Muy Baja",AD46="Leve"),AND(AB46="Muy Baja",AD46="Menor"),AND(AB46="Baja",AD46="Leve")),"Bajo",IF(OR(AND(AB46="Muy baja",AD46="Moderado"),AND(AB46="Baja",AD46="Menor"),AND(AB46="Baja",AD46="Moderado"),AND(AB46="Media",AD46="Leve"),AND(AB46="Media",AD46="Menor"),AND(AB46="Media",AD46="Moderado"),AND(AB46="Alta",AD46="Leve"),AND(AB46="Alta",AD46="Menor")),"Moderado",IF(OR(AND(AB46="Muy Baja",AD46="Mayor"),AND(AB46="Baja",AD46="Mayor"),AND(AB46="Media",AD46="Mayor"),AND(AB46="Alta",AD46="Moderado"),AND(AB46="Alta",AD46="Mayor"),AND(AB46="Muy Alta",AD46="Leve"),AND(AB46="Muy Alta",AD46="Menor"),AND(AB46="Muy Alta",AD46="Moderado"),AND(AB46="Muy Alta",AD46="Mayor")),"Alto",IF(OR(AND(AB46="Muy Baja",AD46="Catastrófico"),AND(AB46="Baja",AD46="Catastrófico"),AND(AB46="Media",AD46="Catastrófico"),AND(AB46="Alta",AD46="Catastrófico"),AND(AB46="Muy Alta",AD46="Catastrófico")),"Extremo","")))),"")</f>
        <v/>
      </c>
      <c r="AG46" s="237"/>
      <c r="AH46" s="319"/>
      <c r="AI46" s="319"/>
      <c r="AJ46" s="319"/>
      <c r="AK46" s="319"/>
      <c r="AL46" s="319"/>
      <c r="AM46" s="213"/>
      <c r="AN46" s="213"/>
      <c r="AO46" s="308"/>
      <c r="AP46" s="220"/>
      <c r="AQ46" s="213"/>
      <c r="AR46" s="277"/>
      <c r="AS46" s="277"/>
      <c r="AT46" s="129"/>
      <c r="AU46" s="129"/>
      <c r="AV46" s="129"/>
      <c r="AW46" s="129"/>
      <c r="AX46" s="129"/>
      <c r="AY46" s="129"/>
      <c r="AZ46" s="129"/>
      <c r="BA46" s="129"/>
      <c r="BB46" s="129"/>
      <c r="BC46" s="129"/>
      <c r="BD46" s="129"/>
      <c r="BE46" s="129"/>
      <c r="BF46" s="129"/>
      <c r="BG46" s="129"/>
      <c r="BH46" s="129"/>
    </row>
    <row r="47" spans="1:60" s="113" customFormat="1" ht="24.75" hidden="1" customHeight="1" x14ac:dyDescent="0.2">
      <c r="A47" s="437"/>
      <c r="B47" s="438"/>
      <c r="C47" s="434"/>
      <c r="D47" s="434"/>
      <c r="E47" s="435"/>
      <c r="F47" s="436"/>
      <c r="G47" s="435"/>
      <c r="H47" s="435"/>
      <c r="I47" s="439"/>
      <c r="J47" s="430"/>
      <c r="K47" s="431"/>
      <c r="L47" s="430"/>
      <c r="M47" s="431"/>
      <c r="N47" s="431"/>
      <c r="O47" s="433"/>
      <c r="P47" s="316">
        <v>5</v>
      </c>
      <c r="Q47" s="325"/>
      <c r="R47" s="312"/>
      <c r="S47" s="317"/>
      <c r="T47" s="208" t="str">
        <f t="shared" si="81"/>
        <v/>
      </c>
      <c r="U47" s="237"/>
      <c r="V47" s="237"/>
      <c r="W47" s="209" t="str">
        <f t="shared" si="82"/>
        <v/>
      </c>
      <c r="X47" s="237"/>
      <c r="Y47" s="237"/>
      <c r="Z47" s="237"/>
      <c r="AA47" s="210" t="str">
        <f t="shared" si="80"/>
        <v/>
      </c>
      <c r="AB47" s="211" t="str">
        <f t="shared" si="76"/>
        <v/>
      </c>
      <c r="AC47" s="209" t="str">
        <f t="shared" si="77"/>
        <v/>
      </c>
      <c r="AD47" s="211" t="str">
        <f t="shared" si="78"/>
        <v/>
      </c>
      <c r="AE47" s="209" t="str">
        <f>IFERROR(IF(AND(T46="Impacto",T47="Impacto"),(AE46-(+AE46*W47)),IF(T47="Impacto",(#REF!-(+#REF!*W47)),IF(T47="Probabilidad",AE46,""))),"")</f>
        <v/>
      </c>
      <c r="AF47" s="212" t="str">
        <f t="shared" ref="AF47:AF48" si="83">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237"/>
      <c r="AH47" s="319"/>
      <c r="AI47" s="319"/>
      <c r="AJ47" s="319"/>
      <c r="AK47" s="319"/>
      <c r="AL47" s="319"/>
      <c r="AM47" s="305"/>
      <c r="AN47" s="305"/>
      <c r="AO47" s="306"/>
      <c r="AP47" s="216"/>
      <c r="AQ47" s="216"/>
      <c r="AR47" s="277"/>
      <c r="AS47" s="277"/>
      <c r="AT47" s="129"/>
      <c r="AU47" s="129"/>
      <c r="AV47" s="129"/>
      <c r="AW47" s="129"/>
      <c r="AX47" s="129"/>
      <c r="AY47" s="129"/>
      <c r="AZ47" s="129"/>
      <c r="BA47" s="129"/>
      <c r="BB47" s="129"/>
      <c r="BC47" s="129"/>
      <c r="BD47" s="129"/>
      <c r="BE47" s="129"/>
      <c r="BF47" s="129"/>
      <c r="BG47" s="129"/>
      <c r="BH47" s="129"/>
    </row>
    <row r="48" spans="1:60" s="113" customFormat="1" ht="24.75" hidden="1" customHeight="1" x14ac:dyDescent="0.2">
      <c r="A48" s="437"/>
      <c r="B48" s="438"/>
      <c r="C48" s="434"/>
      <c r="D48" s="434"/>
      <c r="E48" s="435"/>
      <c r="F48" s="436"/>
      <c r="G48" s="435"/>
      <c r="H48" s="435"/>
      <c r="I48" s="439"/>
      <c r="J48" s="430"/>
      <c r="K48" s="431"/>
      <c r="L48" s="430"/>
      <c r="M48" s="431"/>
      <c r="N48" s="431"/>
      <c r="O48" s="433"/>
      <c r="P48" s="316">
        <v>6</v>
      </c>
      <c r="Q48" s="325"/>
      <c r="R48" s="312"/>
      <c r="S48" s="317"/>
      <c r="T48" s="208" t="str">
        <f t="shared" si="81"/>
        <v/>
      </c>
      <c r="U48" s="237"/>
      <c r="V48" s="237"/>
      <c r="W48" s="209" t="str">
        <f t="shared" si="82"/>
        <v/>
      </c>
      <c r="X48" s="237"/>
      <c r="Y48" s="237"/>
      <c r="Z48" s="237"/>
      <c r="AA48" s="210" t="str">
        <f t="shared" si="80"/>
        <v/>
      </c>
      <c r="AB48" s="211" t="str">
        <f t="shared" si="76"/>
        <v/>
      </c>
      <c r="AC48" s="209" t="str">
        <f t="shared" si="77"/>
        <v/>
      </c>
      <c r="AD48" s="211" t="str">
        <f t="shared" si="78"/>
        <v/>
      </c>
      <c r="AE48" s="209" t="str">
        <f>IFERROR(IF(AND(T47="Impacto",T48="Impacto"),(AE47-(+AE47*W48)),IF(T48="Impacto",(#REF!-(+#REF!*W48)),IF(T48="Probabilidad",AE47,""))),"")</f>
        <v/>
      </c>
      <c r="AF48" s="212" t="str">
        <f t="shared" si="83"/>
        <v/>
      </c>
      <c r="AG48" s="237"/>
      <c r="AH48" s="319"/>
      <c r="AI48" s="319"/>
      <c r="AJ48" s="319"/>
      <c r="AK48" s="319"/>
      <c r="AL48" s="319"/>
      <c r="AM48" s="305"/>
      <c r="AN48" s="305"/>
      <c r="AO48" s="306"/>
      <c r="AP48" s="216"/>
      <c r="AQ48" s="216"/>
      <c r="AR48" s="277"/>
      <c r="AS48" s="277"/>
      <c r="AT48" s="129"/>
      <c r="AU48" s="129"/>
      <c r="AV48" s="129"/>
      <c r="AW48" s="129"/>
      <c r="AX48" s="129"/>
      <c r="AY48" s="129"/>
      <c r="AZ48" s="129"/>
      <c r="BA48" s="129"/>
      <c r="BB48" s="129"/>
      <c r="BC48" s="129"/>
      <c r="BD48" s="129"/>
      <c r="BE48" s="129"/>
      <c r="BF48" s="129"/>
      <c r="BG48" s="129"/>
      <c r="BH48" s="129"/>
    </row>
    <row r="49" spans="1:60" s="271" customFormat="1" ht="228" x14ac:dyDescent="0.2">
      <c r="A49" s="437" t="s">
        <v>953</v>
      </c>
      <c r="B49" s="438" t="s">
        <v>606</v>
      </c>
      <c r="C49" s="434" t="s">
        <v>621</v>
      </c>
      <c r="D49" s="434" t="s">
        <v>958</v>
      </c>
      <c r="E49" s="435" t="s">
        <v>959</v>
      </c>
      <c r="F49" s="436" t="s">
        <v>957</v>
      </c>
      <c r="G49" s="435" t="s">
        <v>233</v>
      </c>
      <c r="H49" s="435" t="s">
        <v>1078</v>
      </c>
      <c r="I49" s="439">
        <v>80000</v>
      </c>
      <c r="J49" s="430" t="str">
        <f t="shared" ref="J49" si="84">IF(I49&lt;=0,"",IF(I49&lt;=2,"Muy Baja",IF(I49&lt;=24,"Baja",IF(I49&lt;=500,"Media",IF(I49&lt;=5000,"Alta","Muy Alta")))))</f>
        <v>Muy Alta</v>
      </c>
      <c r="K49" s="431">
        <f t="shared" ref="K49" si="85">IF(J49="","",IF(J49="Muy Baja",0.2,IF(J49="Baja",0.4,IF(J49="Media",0.6,IF(J49="Alta",0.8,IF(J49="Muy Alta",1,))))))</f>
        <v>1</v>
      </c>
      <c r="L49" s="430">
        <v>5</v>
      </c>
      <c r="M49" s="431" t="str">
        <f>IF(L49=1,"INSIGNIFICANTE",IF(L49=2,"Menor",IF(L49=3,"Moderado",IF(L49=4,"MAYOR",IF(L49=5,"Catastrófico",IF(L49=""," "))))))</f>
        <v>Catastrófico</v>
      </c>
      <c r="N49" s="431">
        <f t="shared" ref="N49" si="86">IF(M49="","",IF(M49="Leve",0.2,IF(M49="Menor",0.4,IF(M49="Moderado",0.6,IF(M49="Mayor",0.8,IF(M49="Catastrófico",1,))))))</f>
        <v>1</v>
      </c>
      <c r="O49" s="433" t="str">
        <f t="shared" ref="O49" si="87">IF(OR(AND(J49="Muy Baja",M49="Leve"),AND(J49="Muy Baja",J49="Menor"),AND(J49="Baja",M49="Leve")),"Bajo",IF(OR(AND(J49="Muy baja",M49="Moderado"),AND(J49="Baja",M49="Menor"),AND(J49="Baja",M49="Moderado"),AND(J49="Media",M49="Leve"),AND(J49="Media",M49="Menor"),AND(J49="Media",M49="Moderado"),AND(J49="Alta",M49="Leve"),AND(J49="Alta",M49="Menor")),"Moderado",IF(OR(AND(J49="Muy Baja",M49="Mayor"),AND(J49="Baja",M49="Mayor"),AND(J49="Media",M49="Mayor"),AND(J49="Alta",M49="Moderado"),AND(J49="Alta",M49="Mayor"),AND(J49="Muy Alta",M49="Leve"),AND(J49="Muy Alta",M49="Menor"),AND(J49="Muy Alta",M49="Moderado"),AND(J49="Muy Alta",M49="Mayor")),"Alto",IF(OR(AND(J49="Muy Baja",M49="Catastrófico"),AND(J49="Baja",M49="Catastrófico"),AND(J49="Media",M49="Catastrófico"),AND(J49="Alta",M49="Catastrófico"),AND(J49="Muy Alta",M49="Catastrófico")),"Extremo",""))))</f>
        <v>Extremo</v>
      </c>
      <c r="P49" s="261">
        <v>1</v>
      </c>
      <c r="Q49" s="328" t="s">
        <v>960</v>
      </c>
      <c r="R49" s="272" t="s">
        <v>293</v>
      </c>
      <c r="S49" s="317" t="s">
        <v>961</v>
      </c>
      <c r="T49" s="262" t="str">
        <f>IF(OR(U49="Preventivo",U49="Detectivo"),"Probabilidad",IF(U49="Correctivo","Impacto",""))</f>
        <v>Probabilidad</v>
      </c>
      <c r="U49" s="263" t="s">
        <v>13</v>
      </c>
      <c r="V49" s="263" t="s">
        <v>8</v>
      </c>
      <c r="W49" s="264" t="str">
        <f t="shared" si="82"/>
        <v>40%</v>
      </c>
      <c r="X49" s="263" t="s">
        <v>18</v>
      </c>
      <c r="Y49" s="263" t="s">
        <v>21</v>
      </c>
      <c r="Z49" s="263" t="s">
        <v>103</v>
      </c>
      <c r="AA49" s="265">
        <f>IFERROR(IF(T49="Probabilidad",(K49-(+K49*W49)),IF(T49="Impacto",K49,"")),"")</f>
        <v>0.6</v>
      </c>
      <c r="AB49" s="266" t="str">
        <f>IFERROR(IF(AA49="","",IF(AA49&lt;=0.2,"Muy Baja",IF(AA49&lt;=0.4,"Baja",IF(AA49&lt;=0.6,"Media",IF(AA49&lt;=0.8,"Alta","Muy Alta"))))),"")</f>
        <v>Media</v>
      </c>
      <c r="AC49" s="264">
        <f>+AA49</f>
        <v>0.6</v>
      </c>
      <c r="AD49" s="266" t="str">
        <f>IFERROR(IF(AE49="","",IF(AE49&lt;=0.2,"Leve",IF(AE49&lt;=0.4,"Menor",IF(AE49&lt;=0.6,"Moderado",IF(AE49&lt;=0.8,"Mayor","Catastrófico"))))),"")</f>
        <v>Catastrófico</v>
      </c>
      <c r="AE49" s="264">
        <f>IFERROR(IF(T49="Impacto",(N49-(+N49*W49)),IF(T49="Probabilidad",N49,"")),"")</f>
        <v>1</v>
      </c>
      <c r="AF49" s="267" t="str">
        <f>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Extremo</v>
      </c>
      <c r="AG49" s="263" t="s">
        <v>26</v>
      </c>
      <c r="AH49" s="319">
        <v>12</v>
      </c>
      <c r="AI49" s="319">
        <v>3</v>
      </c>
      <c r="AJ49" s="319">
        <v>3</v>
      </c>
      <c r="AK49" s="319">
        <v>3</v>
      </c>
      <c r="AL49" s="319">
        <v>3</v>
      </c>
      <c r="AM49" s="268"/>
      <c r="AN49" s="268"/>
      <c r="AO49" s="258"/>
      <c r="AP49" s="269"/>
      <c r="AQ49" s="270"/>
      <c r="AR49" s="276"/>
      <c r="AS49" s="276"/>
    </row>
    <row r="50" spans="1:60" s="113" customFormat="1" ht="156.75" x14ac:dyDescent="0.2">
      <c r="A50" s="437"/>
      <c r="B50" s="438"/>
      <c r="C50" s="434"/>
      <c r="D50" s="434"/>
      <c r="E50" s="435"/>
      <c r="F50" s="436"/>
      <c r="G50" s="435"/>
      <c r="H50" s="435"/>
      <c r="I50" s="439"/>
      <c r="J50" s="430"/>
      <c r="K50" s="431"/>
      <c r="L50" s="430"/>
      <c r="M50" s="431"/>
      <c r="N50" s="431"/>
      <c r="O50" s="433"/>
      <c r="P50" s="316">
        <v>2</v>
      </c>
      <c r="Q50" s="325" t="s">
        <v>962</v>
      </c>
      <c r="R50" s="312" t="s">
        <v>293</v>
      </c>
      <c r="S50" s="317" t="s">
        <v>963</v>
      </c>
      <c r="T50" s="208" t="str">
        <f>IF(OR(U50="Preventivo",U50="Detectivo"),"Probabilidad",IF(U50="Correctivo","Impacto",""))</f>
        <v>Probabilidad</v>
      </c>
      <c r="U50" s="237" t="s">
        <v>13</v>
      </c>
      <c r="V50" s="237" t="s">
        <v>8</v>
      </c>
      <c r="W50" s="209" t="str">
        <f t="shared" si="82"/>
        <v>40%</v>
      </c>
      <c r="X50" s="237" t="s">
        <v>18</v>
      </c>
      <c r="Y50" s="237" t="s">
        <v>21</v>
      </c>
      <c r="Z50" s="237" t="s">
        <v>103</v>
      </c>
      <c r="AA50" s="210">
        <f>IFERROR(IF(AND(T49="Probabilidad",T50="Probabilidad"),(AC49-(+AC49*W50)),IF(T50="Probabilidad",(K49-(+K49*W50)),IF(T50="Impacto",AC49,""))),"")</f>
        <v>0.36</v>
      </c>
      <c r="AB50" s="211" t="str">
        <f t="shared" ref="AB50:AB54" si="88">IFERROR(IF(AA50="","",IF(AA50&lt;=0.2,"Muy Baja",IF(AA50&lt;=0.4,"Baja",IF(AA50&lt;=0.6,"Media",IF(AA50&lt;=0.8,"Alta","Muy Alta"))))),"")</f>
        <v>Baja</v>
      </c>
      <c r="AC50" s="209">
        <f t="shared" ref="AC50:AC54" si="89">+AA50</f>
        <v>0.36</v>
      </c>
      <c r="AD50" s="211" t="str">
        <f t="shared" ref="AD50:AD54" si="90">IFERROR(IF(AE50="","",IF(AE50&lt;=0.2,"Leve",IF(AE50&lt;=0.4,"Menor",IF(AE50&lt;=0.6,"Moderado",IF(AE50&lt;=0.8,"Mayor","Catastrófico"))))),"")</f>
        <v>Catastrófico</v>
      </c>
      <c r="AE50" s="209">
        <f>IFERROR(IF(AND(T49="Impacto",T50="Impacto"),(AE49-(+AE49*W50)),IF(T50="Impacto",(#REF!-(+#REF!*W50)),IF(T50="Probabilidad",AE49,""))),"")</f>
        <v>1</v>
      </c>
      <c r="AF50" s="212" t="str">
        <f t="shared" ref="AF50:AF51" si="91">IFERROR(IF(OR(AND(AB50="Muy Baja",AD50="Leve"),AND(AB50="Muy Baja",AD50="Menor"),AND(AB50="Baja",AD50="Leve")),"Bajo",IF(OR(AND(AB50="Muy baja",AD50="Moderado"),AND(AB50="Baja",AD50="Menor"),AND(AB50="Baja",AD50="Moderado"),AND(AB50="Media",AD50="Leve"),AND(AB50="Media",AD50="Menor"),AND(AB50="Media",AD50="Moderado"),AND(AB50="Alta",AD50="Leve"),AND(AB50="Alta",AD50="Menor")),"Moderado",IF(OR(AND(AB50="Muy Baja",AD50="Mayor"),AND(AB50="Baja",AD50="Mayor"),AND(AB50="Media",AD50="Mayor"),AND(AB50="Alta",AD50="Moderado"),AND(AB50="Alta",AD50="Mayor"),AND(AB50="Muy Alta",AD50="Leve"),AND(AB50="Muy Alta",AD50="Menor"),AND(AB50="Muy Alta",AD50="Moderado"),AND(AB50="Muy Alta",AD50="Mayor")),"Alto",IF(OR(AND(AB50="Muy Baja",AD50="Catastrófico"),AND(AB50="Baja",AD50="Catastrófico"),AND(AB50="Media",AD50="Catastrófico"),AND(AB50="Alta",AD50="Catastrófico"),AND(AB50="Muy Alta",AD50="Catastrófico")),"Extremo","")))),"")</f>
        <v>Extremo</v>
      </c>
      <c r="AG50" s="237" t="s">
        <v>26</v>
      </c>
      <c r="AH50" s="319">
        <v>12</v>
      </c>
      <c r="AI50" s="319">
        <v>3</v>
      </c>
      <c r="AJ50" s="319">
        <v>3</v>
      </c>
      <c r="AK50" s="319">
        <v>3</v>
      </c>
      <c r="AL50" s="319">
        <v>3</v>
      </c>
      <c r="AM50" s="311"/>
      <c r="AN50" s="311"/>
      <c r="AO50" s="259"/>
      <c r="AP50" s="220"/>
      <c r="AQ50" s="311"/>
      <c r="AR50" s="277"/>
      <c r="AS50" s="277"/>
      <c r="AT50" s="129"/>
      <c r="AU50" s="129"/>
      <c r="AV50" s="129"/>
      <c r="AW50" s="129"/>
      <c r="AX50" s="129"/>
      <c r="AY50" s="129"/>
      <c r="AZ50" s="129"/>
      <c r="BA50" s="129"/>
      <c r="BB50" s="129"/>
      <c r="BC50" s="129"/>
      <c r="BD50" s="129"/>
      <c r="BE50" s="129"/>
      <c r="BF50" s="129"/>
      <c r="BG50" s="129"/>
      <c r="BH50" s="129"/>
    </row>
    <row r="51" spans="1:60" s="113" customFormat="1" ht="242.25" x14ac:dyDescent="0.2">
      <c r="A51" s="437"/>
      <c r="B51" s="438"/>
      <c r="C51" s="434"/>
      <c r="D51" s="434"/>
      <c r="E51" s="435"/>
      <c r="F51" s="436"/>
      <c r="G51" s="435"/>
      <c r="H51" s="435"/>
      <c r="I51" s="439"/>
      <c r="J51" s="430"/>
      <c r="K51" s="431"/>
      <c r="L51" s="430"/>
      <c r="M51" s="431"/>
      <c r="N51" s="431"/>
      <c r="O51" s="433"/>
      <c r="P51" s="316">
        <v>3</v>
      </c>
      <c r="Q51" s="325" t="s">
        <v>964</v>
      </c>
      <c r="R51" s="312" t="s">
        <v>293</v>
      </c>
      <c r="S51" s="317" t="s">
        <v>966</v>
      </c>
      <c r="T51" s="208" t="str">
        <f>IF(OR(U51="Preventivo",U51="Detectivo"),"Probabilidad",IF(U51="Correctivo","Impacto",""))</f>
        <v>Probabilidad</v>
      </c>
      <c r="U51" s="237" t="s">
        <v>13</v>
      </c>
      <c r="V51" s="237" t="s">
        <v>8</v>
      </c>
      <c r="W51" s="209" t="str">
        <f>IF(AND(U51="Preventivo",V51="Automático"),"50%",IF(AND(U51="Preventivo",V51="Manual"),"40%",IF(AND(U51="Detectivo",V51="Automático"),"40%",IF(AND(U51="Detectivo",V51="Manual"),"30%",IF(AND(U51="Correctivo",V51="Automático"),"35%",IF(AND(U51="Correctivo",V51="Manual"),"25%",""))))))</f>
        <v>40%</v>
      </c>
      <c r="X51" s="237" t="s">
        <v>18</v>
      </c>
      <c r="Y51" s="237" t="s">
        <v>21</v>
      </c>
      <c r="Z51" s="237" t="s">
        <v>103</v>
      </c>
      <c r="AA51" s="210">
        <f>IFERROR(IF(AND(T50="Probabilidad",T51="Probabilidad"),(AC50-(+AC50*W51)),IF(AND(T50="Impacto",T51="Probabilidad"),(AC49-(+AC49*W51)),IF(T51="Impacto",AC50,""))),"")</f>
        <v>0.216</v>
      </c>
      <c r="AB51" s="211" t="str">
        <f t="shared" si="88"/>
        <v>Baja</v>
      </c>
      <c r="AC51" s="209">
        <f t="shared" si="89"/>
        <v>0.216</v>
      </c>
      <c r="AD51" s="211" t="str">
        <f t="shared" si="90"/>
        <v>Catastrófico</v>
      </c>
      <c r="AE51" s="209">
        <f>IFERROR(IF(AND(T50="Impacto",T51="Impacto"),(AE50-(+AE50*W51)),IF(T51="Impacto",(#REF!-(+#REF!*W51)),IF(T51="Probabilidad",AE50,""))),"")</f>
        <v>1</v>
      </c>
      <c r="AF51" s="212" t="str">
        <f t="shared" si="91"/>
        <v>Extremo</v>
      </c>
      <c r="AG51" s="237" t="s">
        <v>26</v>
      </c>
      <c r="AH51" s="319">
        <v>0</v>
      </c>
      <c r="AI51" s="319">
        <v>0</v>
      </c>
      <c r="AJ51" s="319">
        <v>0</v>
      </c>
      <c r="AK51" s="319">
        <v>0</v>
      </c>
      <c r="AL51" s="319">
        <v>0</v>
      </c>
      <c r="AM51" s="311"/>
      <c r="AN51" s="311"/>
      <c r="AO51" s="259"/>
      <c r="AP51" s="220"/>
      <c r="AQ51" s="311"/>
      <c r="AR51" s="277"/>
      <c r="AS51" s="277"/>
      <c r="AT51" s="129"/>
      <c r="AU51" s="129"/>
      <c r="AV51" s="129"/>
      <c r="AW51" s="129"/>
      <c r="AX51" s="129"/>
      <c r="AY51" s="129"/>
      <c r="AZ51" s="129"/>
      <c r="BA51" s="129"/>
      <c r="BB51" s="129"/>
      <c r="BC51" s="129"/>
      <c r="BD51" s="129"/>
      <c r="BE51" s="129"/>
      <c r="BF51" s="129"/>
      <c r="BG51" s="129"/>
      <c r="BH51" s="129"/>
    </row>
    <row r="52" spans="1:60" s="113" customFormat="1" ht="185.25" x14ac:dyDescent="0.2">
      <c r="A52" s="437"/>
      <c r="B52" s="438"/>
      <c r="C52" s="434"/>
      <c r="D52" s="434"/>
      <c r="E52" s="435"/>
      <c r="F52" s="436"/>
      <c r="G52" s="435"/>
      <c r="H52" s="435"/>
      <c r="I52" s="439"/>
      <c r="J52" s="430"/>
      <c r="K52" s="431"/>
      <c r="L52" s="430"/>
      <c r="M52" s="431"/>
      <c r="N52" s="431"/>
      <c r="O52" s="433"/>
      <c r="P52" s="316">
        <v>4</v>
      </c>
      <c r="Q52" s="325" t="s">
        <v>965</v>
      </c>
      <c r="R52" s="312" t="s">
        <v>293</v>
      </c>
      <c r="S52" s="317" t="s">
        <v>967</v>
      </c>
      <c r="T52" s="208" t="str">
        <f t="shared" ref="T52:T54" si="92">IF(OR(U52="Preventivo",U52="Detectivo"),"Probabilidad",IF(U52="Correctivo","Impacto",""))</f>
        <v>Probabilidad</v>
      </c>
      <c r="U52" s="237" t="s">
        <v>13</v>
      </c>
      <c r="V52" s="237" t="s">
        <v>8</v>
      </c>
      <c r="W52" s="209" t="str">
        <f t="shared" ref="W52:W54" si="93">IF(AND(U52="Preventivo",V52="Automático"),"50%",IF(AND(U52="Preventivo",V52="Manual"),"40%",IF(AND(U52="Detectivo",V52="Automático"),"40%",IF(AND(U52="Detectivo",V52="Manual"),"30%",IF(AND(U52="Correctivo",V52="Automático"),"35%",IF(AND(U52="Correctivo",V52="Manual"),"25%",""))))))</f>
        <v>40%</v>
      </c>
      <c r="X52" s="237" t="s">
        <v>18</v>
      </c>
      <c r="Y52" s="237" t="s">
        <v>21</v>
      </c>
      <c r="Z52" s="237" t="s">
        <v>103</v>
      </c>
      <c r="AA52" s="210">
        <f>IFERROR(IF(AND(T51="Probabilidad",T52="Probabilidad"),(AC51-(+AC51*W52)),IF(AND(T51="Impacto",T52="Probabilidad"),(AC50-(+AC50*W52)),IF(T52="Impacto",AC51,""))),"")</f>
        <v>0.12959999999999999</v>
      </c>
      <c r="AB52" s="211" t="str">
        <f t="shared" si="88"/>
        <v>Muy Baja</v>
      </c>
      <c r="AC52" s="209">
        <f>+AA52</f>
        <v>0.12959999999999999</v>
      </c>
      <c r="AD52" s="211" t="str">
        <f t="shared" si="90"/>
        <v>Catastrófico</v>
      </c>
      <c r="AE52" s="209">
        <f>IFERROR(IF(AND(T51="Impacto",T52="Impacto"),(AE51-(+AE51*W52)),IF(T52="Impacto",(#REF!-(+#REF!*W52)),IF(T52="Probabilidad",AE51,""))),"")</f>
        <v>1</v>
      </c>
      <c r="AF52" s="212" t="str">
        <f>IFERROR(IF(OR(AND(AB52="Muy Baja",AD52="Leve"),AND(AB52="Muy Baja",AD52="Menor"),AND(AB52="Baja",AD52="Leve")),"Bajo",IF(OR(AND(AB52="Muy baja",AD52="Moderado"),AND(AB52="Baja",AD52="Menor"),AND(AB52="Baja",AD52="Moderado"),AND(AB52="Media",AD52="Leve"),AND(AB52="Media",AD52="Menor"),AND(AB52="Media",AD52="Moderado"),AND(AB52="Alta",AD52="Leve"),AND(AB52="Alta",AD52="Menor")),"Moderado",IF(OR(AND(AB52="Muy Baja",AD52="Mayor"),AND(AB52="Baja",AD52="Mayor"),AND(AB52="Media",AD52="Mayor"),AND(AB52="Alta",AD52="Moderado"),AND(AB52="Alta",AD52="Mayor"),AND(AB52="Muy Alta",AD52="Leve"),AND(AB52="Muy Alta",AD52="Menor"),AND(AB52="Muy Alta",AD52="Moderado"),AND(AB52="Muy Alta",AD52="Mayor")),"Alto",IF(OR(AND(AB52="Muy Baja",AD52="Catastrófico"),AND(AB52="Baja",AD52="Catastrófico"),AND(AB52="Media",AD52="Catastrófico"),AND(AB52="Alta",AD52="Catastrófico"),AND(AB52="Muy Alta",AD52="Catastrófico")),"Extremo","")))),"")</f>
        <v>Extremo</v>
      </c>
      <c r="AG52" s="237" t="s">
        <v>26</v>
      </c>
      <c r="AH52" s="319">
        <v>0</v>
      </c>
      <c r="AI52" s="319">
        <v>0</v>
      </c>
      <c r="AJ52" s="319">
        <v>0</v>
      </c>
      <c r="AK52" s="319">
        <v>0</v>
      </c>
      <c r="AL52" s="319">
        <v>0</v>
      </c>
      <c r="AM52" s="213"/>
      <c r="AN52" s="213"/>
      <c r="AO52" s="316"/>
      <c r="AP52" s="220"/>
      <c r="AQ52" s="213"/>
      <c r="AR52" s="277"/>
      <c r="AS52" s="277"/>
      <c r="AT52" s="129"/>
      <c r="AU52" s="129"/>
      <c r="AV52" s="129"/>
      <c r="AW52" s="129"/>
      <c r="AX52" s="129"/>
      <c r="AY52" s="129"/>
      <c r="AZ52" s="129"/>
      <c r="BA52" s="129"/>
      <c r="BB52" s="129"/>
      <c r="BC52" s="129"/>
      <c r="BD52" s="129"/>
      <c r="BE52" s="129"/>
      <c r="BF52" s="129"/>
      <c r="BG52" s="129"/>
      <c r="BH52" s="129"/>
    </row>
    <row r="53" spans="1:60" s="113" customFormat="1" ht="31.5" hidden="1" customHeight="1" x14ac:dyDescent="0.2">
      <c r="A53" s="437"/>
      <c r="B53" s="438"/>
      <c r="C53" s="434"/>
      <c r="D53" s="434"/>
      <c r="E53" s="435"/>
      <c r="F53" s="436"/>
      <c r="G53" s="435"/>
      <c r="H53" s="435"/>
      <c r="I53" s="439"/>
      <c r="J53" s="430"/>
      <c r="K53" s="431"/>
      <c r="L53" s="430"/>
      <c r="M53" s="431"/>
      <c r="N53" s="431"/>
      <c r="O53" s="433"/>
      <c r="P53" s="316">
        <v>5</v>
      </c>
      <c r="Q53" s="325"/>
      <c r="R53" s="312"/>
      <c r="S53" s="317"/>
      <c r="T53" s="208" t="str">
        <f t="shared" si="92"/>
        <v/>
      </c>
      <c r="U53" s="237"/>
      <c r="V53" s="237"/>
      <c r="W53" s="209" t="str">
        <f t="shared" si="93"/>
        <v/>
      </c>
      <c r="X53" s="237"/>
      <c r="Y53" s="237"/>
      <c r="Z53" s="237"/>
      <c r="AA53" s="210" t="str">
        <f t="shared" ref="AA53:AA54" si="94">IFERROR(IF(AND(T52="Probabilidad",T53="Probabilidad"),(AC52-(+AC52*W53)),IF(AND(T52="Impacto",T53="Probabilidad"),(AC51-(+AC51*W53)),IF(T53="Impacto",AC52,""))),"")</f>
        <v/>
      </c>
      <c r="AB53" s="211" t="str">
        <f t="shared" si="88"/>
        <v/>
      </c>
      <c r="AC53" s="209" t="str">
        <f t="shared" si="89"/>
        <v/>
      </c>
      <c r="AD53" s="211" t="str">
        <f t="shared" si="90"/>
        <v/>
      </c>
      <c r="AE53" s="209" t="str">
        <f>IFERROR(IF(AND(T52="Impacto",T53="Impacto"),(AE52-(+AE52*W53)),IF(T53="Impacto",(#REF!-(+#REF!*W53)),IF(T53="Probabilidad",AE52,""))),"")</f>
        <v/>
      </c>
      <c r="AF53" s="212" t="str">
        <f t="shared" ref="AF53:AF54" si="95">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
      </c>
      <c r="AG53" s="237"/>
      <c r="AH53" s="319"/>
      <c r="AI53" s="319"/>
      <c r="AJ53" s="319"/>
      <c r="AK53" s="319"/>
      <c r="AL53" s="319"/>
      <c r="AM53" s="312"/>
      <c r="AN53" s="312"/>
      <c r="AO53" s="309"/>
      <c r="AP53" s="216"/>
      <c r="AQ53" s="216"/>
      <c r="AR53" s="277"/>
      <c r="AS53" s="277"/>
      <c r="AT53" s="129"/>
      <c r="AU53" s="129"/>
      <c r="AV53" s="129"/>
      <c r="AW53" s="129"/>
      <c r="AX53" s="129"/>
      <c r="AY53" s="129"/>
      <c r="AZ53" s="129"/>
      <c r="BA53" s="129"/>
      <c r="BB53" s="129"/>
      <c r="BC53" s="129"/>
      <c r="BD53" s="129"/>
      <c r="BE53" s="129"/>
      <c r="BF53" s="129"/>
      <c r="BG53" s="129"/>
      <c r="BH53" s="129"/>
    </row>
    <row r="54" spans="1:60" s="113" customFormat="1" ht="31.5" hidden="1" customHeight="1" x14ac:dyDescent="0.2">
      <c r="A54" s="437"/>
      <c r="B54" s="438"/>
      <c r="C54" s="434"/>
      <c r="D54" s="434"/>
      <c r="E54" s="435"/>
      <c r="F54" s="436"/>
      <c r="G54" s="435"/>
      <c r="H54" s="435"/>
      <c r="I54" s="439"/>
      <c r="J54" s="430"/>
      <c r="K54" s="431"/>
      <c r="L54" s="430"/>
      <c r="M54" s="431"/>
      <c r="N54" s="431"/>
      <c r="O54" s="433"/>
      <c r="P54" s="316">
        <v>6</v>
      </c>
      <c r="Q54" s="325"/>
      <c r="R54" s="312"/>
      <c r="S54" s="317"/>
      <c r="T54" s="208" t="str">
        <f t="shared" si="92"/>
        <v/>
      </c>
      <c r="U54" s="237"/>
      <c r="V54" s="237"/>
      <c r="W54" s="209" t="str">
        <f t="shared" si="93"/>
        <v/>
      </c>
      <c r="X54" s="237"/>
      <c r="Y54" s="237"/>
      <c r="Z54" s="237"/>
      <c r="AA54" s="210" t="str">
        <f t="shared" si="94"/>
        <v/>
      </c>
      <c r="AB54" s="211" t="str">
        <f t="shared" si="88"/>
        <v/>
      </c>
      <c r="AC54" s="209" t="str">
        <f t="shared" si="89"/>
        <v/>
      </c>
      <c r="AD54" s="211" t="str">
        <f t="shared" si="90"/>
        <v/>
      </c>
      <c r="AE54" s="209" t="str">
        <f>IFERROR(IF(AND(T53="Impacto",T54="Impacto"),(AE53-(+AE53*W54)),IF(T54="Impacto",(#REF!-(+#REF!*W54)),IF(T54="Probabilidad",AE53,""))),"")</f>
        <v/>
      </c>
      <c r="AF54" s="212" t="str">
        <f t="shared" si="95"/>
        <v/>
      </c>
      <c r="AG54" s="237"/>
      <c r="AH54" s="319"/>
      <c r="AI54" s="319"/>
      <c r="AJ54" s="319"/>
      <c r="AK54" s="319"/>
      <c r="AL54" s="319"/>
      <c r="AM54" s="312"/>
      <c r="AN54" s="312"/>
      <c r="AO54" s="309"/>
      <c r="AP54" s="216"/>
      <c r="AQ54" s="216"/>
      <c r="AR54" s="277"/>
      <c r="AS54" s="277"/>
      <c r="AT54" s="129"/>
      <c r="AU54" s="129"/>
      <c r="AV54" s="129"/>
      <c r="AW54" s="129"/>
      <c r="AX54" s="129"/>
      <c r="AY54" s="129"/>
      <c r="AZ54" s="129"/>
      <c r="BA54" s="129"/>
      <c r="BB54" s="129"/>
      <c r="BC54" s="129"/>
      <c r="BD54" s="129"/>
      <c r="BE54" s="129"/>
      <c r="BF54" s="129"/>
      <c r="BG54" s="129"/>
      <c r="BH54" s="129"/>
    </row>
    <row r="55" spans="1:60" s="271" customFormat="1" ht="263.45" customHeight="1" x14ac:dyDescent="0.2">
      <c r="A55" s="437" t="s">
        <v>982</v>
      </c>
      <c r="B55" s="438" t="s">
        <v>611</v>
      </c>
      <c r="C55" s="434" t="s">
        <v>620</v>
      </c>
      <c r="D55" s="434" t="s">
        <v>984</v>
      </c>
      <c r="E55" s="435" t="s">
        <v>685</v>
      </c>
      <c r="F55" s="436" t="s">
        <v>983</v>
      </c>
      <c r="G55" s="435" t="s">
        <v>233</v>
      </c>
      <c r="H55" s="435" t="s">
        <v>1079</v>
      </c>
      <c r="I55" s="439">
        <v>4800</v>
      </c>
      <c r="J55" s="430" t="str">
        <f t="shared" ref="J55" si="96">IF(I55&lt;=0,"",IF(I55&lt;=2,"Muy Baja",IF(I55&lt;=24,"Baja",IF(I55&lt;=500,"Media",IF(I55&lt;=5000,"Alta","Muy Alta")))))</f>
        <v>Alta</v>
      </c>
      <c r="K55" s="431">
        <f t="shared" ref="K55" si="97">IF(J55="","",IF(J55="Muy Baja",0.2,IF(J55="Baja",0.4,IF(J55="Media",0.6,IF(J55="Alta",0.8,IF(J55="Muy Alta",1,))))))</f>
        <v>0.8</v>
      </c>
      <c r="L55" s="430">
        <v>4</v>
      </c>
      <c r="M55" s="431" t="str">
        <f>IF(L55=1,"INSIGNIFICANTE",IF(L55=2,"Menor",IF(L55=3,"Moderado",IF(L55=4,"MAYOR",IF(L55=5,"Catastrófico",IF(L55=""," "))))))</f>
        <v>MAYOR</v>
      </c>
      <c r="N55" s="431">
        <f t="shared" ref="N55" si="98">IF(M55="","",IF(M55="Leve",0.2,IF(M55="Menor",0.4,IF(M55="Moderado",0.6,IF(M55="Mayor",0.8,IF(M55="Catastrófico",1,))))))</f>
        <v>0.8</v>
      </c>
      <c r="O55" s="433" t="str">
        <f t="shared" ref="O55" si="99">IF(OR(AND(J55="Muy Baja",M55="Leve"),AND(J55="Muy Baja",J55="Menor"),AND(J55="Baja",M55="Leve")),"Bajo",IF(OR(AND(J55="Muy baja",M55="Moderado"),AND(J55="Baja",M55="Menor"),AND(J55="Baja",M55="Moderado"),AND(J55="Media",M55="Leve"),AND(J55="Media",M55="Menor"),AND(J55="Media",M55="Moderado"),AND(J55="Alta",M55="Leve"),AND(J55="Alta",M55="Menor")),"Moderado",IF(OR(AND(J55="Muy Baja",M55="Mayor"),AND(J55="Baja",M55="Mayor"),AND(J55="Media",M55="Mayor"),AND(J55="Alta",M55="Moderado"),AND(J55="Alta",M55="Mayor"),AND(J55="Muy Alta",M55="Leve"),AND(J55="Muy Alta",M55="Menor"),AND(J55="Muy Alta",M55="Moderado"),AND(J55="Muy Alta",M55="Mayor")),"Alto",IF(OR(AND(J55="Muy Baja",M55="Catastrófico"),AND(J55="Baja",M55="Catastrófico"),AND(J55="Media",M55="Catastrófico"),AND(J55="Alta",M55="Catastrófico"),AND(J55="Muy Alta",M55="Catastrófico")),"Extremo",""))))</f>
        <v>Alto</v>
      </c>
      <c r="P55" s="261">
        <v>1</v>
      </c>
      <c r="Q55" s="328" t="s">
        <v>1080</v>
      </c>
      <c r="R55" s="272" t="s">
        <v>292</v>
      </c>
      <c r="S55" s="317" t="s">
        <v>985</v>
      </c>
      <c r="T55" s="262" t="str">
        <f>IF(OR(U55="Preventivo",U55="Detectivo"),"Probabilidad",IF(U55="Correctivo","Impacto",""))</f>
        <v>Probabilidad</v>
      </c>
      <c r="U55" s="263" t="s">
        <v>13</v>
      </c>
      <c r="V55" s="263" t="s">
        <v>8</v>
      </c>
      <c r="W55" s="264" t="str">
        <f t="shared" si="82"/>
        <v>40%</v>
      </c>
      <c r="X55" s="263" t="s">
        <v>18</v>
      </c>
      <c r="Y55" s="263" t="s">
        <v>21</v>
      </c>
      <c r="Z55" s="263" t="s">
        <v>103</v>
      </c>
      <c r="AA55" s="265">
        <f>IFERROR(IF(T55="Probabilidad",(K55-(+K55*W55)),IF(T55="Impacto",K55,"")),"")</f>
        <v>0.48</v>
      </c>
      <c r="AB55" s="266" t="str">
        <f>IFERROR(IF(AA55="","",IF(AA55&lt;=0.2,"Muy Baja",IF(AA55&lt;=0.4,"Baja",IF(AA55&lt;=0.6,"Media",IF(AA55&lt;=0.8,"Alta","Muy Alta"))))),"")</f>
        <v>Media</v>
      </c>
      <c r="AC55" s="264">
        <f>+AA55</f>
        <v>0.48</v>
      </c>
      <c r="AD55" s="266" t="str">
        <f>IFERROR(IF(AE55="","",IF(AE55&lt;=0.2,"Leve",IF(AE55&lt;=0.4,"Menor",IF(AE55&lt;=0.6,"Moderado",IF(AE55&lt;=0.8,"Mayor","Catastrófico"))))),"")</f>
        <v>Mayor</v>
      </c>
      <c r="AE55" s="264">
        <f>IFERROR(IF(T55="Impacto",(N55-(+N55*W55)),IF(T55="Probabilidad",N55,"")),"")</f>
        <v>0.8</v>
      </c>
      <c r="AF55" s="267" t="str">
        <f>IFERROR(IF(OR(AND(AB55="Muy Baja",AD55="Leve"),AND(AB55="Muy Baja",AD55="Menor"),AND(AB55="Baja",AD55="Leve")),"Bajo",IF(OR(AND(AB55="Muy baja",AD55="Moderado"),AND(AB55="Baja",AD55="Menor"),AND(AB55="Baja",AD55="Moderado"),AND(AB55="Media",AD55="Leve"),AND(AB55="Media",AD55="Menor"),AND(AB55="Media",AD55="Moderado"),AND(AB55="Alta",AD55="Leve"),AND(AB55="Alta",AD55="Menor")),"Moderado",IF(OR(AND(AB55="Muy Baja",AD55="Mayor"),AND(AB55="Baja",AD55="Mayor"),AND(AB55="Media",AD55="Mayor"),AND(AB55="Alta",AD55="Moderado"),AND(AB55="Alta",AD55="Mayor"),AND(AB55="Muy Alta",AD55="Leve"),AND(AB55="Muy Alta",AD55="Menor"),AND(AB55="Muy Alta",AD55="Moderado"),AND(AB55="Muy Alta",AD55="Mayor")),"Alto",IF(OR(AND(AB55="Muy Baja",AD55="Catastrófico"),AND(AB55="Baja",AD55="Catastrófico"),AND(AB55="Media",AD55="Catastrófico"),AND(AB55="Alta",AD55="Catastrófico"),AND(AB55="Muy Alta",AD55="Catastrófico")),"Extremo","")))),"")</f>
        <v>Alto</v>
      </c>
      <c r="AG55" s="263" t="s">
        <v>26</v>
      </c>
      <c r="AH55" s="319">
        <v>4</v>
      </c>
      <c r="AI55" s="319">
        <v>1</v>
      </c>
      <c r="AJ55" s="319">
        <v>1</v>
      </c>
      <c r="AK55" s="319">
        <v>1</v>
      </c>
      <c r="AL55" s="319">
        <v>1</v>
      </c>
      <c r="AM55" s="268"/>
      <c r="AN55" s="268"/>
      <c r="AO55" s="258"/>
      <c r="AP55" s="269"/>
      <c r="AQ55" s="270"/>
      <c r="AR55" s="276"/>
      <c r="AS55" s="276"/>
    </row>
    <row r="56" spans="1:60" s="113" customFormat="1" ht="15" hidden="1" customHeight="1" x14ac:dyDescent="0.2">
      <c r="A56" s="437"/>
      <c r="B56" s="438"/>
      <c r="C56" s="434"/>
      <c r="D56" s="434"/>
      <c r="E56" s="435"/>
      <c r="F56" s="436"/>
      <c r="G56" s="435"/>
      <c r="H56" s="435"/>
      <c r="I56" s="439"/>
      <c r="J56" s="430"/>
      <c r="K56" s="431"/>
      <c r="L56" s="430"/>
      <c r="M56" s="431"/>
      <c r="N56" s="431"/>
      <c r="O56" s="433"/>
      <c r="P56" s="316">
        <v>2</v>
      </c>
      <c r="Q56" s="325"/>
      <c r="R56" s="312"/>
      <c r="S56" s="317"/>
      <c r="T56" s="208" t="str">
        <f>IF(OR(U56="Preventivo",U56="Detectivo"),"Probabilidad",IF(U56="Correctivo","Impacto",""))</f>
        <v/>
      </c>
      <c r="U56" s="237"/>
      <c r="V56" s="237"/>
      <c r="W56" s="209" t="str">
        <f t="shared" si="82"/>
        <v/>
      </c>
      <c r="X56" s="237"/>
      <c r="Y56" s="237"/>
      <c r="Z56" s="237"/>
      <c r="AA56" s="210" t="str">
        <f>IFERROR(IF(AND(T55="Probabilidad",T56="Probabilidad"),(AC55-(+AC55*W56)),IF(T56="Probabilidad",(K55-(+K55*W56)),IF(T56="Impacto",AC55,""))),"")</f>
        <v/>
      </c>
      <c r="AB56" s="211" t="str">
        <f t="shared" ref="AB56:AB60" si="100">IFERROR(IF(AA56="","",IF(AA56&lt;=0.2,"Muy Baja",IF(AA56&lt;=0.4,"Baja",IF(AA56&lt;=0.6,"Media",IF(AA56&lt;=0.8,"Alta","Muy Alta"))))),"")</f>
        <v/>
      </c>
      <c r="AC56" s="209" t="str">
        <f t="shared" ref="AC56:AC60" si="101">+AA56</f>
        <v/>
      </c>
      <c r="AD56" s="211" t="str">
        <f t="shared" ref="AD56:AD60" si="102">IFERROR(IF(AE56="","",IF(AE56&lt;=0.2,"Leve",IF(AE56&lt;=0.4,"Menor",IF(AE56&lt;=0.6,"Moderado",IF(AE56&lt;=0.8,"Mayor","Catastrófico"))))),"")</f>
        <v/>
      </c>
      <c r="AE56" s="209" t="str">
        <f>IFERROR(IF(AND(T55="Impacto",T56="Impacto"),(AE55-(+AE55*W56)),IF(T56="Impacto",(#REF!-(+#REF!*W56)),IF(T56="Probabilidad",AE55,""))),"")</f>
        <v/>
      </c>
      <c r="AF56" s="212" t="str">
        <f t="shared" ref="AF56:AF57" si="103">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237"/>
      <c r="AH56" s="319"/>
      <c r="AI56" s="319"/>
      <c r="AJ56" s="319"/>
      <c r="AK56" s="319"/>
      <c r="AL56" s="319"/>
      <c r="AM56" s="311"/>
      <c r="AN56" s="311"/>
      <c r="AO56" s="259"/>
      <c r="AP56" s="220"/>
      <c r="AQ56" s="311"/>
      <c r="AR56" s="277"/>
      <c r="AS56" s="277"/>
      <c r="AT56" s="129"/>
      <c r="AU56" s="129"/>
      <c r="AV56" s="129"/>
      <c r="AW56" s="129"/>
      <c r="AX56" s="129"/>
      <c r="AY56" s="129"/>
      <c r="AZ56" s="129"/>
      <c r="BA56" s="129"/>
      <c r="BB56" s="129"/>
      <c r="BC56" s="129"/>
      <c r="BD56" s="129"/>
      <c r="BE56" s="129"/>
      <c r="BF56" s="129"/>
      <c r="BG56" s="129"/>
      <c r="BH56" s="129"/>
    </row>
    <row r="57" spans="1:60" s="113" customFormat="1" ht="15" hidden="1" customHeight="1" x14ac:dyDescent="0.2">
      <c r="A57" s="437"/>
      <c r="B57" s="438"/>
      <c r="C57" s="434"/>
      <c r="D57" s="434"/>
      <c r="E57" s="435"/>
      <c r="F57" s="436"/>
      <c r="G57" s="435"/>
      <c r="H57" s="435"/>
      <c r="I57" s="439"/>
      <c r="J57" s="430"/>
      <c r="K57" s="431"/>
      <c r="L57" s="430"/>
      <c r="M57" s="431"/>
      <c r="N57" s="431"/>
      <c r="O57" s="433"/>
      <c r="P57" s="316">
        <v>3</v>
      </c>
      <c r="Q57" s="330"/>
      <c r="R57" s="312"/>
      <c r="S57" s="317"/>
      <c r="T57" s="208" t="str">
        <f>IF(OR(U57="Preventivo",U57="Detectivo"),"Probabilidad",IF(U57="Correctivo","Impacto",""))</f>
        <v/>
      </c>
      <c r="U57" s="237"/>
      <c r="V57" s="237"/>
      <c r="W57" s="209" t="str">
        <f>IF(AND(U57="Preventivo",V57="Automático"),"50%",IF(AND(U57="Preventivo",V57="Manual"),"40%",IF(AND(U57="Detectivo",V57="Automático"),"40%",IF(AND(U57="Detectivo",V57="Manual"),"30%",IF(AND(U57="Correctivo",V57="Automático"),"35%",IF(AND(U57="Correctivo",V57="Manual"),"25%",""))))))</f>
        <v/>
      </c>
      <c r="X57" s="237"/>
      <c r="Y57" s="237"/>
      <c r="Z57" s="237"/>
      <c r="AA57" s="210" t="str">
        <f t="shared" ref="AA57:AA60" si="104">IFERROR(IF(AND(T56="Probabilidad",T57="Probabilidad"),(AC56-(+AC56*W57)),IF(AND(T56="Impacto",T57="Probabilidad"),(AC55-(+AC55*W57)),IF(T57="Impacto",AC56,""))),"")</f>
        <v/>
      </c>
      <c r="AB57" s="211" t="str">
        <f t="shared" si="100"/>
        <v/>
      </c>
      <c r="AC57" s="209" t="str">
        <f t="shared" si="101"/>
        <v/>
      </c>
      <c r="AD57" s="211" t="str">
        <f t="shared" si="102"/>
        <v/>
      </c>
      <c r="AE57" s="209" t="str">
        <f>IFERROR(IF(AND(T56="Impacto",T57="Impacto"),(AE56-(+AE56*W57)),IF(T57="Impacto",(#REF!-(+#REF!*W57)),IF(T57="Probabilidad",AE56,""))),"")</f>
        <v/>
      </c>
      <c r="AF57" s="212" t="str">
        <f t="shared" si="103"/>
        <v/>
      </c>
      <c r="AG57" s="237"/>
      <c r="AH57" s="319"/>
      <c r="AI57" s="319"/>
      <c r="AJ57" s="319"/>
      <c r="AK57" s="319"/>
      <c r="AL57" s="319"/>
      <c r="AM57" s="311"/>
      <c r="AN57" s="311"/>
      <c r="AO57" s="259"/>
      <c r="AP57" s="220"/>
      <c r="AQ57" s="311"/>
      <c r="AR57" s="277"/>
      <c r="AS57" s="277"/>
      <c r="AT57" s="129"/>
      <c r="AU57" s="129"/>
      <c r="AV57" s="129"/>
      <c r="AW57" s="129"/>
      <c r="AX57" s="129"/>
      <c r="AY57" s="129"/>
      <c r="AZ57" s="129"/>
      <c r="BA57" s="129"/>
      <c r="BB57" s="129"/>
      <c r="BC57" s="129"/>
      <c r="BD57" s="129"/>
      <c r="BE57" s="129"/>
      <c r="BF57" s="129"/>
      <c r="BG57" s="129"/>
      <c r="BH57" s="129"/>
    </row>
    <row r="58" spans="1:60" s="113" customFormat="1" ht="15" hidden="1" customHeight="1" x14ac:dyDescent="0.2">
      <c r="A58" s="437"/>
      <c r="B58" s="438"/>
      <c r="C58" s="434"/>
      <c r="D58" s="434"/>
      <c r="E58" s="435"/>
      <c r="F58" s="436"/>
      <c r="G58" s="435"/>
      <c r="H58" s="435"/>
      <c r="I58" s="439"/>
      <c r="J58" s="430"/>
      <c r="K58" s="431"/>
      <c r="L58" s="430"/>
      <c r="M58" s="431"/>
      <c r="N58" s="431"/>
      <c r="O58" s="433"/>
      <c r="P58" s="316">
        <v>4</v>
      </c>
      <c r="Q58" s="325"/>
      <c r="R58" s="312"/>
      <c r="S58" s="317"/>
      <c r="T58" s="208" t="str">
        <f t="shared" ref="T58:T60" si="105">IF(OR(U58="Preventivo",U58="Detectivo"),"Probabilidad",IF(U58="Correctivo","Impacto",""))</f>
        <v/>
      </c>
      <c r="U58" s="237"/>
      <c r="V58" s="237"/>
      <c r="W58" s="209" t="str">
        <f t="shared" ref="W58:W60" si="106">IF(AND(U58="Preventivo",V58="Automático"),"50%",IF(AND(U58="Preventivo",V58="Manual"),"40%",IF(AND(U58="Detectivo",V58="Automático"),"40%",IF(AND(U58="Detectivo",V58="Manual"),"30%",IF(AND(U58="Correctivo",V58="Automático"),"35%",IF(AND(U58="Correctivo",V58="Manual"),"25%",""))))))</f>
        <v/>
      </c>
      <c r="X58" s="237"/>
      <c r="Y58" s="237"/>
      <c r="Z58" s="237"/>
      <c r="AA58" s="210" t="str">
        <f t="shared" si="104"/>
        <v/>
      </c>
      <c r="AB58" s="211" t="str">
        <f t="shared" si="100"/>
        <v/>
      </c>
      <c r="AC58" s="209" t="str">
        <f t="shared" si="101"/>
        <v/>
      </c>
      <c r="AD58" s="211" t="str">
        <f t="shared" si="102"/>
        <v/>
      </c>
      <c r="AE58" s="209" t="str">
        <f>IFERROR(IF(AND(T57="Impacto",T58="Impacto"),(AE57-(+AE57*W58)),IF(T58="Impacto",(#REF!-(+#REF!*W58)),IF(T58="Probabilidad",AE57,""))),"")</f>
        <v/>
      </c>
      <c r="AF58" s="212" t="str">
        <f>IFERROR(IF(OR(AND(AB58="Muy Baja",AD58="Leve"),AND(AB58="Muy Baja",AD58="Menor"),AND(AB58="Baja",AD58="Leve")),"Bajo",IF(OR(AND(AB58="Muy baja",AD58="Moderado"),AND(AB58="Baja",AD58="Menor"),AND(AB58="Baja",AD58="Moderado"),AND(AB58="Media",AD58="Leve"),AND(AB58="Media",AD58="Menor"),AND(AB58="Media",AD58="Moderado"),AND(AB58="Alta",AD58="Leve"),AND(AB58="Alta",AD58="Menor")),"Moderado",IF(OR(AND(AB58="Muy Baja",AD58="Mayor"),AND(AB58="Baja",AD58="Mayor"),AND(AB58="Media",AD58="Mayor"),AND(AB58="Alta",AD58="Moderado"),AND(AB58="Alta",AD58="Mayor"),AND(AB58="Muy Alta",AD58="Leve"),AND(AB58="Muy Alta",AD58="Menor"),AND(AB58="Muy Alta",AD58="Moderado"),AND(AB58="Muy Alta",AD58="Mayor")),"Alto",IF(OR(AND(AB58="Muy Baja",AD58="Catastrófico"),AND(AB58="Baja",AD58="Catastrófico"),AND(AB58="Media",AD58="Catastrófico"),AND(AB58="Alta",AD58="Catastrófico"),AND(AB58="Muy Alta",AD58="Catastrófico")),"Extremo","")))),"")</f>
        <v/>
      </c>
      <c r="AG58" s="237"/>
      <c r="AH58" s="319"/>
      <c r="AI58" s="319"/>
      <c r="AJ58" s="319"/>
      <c r="AK58" s="319"/>
      <c r="AL58" s="319"/>
      <c r="AM58" s="213"/>
      <c r="AN58" s="213"/>
      <c r="AO58" s="316"/>
      <c r="AP58" s="220"/>
      <c r="AQ58" s="213"/>
      <c r="AR58" s="277"/>
      <c r="AS58" s="277"/>
      <c r="AT58" s="129"/>
      <c r="AU58" s="129"/>
      <c r="AV58" s="129"/>
      <c r="AW58" s="129"/>
      <c r="AX58" s="129"/>
      <c r="AY58" s="129"/>
      <c r="AZ58" s="129"/>
      <c r="BA58" s="129"/>
      <c r="BB58" s="129"/>
      <c r="BC58" s="129"/>
      <c r="BD58" s="129"/>
      <c r="BE58" s="129"/>
      <c r="BF58" s="129"/>
      <c r="BG58" s="129"/>
      <c r="BH58" s="129"/>
    </row>
    <row r="59" spans="1:60" s="113" customFormat="1" ht="15" hidden="1" customHeight="1" x14ac:dyDescent="0.2">
      <c r="A59" s="437"/>
      <c r="B59" s="438"/>
      <c r="C59" s="434"/>
      <c r="D59" s="434"/>
      <c r="E59" s="435"/>
      <c r="F59" s="436"/>
      <c r="G59" s="435"/>
      <c r="H59" s="435"/>
      <c r="I59" s="439"/>
      <c r="J59" s="430"/>
      <c r="K59" s="431"/>
      <c r="L59" s="430"/>
      <c r="M59" s="431"/>
      <c r="N59" s="431"/>
      <c r="O59" s="433"/>
      <c r="P59" s="316">
        <v>5</v>
      </c>
      <c r="Q59" s="325"/>
      <c r="R59" s="312"/>
      <c r="S59" s="317"/>
      <c r="T59" s="208" t="str">
        <f t="shared" si="105"/>
        <v/>
      </c>
      <c r="U59" s="237"/>
      <c r="V59" s="237"/>
      <c r="W59" s="209" t="str">
        <f t="shared" si="106"/>
        <v/>
      </c>
      <c r="X59" s="237"/>
      <c r="Y59" s="237"/>
      <c r="Z59" s="237"/>
      <c r="AA59" s="210" t="str">
        <f t="shared" si="104"/>
        <v/>
      </c>
      <c r="AB59" s="211" t="str">
        <f t="shared" si="100"/>
        <v/>
      </c>
      <c r="AC59" s="209" t="str">
        <f t="shared" si="101"/>
        <v/>
      </c>
      <c r="AD59" s="211" t="str">
        <f t="shared" si="102"/>
        <v/>
      </c>
      <c r="AE59" s="209" t="str">
        <f>IFERROR(IF(AND(T58="Impacto",T59="Impacto"),(AE58-(+AE58*W59)),IF(T59="Impacto",(#REF!-(+#REF!*W59)),IF(T59="Probabilidad",AE58,""))),"")</f>
        <v/>
      </c>
      <c r="AF59" s="212" t="str">
        <f t="shared" ref="AF59:AF60" si="10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237"/>
      <c r="AH59" s="319"/>
      <c r="AI59" s="319"/>
      <c r="AJ59" s="319"/>
      <c r="AK59" s="319"/>
      <c r="AL59" s="319"/>
      <c r="AM59" s="312"/>
      <c r="AN59" s="312"/>
      <c r="AO59" s="309"/>
      <c r="AP59" s="216"/>
      <c r="AQ59" s="216"/>
      <c r="AR59" s="277"/>
      <c r="AS59" s="277"/>
      <c r="AT59" s="129"/>
      <c r="AU59" s="129"/>
      <c r="AV59" s="129"/>
      <c r="AW59" s="129"/>
      <c r="AX59" s="129"/>
      <c r="AY59" s="129"/>
      <c r="AZ59" s="129"/>
      <c r="BA59" s="129"/>
      <c r="BB59" s="129"/>
      <c r="BC59" s="129"/>
      <c r="BD59" s="129"/>
      <c r="BE59" s="129"/>
      <c r="BF59" s="129"/>
      <c r="BG59" s="129"/>
      <c r="BH59" s="129"/>
    </row>
    <row r="60" spans="1:60" s="113" customFormat="1" ht="15" hidden="1" customHeight="1" x14ac:dyDescent="0.2">
      <c r="A60" s="437"/>
      <c r="B60" s="438"/>
      <c r="C60" s="434"/>
      <c r="D60" s="434"/>
      <c r="E60" s="435"/>
      <c r="F60" s="436"/>
      <c r="G60" s="435"/>
      <c r="H60" s="435"/>
      <c r="I60" s="439"/>
      <c r="J60" s="430"/>
      <c r="K60" s="431"/>
      <c r="L60" s="430"/>
      <c r="M60" s="431"/>
      <c r="N60" s="431"/>
      <c r="O60" s="433"/>
      <c r="P60" s="316">
        <v>6</v>
      </c>
      <c r="Q60" s="325"/>
      <c r="R60" s="312"/>
      <c r="S60" s="317"/>
      <c r="T60" s="208" t="str">
        <f t="shared" si="105"/>
        <v/>
      </c>
      <c r="U60" s="237"/>
      <c r="V60" s="237"/>
      <c r="W60" s="209" t="str">
        <f t="shared" si="106"/>
        <v/>
      </c>
      <c r="X60" s="237"/>
      <c r="Y60" s="237"/>
      <c r="Z60" s="237"/>
      <c r="AA60" s="210" t="str">
        <f t="shared" si="104"/>
        <v/>
      </c>
      <c r="AB60" s="211" t="str">
        <f t="shared" si="100"/>
        <v/>
      </c>
      <c r="AC60" s="209" t="str">
        <f t="shared" si="101"/>
        <v/>
      </c>
      <c r="AD60" s="211" t="str">
        <f t="shared" si="102"/>
        <v/>
      </c>
      <c r="AE60" s="209" t="str">
        <f>IFERROR(IF(AND(T59="Impacto",T60="Impacto"),(AE59-(+AE59*W60)),IF(T60="Impacto",(#REF!-(+#REF!*W60)),IF(T60="Probabilidad",AE59,""))),"")</f>
        <v/>
      </c>
      <c r="AF60" s="212" t="str">
        <f t="shared" si="107"/>
        <v/>
      </c>
      <c r="AG60" s="237"/>
      <c r="AH60" s="319"/>
      <c r="AI60" s="319"/>
      <c r="AJ60" s="319"/>
      <c r="AK60" s="319"/>
      <c r="AL60" s="319"/>
      <c r="AM60" s="312"/>
      <c r="AN60" s="312"/>
      <c r="AO60" s="309"/>
      <c r="AP60" s="216"/>
      <c r="AQ60" s="216"/>
      <c r="AR60" s="277"/>
      <c r="AS60" s="277"/>
      <c r="AT60" s="129"/>
      <c r="AU60" s="129"/>
      <c r="AV60" s="129"/>
      <c r="AW60" s="129"/>
      <c r="AX60" s="129"/>
      <c r="AY60" s="129"/>
      <c r="AZ60" s="129"/>
      <c r="BA60" s="129"/>
      <c r="BB60" s="129"/>
      <c r="BC60" s="129"/>
      <c r="BD60" s="129"/>
      <c r="BE60" s="129"/>
      <c r="BF60" s="129"/>
      <c r="BG60" s="129"/>
      <c r="BH60" s="129"/>
    </row>
    <row r="61" spans="1:60" s="271" customFormat="1" ht="181.9" customHeight="1" x14ac:dyDescent="0.2">
      <c r="A61" s="437" t="s">
        <v>720</v>
      </c>
      <c r="B61" s="438" t="s">
        <v>288</v>
      </c>
      <c r="C61" s="434" t="s">
        <v>620</v>
      </c>
      <c r="D61" s="434" t="s">
        <v>729</v>
      </c>
      <c r="E61" s="435" t="s">
        <v>685</v>
      </c>
      <c r="F61" s="436" t="s">
        <v>728</v>
      </c>
      <c r="G61" s="435" t="s">
        <v>233</v>
      </c>
      <c r="H61" s="435" t="s">
        <v>849</v>
      </c>
      <c r="I61" s="439">
        <v>1000</v>
      </c>
      <c r="J61" s="430" t="str">
        <f t="shared" ref="J61:J103" si="108">IF(I61&lt;=0,"",IF(I61&lt;=2,"Muy Baja",IF(I61&lt;=24,"Baja",IF(I61&lt;=500,"Media",IF(I61&lt;=5000,"Alta","Muy Alta")))))</f>
        <v>Alta</v>
      </c>
      <c r="K61" s="431">
        <f t="shared" ref="K61" si="109">IF(J61="","",IF(J61="Muy Baja",0.2,IF(J61="Baja",0.4,IF(J61="Media",0.6,IF(J61="Alta",0.8,IF(J61="Muy Alta",1,))))))</f>
        <v>0.8</v>
      </c>
      <c r="L61" s="430">
        <v>3</v>
      </c>
      <c r="M61" s="431" t="str">
        <f>IF(L61=1,"INSIGNIFICANTE",IF(L61=2,"Menor",IF(L61=3,"Moderado",IF(L61=4,"MAYOR",IF(L61=5,"Catastrófico",IF(L61=""," "))))))</f>
        <v>Moderado</v>
      </c>
      <c r="N61" s="431">
        <f t="shared" ref="N61" si="110">IF(M61="","",IF(M61="Leve",0.2,IF(M61="Menor",0.4,IF(M61="Moderado",0.6,IF(M61="Mayor",0.8,IF(M61="Catastrófico",1,))))))</f>
        <v>0.6</v>
      </c>
      <c r="O61" s="433" t="str">
        <f t="shared" ref="O61" si="111">IF(OR(AND(J61="Muy Baja",M61="Leve"),AND(J61="Muy Baja",J61="Menor"),AND(J61="Baja",M61="Leve")),"Bajo",IF(OR(AND(J61="Muy baja",M61="Moderado"),AND(J61="Baja",M61="Menor"),AND(J61="Baja",M61="Moderado"),AND(J61="Media",M61="Leve"),AND(J61="Media",M61="Menor"),AND(J61="Media",M61="Moderado"),AND(J61="Alta",M61="Leve"),AND(J61="Alta",M61="Menor")),"Moderado",IF(OR(AND(J61="Muy Baja",M61="Mayor"),AND(J61="Baja",M61="Mayor"),AND(J61="Media",M61="Mayor"),AND(J61="Alta",M61="Moderado"),AND(J61="Alta",M61="Mayor"),AND(J61="Muy Alta",M61="Leve"),AND(J61="Muy Alta",M61="Menor"),AND(J61="Muy Alta",M61="Moderado"),AND(J61="Muy Alta",M61="Mayor")),"Alto",IF(OR(AND(J61="Muy Baja",M61="Catastrófico"),AND(J61="Baja",M61="Catastrófico"),AND(J61="Media",M61="Catastrófico"),AND(J61="Alta",M61="Catastrófico"),AND(J61="Muy Alta",M61="Catastrófico")),"Extremo",""))))</f>
        <v>Alto</v>
      </c>
      <c r="P61" s="261">
        <v>1</v>
      </c>
      <c r="Q61" s="328" t="s">
        <v>730</v>
      </c>
      <c r="R61" s="272" t="s">
        <v>292</v>
      </c>
      <c r="S61" s="317" t="s">
        <v>731</v>
      </c>
      <c r="T61" s="262" t="str">
        <f>IF(OR(U61="Preventivo",U61="Detectivo"),"Probabilidad",IF(U61="Correctivo","Impacto",""))</f>
        <v>Probabilidad</v>
      </c>
      <c r="U61" s="263" t="s">
        <v>13</v>
      </c>
      <c r="V61" s="263" t="s">
        <v>8</v>
      </c>
      <c r="W61" s="264" t="str">
        <f t="shared" si="8"/>
        <v>40%</v>
      </c>
      <c r="X61" s="263" t="s">
        <v>18</v>
      </c>
      <c r="Y61" s="263" t="s">
        <v>21</v>
      </c>
      <c r="Z61" s="263" t="s">
        <v>103</v>
      </c>
      <c r="AA61" s="265">
        <f>IFERROR(IF(T61="Probabilidad",(K61-(+K61*W61)),IF(T61="Impacto",K61,"")),"")</f>
        <v>0.48</v>
      </c>
      <c r="AB61" s="266" t="str">
        <f>IFERROR(IF(AA61="","",IF(AA61&lt;=0.2,"Muy Baja",IF(AA61&lt;=0.4,"Baja",IF(AA61&lt;=0.6,"Media",IF(AA61&lt;=0.8,"Alta","Muy Alta"))))),"")</f>
        <v>Media</v>
      </c>
      <c r="AC61" s="264">
        <f>+AA61</f>
        <v>0.48</v>
      </c>
      <c r="AD61" s="266" t="str">
        <f>IFERROR(IF(AE61="","",IF(AE61&lt;=0.2,"Leve",IF(AE61&lt;=0.4,"Menor",IF(AE61&lt;=0.6,"Moderado",IF(AE61&lt;=0.8,"Mayor","Catastrófico"))))),"")</f>
        <v>Moderado</v>
      </c>
      <c r="AE61" s="264">
        <f>IFERROR(IF(T61="Impacto",(N61-(+N61*W61)),IF(T61="Probabilidad",N61,"")),"")</f>
        <v>0.6</v>
      </c>
      <c r="AF61" s="267" t="str">
        <f>IFERROR(IF(OR(AND(AB61="Muy Baja",AD61="Leve"),AND(AB61="Muy Baja",AD61="Menor"),AND(AB61="Baja",AD61="Leve")),"Bajo",IF(OR(AND(AB61="Muy baja",AD61="Moderado"),AND(AB61="Baja",AD61="Menor"),AND(AB61="Baja",AD61="Moderado"),AND(AB61="Media",AD61="Leve"),AND(AB61="Media",AD61="Menor"),AND(AB61="Media",AD61="Moderado"),AND(AB61="Alta",AD61="Leve"),AND(AB61="Alta",AD61="Menor")),"Moderado",IF(OR(AND(AB61="Muy Baja",AD61="Mayor"),AND(AB61="Baja",AD61="Mayor"),AND(AB61="Media",AD61="Mayor"),AND(AB61="Alta",AD61="Moderado"),AND(AB61="Alta",AD61="Mayor"),AND(AB61="Muy Alta",AD61="Leve"),AND(AB61="Muy Alta",AD61="Menor"),AND(AB61="Muy Alta",AD61="Moderado"),AND(AB61="Muy Alta",AD61="Mayor")),"Alto",IF(OR(AND(AB61="Muy Baja",AD61="Catastrófico"),AND(AB61="Baja",AD61="Catastrófico"),AND(AB61="Media",AD61="Catastrófico"),AND(AB61="Alta",AD61="Catastrófico"),AND(AB61="Muy Alta",AD61="Catastrófico")),"Extremo","")))),"")</f>
        <v>Moderado</v>
      </c>
      <c r="AG61" s="263" t="s">
        <v>26</v>
      </c>
      <c r="AH61" s="291">
        <v>0</v>
      </c>
      <c r="AI61" s="291">
        <v>0</v>
      </c>
      <c r="AJ61" s="291">
        <v>0</v>
      </c>
      <c r="AK61" s="291">
        <v>0</v>
      </c>
      <c r="AL61" s="291">
        <v>0</v>
      </c>
      <c r="AM61" s="268"/>
      <c r="AN61" s="268"/>
      <c r="AO61" s="258"/>
      <c r="AP61" s="269"/>
      <c r="AQ61" s="270"/>
      <c r="AR61" s="276"/>
      <c r="AS61" s="276"/>
    </row>
    <row r="62" spans="1:60" s="113" customFormat="1" ht="99.75" x14ac:dyDescent="0.2">
      <c r="A62" s="437"/>
      <c r="B62" s="438"/>
      <c r="C62" s="434"/>
      <c r="D62" s="434"/>
      <c r="E62" s="435"/>
      <c r="F62" s="436"/>
      <c r="G62" s="435"/>
      <c r="H62" s="435"/>
      <c r="I62" s="439"/>
      <c r="J62" s="430"/>
      <c r="K62" s="431"/>
      <c r="L62" s="430"/>
      <c r="M62" s="431"/>
      <c r="N62" s="431"/>
      <c r="O62" s="433"/>
      <c r="P62" s="316">
        <v>2</v>
      </c>
      <c r="Q62" s="325" t="s">
        <v>732</v>
      </c>
      <c r="R62" s="312" t="s">
        <v>293</v>
      </c>
      <c r="S62" s="317" t="s">
        <v>733</v>
      </c>
      <c r="T62" s="208" t="str">
        <f>IF(OR(U62="Preventivo",U62="Detectivo"),"Probabilidad",IF(U62="Correctivo","Impacto",""))</f>
        <v>Probabilidad</v>
      </c>
      <c r="U62" s="237" t="s">
        <v>13</v>
      </c>
      <c r="V62" s="237" t="s">
        <v>8</v>
      </c>
      <c r="W62" s="209" t="str">
        <f t="shared" si="8"/>
        <v>40%</v>
      </c>
      <c r="X62" s="237" t="s">
        <v>18</v>
      </c>
      <c r="Y62" s="237" t="s">
        <v>21</v>
      </c>
      <c r="Z62" s="237" t="s">
        <v>103</v>
      </c>
      <c r="AA62" s="210">
        <f>IFERROR(IF(AND(T61="Probabilidad",T62="Probabilidad"),(AC61-(+AC61*W62)),IF(T62="Probabilidad",(K61-(+K61*W62)),IF(T62="Impacto",AC61,""))),"")</f>
        <v>0.28799999999999998</v>
      </c>
      <c r="AB62" s="211" t="str">
        <f t="shared" ref="AB62:AB66" si="112">IFERROR(IF(AA62="","",IF(AA62&lt;=0.2,"Muy Baja",IF(AA62&lt;=0.4,"Baja",IF(AA62&lt;=0.6,"Media",IF(AA62&lt;=0.8,"Alta","Muy Alta"))))),"")</f>
        <v>Baja</v>
      </c>
      <c r="AC62" s="209">
        <f t="shared" ref="AC62:AC66" si="113">+AA62</f>
        <v>0.28799999999999998</v>
      </c>
      <c r="AD62" s="211" t="str">
        <f t="shared" ref="AD62:AD66" si="114">IFERROR(IF(AE62="","",IF(AE62&lt;=0.2,"Leve",IF(AE62&lt;=0.4,"Menor",IF(AE62&lt;=0.6,"Moderado",IF(AE62&lt;=0.8,"Mayor","Catastrófico"))))),"")</f>
        <v>Moderado</v>
      </c>
      <c r="AE62" s="209">
        <f>IFERROR(IF(AND(T61="Impacto",T62="Impacto"),(AE61-(+AE61*W62)),IF(T62="Impacto",(#REF!-(+#REF!*W62)),IF(T62="Probabilidad",AE61,""))),"")</f>
        <v>0.6</v>
      </c>
      <c r="AF62" s="212" t="str">
        <f t="shared" ref="AF62:AF63" si="115">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Moderado</v>
      </c>
      <c r="AG62" s="237" t="s">
        <v>26</v>
      </c>
      <c r="AH62" s="291">
        <v>0</v>
      </c>
      <c r="AI62" s="291">
        <v>0</v>
      </c>
      <c r="AJ62" s="291">
        <v>0</v>
      </c>
      <c r="AK62" s="291">
        <v>0</v>
      </c>
      <c r="AL62" s="291">
        <v>0</v>
      </c>
      <c r="AM62" s="254"/>
      <c r="AN62" s="254"/>
      <c r="AO62" s="259"/>
      <c r="AP62" s="220"/>
      <c r="AQ62" s="254"/>
      <c r="AR62" s="277"/>
      <c r="AS62" s="277"/>
      <c r="AT62" s="129"/>
      <c r="AU62" s="129"/>
      <c r="AV62" s="129"/>
      <c r="AW62" s="129"/>
      <c r="AX62" s="129"/>
      <c r="AY62" s="129"/>
      <c r="AZ62" s="129"/>
      <c r="BA62" s="129"/>
      <c r="BB62" s="129"/>
      <c r="BC62" s="129"/>
      <c r="BD62" s="129"/>
      <c r="BE62" s="129"/>
      <c r="BF62" s="129"/>
      <c r="BG62" s="129"/>
      <c r="BH62" s="129"/>
    </row>
    <row r="63" spans="1:60" s="113" customFormat="1" ht="30.75" hidden="1" customHeight="1" x14ac:dyDescent="0.2">
      <c r="A63" s="437"/>
      <c r="B63" s="438"/>
      <c r="C63" s="434"/>
      <c r="D63" s="434"/>
      <c r="E63" s="435"/>
      <c r="F63" s="436"/>
      <c r="G63" s="435"/>
      <c r="H63" s="435"/>
      <c r="I63" s="439"/>
      <c r="J63" s="430"/>
      <c r="K63" s="431"/>
      <c r="L63" s="430"/>
      <c r="M63" s="431"/>
      <c r="N63" s="431"/>
      <c r="O63" s="433"/>
      <c r="P63" s="316">
        <v>3</v>
      </c>
      <c r="Q63" s="330"/>
      <c r="R63" s="312"/>
      <c r="S63" s="317"/>
      <c r="T63" s="208" t="str">
        <f>IF(OR(U63="Preventivo",U63="Detectivo"),"Probabilidad",IF(U63="Correctivo","Impacto",""))</f>
        <v/>
      </c>
      <c r="U63" s="237"/>
      <c r="V63" s="237"/>
      <c r="W63" s="209" t="str">
        <f>IF(AND(U63="Preventivo",V63="Automático"),"50%",IF(AND(U63="Preventivo",V63="Manual"),"40%",IF(AND(U63="Detectivo",V63="Automático"),"40%",IF(AND(U63="Detectivo",V63="Manual"),"30%",IF(AND(U63="Correctivo",V63="Automático"),"35%",IF(AND(U63="Correctivo",V63="Manual"),"25%",""))))))</f>
        <v/>
      </c>
      <c r="X63" s="237"/>
      <c r="Y63" s="237"/>
      <c r="Z63" s="237"/>
      <c r="AA63" s="210" t="str">
        <f t="shared" ref="AA63:AA66" si="116">IFERROR(IF(AND(T62="Probabilidad",T63="Probabilidad"),(AC62-(+AC62*W63)),IF(AND(T62="Impacto",T63="Probabilidad"),(AC61-(+AC61*W63)),IF(T63="Impacto",AC62,""))),"")</f>
        <v/>
      </c>
      <c r="AB63" s="211" t="str">
        <f t="shared" si="112"/>
        <v/>
      </c>
      <c r="AC63" s="209" t="str">
        <f t="shared" si="113"/>
        <v/>
      </c>
      <c r="AD63" s="211" t="str">
        <f t="shared" si="114"/>
        <v/>
      </c>
      <c r="AE63" s="209" t="str">
        <f>IFERROR(IF(AND(T62="Impacto",T63="Impacto"),(AE62-(+AE62*W63)),IF(T63="Impacto",(#REF!-(+#REF!*W63)),IF(T63="Probabilidad",AE62,""))),"")</f>
        <v/>
      </c>
      <c r="AF63" s="212" t="str">
        <f t="shared" si="115"/>
        <v/>
      </c>
      <c r="AG63" s="237"/>
      <c r="AH63" s="319"/>
      <c r="AI63" s="319"/>
      <c r="AJ63" s="319"/>
      <c r="AK63" s="319"/>
      <c r="AL63" s="319"/>
      <c r="AM63" s="254"/>
      <c r="AN63" s="254"/>
      <c r="AO63" s="259"/>
      <c r="AP63" s="220"/>
      <c r="AQ63" s="254"/>
      <c r="AR63" s="277"/>
      <c r="AS63" s="277"/>
      <c r="AT63" s="129"/>
      <c r="AU63" s="129"/>
      <c r="AV63" s="129"/>
      <c r="AW63" s="129"/>
      <c r="AX63" s="129"/>
      <c r="AY63" s="129"/>
      <c r="AZ63" s="129"/>
      <c r="BA63" s="129"/>
      <c r="BB63" s="129"/>
      <c r="BC63" s="129"/>
      <c r="BD63" s="129"/>
      <c r="BE63" s="129"/>
      <c r="BF63" s="129"/>
      <c r="BG63" s="129"/>
      <c r="BH63" s="129"/>
    </row>
    <row r="64" spans="1:60" s="113" customFormat="1" ht="30.75" hidden="1" customHeight="1" x14ac:dyDescent="0.2">
      <c r="A64" s="437"/>
      <c r="B64" s="438"/>
      <c r="C64" s="434"/>
      <c r="D64" s="434"/>
      <c r="E64" s="435"/>
      <c r="F64" s="436"/>
      <c r="G64" s="435"/>
      <c r="H64" s="435"/>
      <c r="I64" s="439"/>
      <c r="J64" s="430"/>
      <c r="K64" s="431"/>
      <c r="L64" s="430"/>
      <c r="M64" s="431"/>
      <c r="N64" s="431"/>
      <c r="O64" s="433"/>
      <c r="P64" s="316">
        <v>4</v>
      </c>
      <c r="Q64" s="325"/>
      <c r="R64" s="312"/>
      <c r="S64" s="317"/>
      <c r="T64" s="208" t="str">
        <f t="shared" ref="T64:T66" si="117">IF(OR(U64="Preventivo",U64="Detectivo"),"Probabilidad",IF(U64="Correctivo","Impacto",""))</f>
        <v/>
      </c>
      <c r="U64" s="237"/>
      <c r="V64" s="237"/>
      <c r="W64" s="209" t="str">
        <f t="shared" ref="W64:W68" si="118">IF(AND(U64="Preventivo",V64="Automático"),"50%",IF(AND(U64="Preventivo",V64="Manual"),"40%",IF(AND(U64="Detectivo",V64="Automático"),"40%",IF(AND(U64="Detectivo",V64="Manual"),"30%",IF(AND(U64="Correctivo",V64="Automático"),"35%",IF(AND(U64="Correctivo",V64="Manual"),"25%",""))))))</f>
        <v/>
      </c>
      <c r="X64" s="237"/>
      <c r="Y64" s="237"/>
      <c r="Z64" s="237"/>
      <c r="AA64" s="210" t="str">
        <f t="shared" si="116"/>
        <v/>
      </c>
      <c r="AB64" s="211" t="str">
        <f t="shared" si="112"/>
        <v/>
      </c>
      <c r="AC64" s="209" t="str">
        <f t="shared" si="113"/>
        <v/>
      </c>
      <c r="AD64" s="211" t="str">
        <f t="shared" si="114"/>
        <v/>
      </c>
      <c r="AE64" s="209" t="str">
        <f>IFERROR(IF(AND(T63="Impacto",T64="Impacto"),(AE63-(+AE63*W64)),IF(T64="Impacto",(#REF!-(+#REF!*W64)),IF(T64="Probabilidad",AE63,""))),"")</f>
        <v/>
      </c>
      <c r="AF64" s="212" t="str">
        <f>IFERROR(IF(OR(AND(AB64="Muy Baja",AD64="Leve"),AND(AB64="Muy Baja",AD64="Menor"),AND(AB64="Baja",AD64="Leve")),"Bajo",IF(OR(AND(AB64="Muy baja",AD64="Moderado"),AND(AB64="Baja",AD64="Menor"),AND(AB64="Baja",AD64="Moderado"),AND(AB64="Media",AD64="Leve"),AND(AB64="Media",AD64="Menor"),AND(AB64="Media",AD64="Moderado"),AND(AB64="Alta",AD64="Leve"),AND(AB64="Alta",AD64="Menor")),"Moderado",IF(OR(AND(AB64="Muy Baja",AD64="Mayor"),AND(AB64="Baja",AD64="Mayor"),AND(AB64="Media",AD64="Mayor"),AND(AB64="Alta",AD64="Moderado"),AND(AB64="Alta",AD64="Mayor"),AND(AB64="Muy Alta",AD64="Leve"),AND(AB64="Muy Alta",AD64="Menor"),AND(AB64="Muy Alta",AD64="Moderado"),AND(AB64="Muy Alta",AD64="Mayor")),"Alto",IF(OR(AND(AB64="Muy Baja",AD64="Catastrófico"),AND(AB64="Baja",AD64="Catastrófico"),AND(AB64="Media",AD64="Catastrófico"),AND(AB64="Alta",AD64="Catastrófico"),AND(AB64="Muy Alta",AD64="Catastrófico")),"Extremo","")))),"")</f>
        <v/>
      </c>
      <c r="AG64" s="237"/>
      <c r="AH64" s="319"/>
      <c r="AI64" s="319"/>
      <c r="AJ64" s="319"/>
      <c r="AK64" s="319"/>
      <c r="AL64" s="319"/>
      <c r="AM64" s="213"/>
      <c r="AN64" s="213"/>
      <c r="AO64" s="256"/>
      <c r="AP64" s="220"/>
      <c r="AQ64" s="213"/>
      <c r="AR64" s="277"/>
      <c r="AS64" s="277"/>
      <c r="AT64" s="129"/>
      <c r="AU64" s="129"/>
      <c r="AV64" s="129"/>
      <c r="AW64" s="129"/>
      <c r="AX64" s="129"/>
      <c r="AY64" s="129"/>
      <c r="AZ64" s="129"/>
      <c r="BA64" s="129"/>
      <c r="BB64" s="129"/>
      <c r="BC64" s="129"/>
      <c r="BD64" s="129"/>
      <c r="BE64" s="129"/>
      <c r="BF64" s="129"/>
      <c r="BG64" s="129"/>
      <c r="BH64" s="129"/>
    </row>
    <row r="65" spans="1:60" s="113" customFormat="1" ht="30.75" hidden="1" customHeight="1" x14ac:dyDescent="0.2">
      <c r="A65" s="437"/>
      <c r="B65" s="438"/>
      <c r="C65" s="434"/>
      <c r="D65" s="434"/>
      <c r="E65" s="435"/>
      <c r="F65" s="436"/>
      <c r="G65" s="435"/>
      <c r="H65" s="435"/>
      <c r="I65" s="439"/>
      <c r="J65" s="430"/>
      <c r="K65" s="431"/>
      <c r="L65" s="430"/>
      <c r="M65" s="431"/>
      <c r="N65" s="431"/>
      <c r="O65" s="433"/>
      <c r="P65" s="316">
        <v>5</v>
      </c>
      <c r="Q65" s="325"/>
      <c r="R65" s="312"/>
      <c r="S65" s="317"/>
      <c r="T65" s="208" t="str">
        <f t="shared" si="117"/>
        <v/>
      </c>
      <c r="U65" s="237"/>
      <c r="V65" s="237"/>
      <c r="W65" s="209" t="str">
        <f t="shared" si="118"/>
        <v/>
      </c>
      <c r="X65" s="237"/>
      <c r="Y65" s="237"/>
      <c r="Z65" s="237"/>
      <c r="AA65" s="210" t="str">
        <f t="shared" si="116"/>
        <v/>
      </c>
      <c r="AB65" s="211" t="str">
        <f t="shared" si="112"/>
        <v/>
      </c>
      <c r="AC65" s="209" t="str">
        <f t="shared" si="113"/>
        <v/>
      </c>
      <c r="AD65" s="211" t="str">
        <f t="shared" si="114"/>
        <v/>
      </c>
      <c r="AE65" s="209" t="str">
        <f>IFERROR(IF(AND(T64="Impacto",T65="Impacto"),(AE64-(+AE64*W65)),IF(T65="Impacto",(#REF!-(+#REF!*W65)),IF(T65="Probabilidad",AE64,""))),"")</f>
        <v/>
      </c>
      <c r="AF65" s="212" t="str">
        <f t="shared" ref="AF65:AF66" si="119">IFERROR(IF(OR(AND(AB65="Muy Baja",AD65="Leve"),AND(AB65="Muy Baja",AD65="Menor"),AND(AB65="Baja",AD65="Leve")),"Bajo",IF(OR(AND(AB65="Muy baja",AD65="Moderado"),AND(AB65="Baja",AD65="Menor"),AND(AB65="Baja",AD65="Moderado"),AND(AB65="Media",AD65="Leve"),AND(AB65="Media",AD65="Menor"),AND(AB65="Media",AD65="Moderado"),AND(AB65="Alta",AD65="Leve"),AND(AB65="Alta",AD65="Menor")),"Moderado",IF(OR(AND(AB65="Muy Baja",AD65="Mayor"),AND(AB65="Baja",AD65="Mayor"),AND(AB65="Media",AD65="Mayor"),AND(AB65="Alta",AD65="Moderado"),AND(AB65="Alta",AD65="Mayor"),AND(AB65="Muy Alta",AD65="Leve"),AND(AB65="Muy Alta",AD65="Menor"),AND(AB65="Muy Alta",AD65="Moderado"),AND(AB65="Muy Alta",AD65="Mayor")),"Alto",IF(OR(AND(AB65="Muy Baja",AD65="Catastrófico"),AND(AB65="Baja",AD65="Catastrófico"),AND(AB65="Media",AD65="Catastrófico"),AND(AB65="Alta",AD65="Catastrófico"),AND(AB65="Muy Alta",AD65="Catastrófico")),"Extremo","")))),"")</f>
        <v/>
      </c>
      <c r="AG65" s="237"/>
      <c r="AH65" s="319"/>
      <c r="AI65" s="319"/>
      <c r="AJ65" s="319"/>
      <c r="AK65" s="319"/>
      <c r="AL65" s="319"/>
      <c r="AM65" s="253"/>
      <c r="AN65" s="253"/>
      <c r="AO65" s="255"/>
      <c r="AP65" s="216"/>
      <c r="AQ65" s="216"/>
      <c r="AR65" s="277"/>
      <c r="AS65" s="277"/>
      <c r="AT65" s="129"/>
      <c r="AU65" s="129"/>
      <c r="AV65" s="129"/>
      <c r="AW65" s="129"/>
      <c r="AX65" s="129"/>
      <c r="AY65" s="129"/>
      <c r="AZ65" s="129"/>
      <c r="BA65" s="129"/>
      <c r="BB65" s="129"/>
      <c r="BC65" s="129"/>
      <c r="BD65" s="129"/>
      <c r="BE65" s="129"/>
      <c r="BF65" s="129"/>
      <c r="BG65" s="129"/>
      <c r="BH65" s="129"/>
    </row>
    <row r="66" spans="1:60" s="113" customFormat="1" ht="30.75" hidden="1" customHeight="1" x14ac:dyDescent="0.2">
      <c r="A66" s="437"/>
      <c r="B66" s="438"/>
      <c r="C66" s="434"/>
      <c r="D66" s="434"/>
      <c r="E66" s="435"/>
      <c r="F66" s="436"/>
      <c r="G66" s="435"/>
      <c r="H66" s="435"/>
      <c r="I66" s="439"/>
      <c r="J66" s="430"/>
      <c r="K66" s="431"/>
      <c r="L66" s="430"/>
      <c r="M66" s="431"/>
      <c r="N66" s="431"/>
      <c r="O66" s="433"/>
      <c r="P66" s="316">
        <v>6</v>
      </c>
      <c r="Q66" s="325"/>
      <c r="R66" s="312"/>
      <c r="S66" s="317"/>
      <c r="T66" s="208" t="str">
        <f t="shared" si="117"/>
        <v/>
      </c>
      <c r="U66" s="237"/>
      <c r="V66" s="237"/>
      <c r="W66" s="209" t="str">
        <f t="shared" si="118"/>
        <v/>
      </c>
      <c r="X66" s="237"/>
      <c r="Y66" s="237"/>
      <c r="Z66" s="237"/>
      <c r="AA66" s="210" t="str">
        <f t="shared" si="116"/>
        <v/>
      </c>
      <c r="AB66" s="211" t="str">
        <f t="shared" si="112"/>
        <v/>
      </c>
      <c r="AC66" s="209" t="str">
        <f t="shared" si="113"/>
        <v/>
      </c>
      <c r="AD66" s="211" t="str">
        <f t="shared" si="114"/>
        <v/>
      </c>
      <c r="AE66" s="209" t="str">
        <f>IFERROR(IF(AND(T65="Impacto",T66="Impacto"),(AE65-(+AE65*W66)),IF(T66="Impacto",(#REF!-(+#REF!*W66)),IF(T66="Probabilidad",AE65,""))),"")</f>
        <v/>
      </c>
      <c r="AF66" s="212" t="str">
        <f t="shared" si="119"/>
        <v/>
      </c>
      <c r="AG66" s="237"/>
      <c r="AH66" s="319"/>
      <c r="AI66" s="319"/>
      <c r="AJ66" s="319"/>
      <c r="AK66" s="319"/>
      <c r="AL66" s="319"/>
      <c r="AM66" s="253"/>
      <c r="AN66" s="253"/>
      <c r="AO66" s="255"/>
      <c r="AP66" s="216"/>
      <c r="AQ66" s="216"/>
      <c r="AR66" s="277"/>
      <c r="AS66" s="277"/>
      <c r="AT66" s="129"/>
      <c r="AU66" s="129"/>
      <c r="AV66" s="129"/>
      <c r="AW66" s="129"/>
      <c r="AX66" s="129"/>
      <c r="AY66" s="129"/>
      <c r="AZ66" s="129"/>
      <c r="BA66" s="129"/>
      <c r="BB66" s="129"/>
      <c r="BC66" s="129"/>
      <c r="BD66" s="129"/>
      <c r="BE66" s="129"/>
      <c r="BF66" s="129"/>
      <c r="BG66" s="129"/>
      <c r="BH66" s="129"/>
    </row>
    <row r="67" spans="1:60" s="271" customFormat="1" ht="324.60000000000002" customHeight="1" x14ac:dyDescent="0.2">
      <c r="A67" s="437" t="s">
        <v>715</v>
      </c>
      <c r="B67" s="438" t="s">
        <v>612</v>
      </c>
      <c r="C67" s="434" t="s">
        <v>621</v>
      </c>
      <c r="D67" s="434" t="s">
        <v>717</v>
      </c>
      <c r="E67" s="435" t="s">
        <v>685</v>
      </c>
      <c r="F67" s="436" t="s">
        <v>716</v>
      </c>
      <c r="G67" s="435" t="s">
        <v>233</v>
      </c>
      <c r="H67" s="435" t="s">
        <v>1078</v>
      </c>
      <c r="I67" s="574">
        <v>1</v>
      </c>
      <c r="J67" s="430" t="str">
        <f t="shared" si="108"/>
        <v>Muy Baja</v>
      </c>
      <c r="K67" s="431">
        <f t="shared" ref="K67" si="120">IF(J67="","",IF(J67="Muy Baja",0.2,IF(J67="Baja",0.4,IF(J67="Media",0.6,IF(J67="Alta",0.8,IF(J67="Muy Alta",1,))))))</f>
        <v>0.2</v>
      </c>
      <c r="L67" s="430">
        <v>3</v>
      </c>
      <c r="M67" s="431" t="str">
        <f>IF(L67=1,"INSIGNIFICANTE",IF(L67=2,"Menor",IF(L67=3,"Moderado",IF(L67=4,"MAYOR",IF(L67=5,"Catastrófico",IF(L67=""," "))))))</f>
        <v>Moderado</v>
      </c>
      <c r="N67" s="431">
        <f>IF(M67="","",IF(M67="Leve",0.2,IF(M67="Menor",0.4,IF(M67="Moderado",0.6,IF(M67="Mayor",0.8,IF(M67="Catastrófico",1,))))))</f>
        <v>0.6</v>
      </c>
      <c r="O67" s="433" t="str">
        <f>IF(OR(AND(J67="Muy Baja",M67="Leve"),AND(J67="Muy Baja",J67="Menor"),AND(J67="Baja",M67="Leve")),"Bajo",IF(OR(AND(J67="Muy baja",M67="Moderado"),AND(J67="Baja",M67="Menor"),AND(J67="Baja",M67="Moderado"),AND(J67="Media",M67="Leve"),AND(J67="Media",M67="Menor"),AND(J67="Media",M67="Moderado"),AND(J67="Alta",M67="Leve"),AND(J67="Alta",M67="Menor")),"Moderado",IF(OR(AND(J67="Muy Baja",M67="Mayor"),AND(J67="Baja",M67="Mayor"),AND(J67="Media",M67="Mayor"),AND(J67="Alta",M67="Moderado"),AND(J67="Alta",M67="Mayor"),AND(J67="Muy Alta",M67="Leve"),AND(J67="Muy Alta",M67="Menor"),AND(J67="Muy Alta",M67="Moderado"),AND(J67="Muy Alta",M67="Mayor")),"Alto",IF(OR(AND(J67="Muy Baja",M67="Catastrófico"),AND(J67="Baja",M67="Catastrófico"),AND(J67="Media",M67="Catastrófico"),AND(J67="Alta",M67="Catastrófico"),AND(J67="Muy Alta",M67="Catastrófico")),"Extremo",""))))</f>
        <v>Moderado</v>
      </c>
      <c r="P67" s="261">
        <v>1</v>
      </c>
      <c r="Q67" s="328" t="s">
        <v>738</v>
      </c>
      <c r="R67" s="272" t="s">
        <v>292</v>
      </c>
      <c r="S67" s="317" t="s">
        <v>739</v>
      </c>
      <c r="T67" s="262" t="str">
        <f>IF(OR(U67="Preventivo",U67="Detectivo"),"Probabilidad",IF(U67="Correctivo","Impacto",""))</f>
        <v>Probabilidad</v>
      </c>
      <c r="U67" s="263" t="s">
        <v>13</v>
      </c>
      <c r="V67" s="263" t="s">
        <v>8</v>
      </c>
      <c r="W67" s="264" t="str">
        <f>IF(AND(U67="Preventivo",V67="Automático"),"50%",IF(AND(U67="Preventivo",V67="Manual"),"40%",IF(AND(U67="Detectivo",V67="Automático"),"40%",IF(AND(U67="Detectivo",V67="Manual"),"30%",IF(AND(U67="Correctivo",V67="Automático"),"35%",IF(AND(U67="Correctivo",V67="Manual"),"25%",""))))))</f>
        <v>40%</v>
      </c>
      <c r="X67" s="263" t="s">
        <v>18</v>
      </c>
      <c r="Y67" s="263" t="s">
        <v>21</v>
      </c>
      <c r="Z67" s="263" t="s">
        <v>103</v>
      </c>
      <c r="AA67" s="265">
        <f>IFERROR(IF(T67="Probabilidad",(K67-(+K67*W67)),IF(T67="Impacto",K67,"")),"")</f>
        <v>0.12</v>
      </c>
      <c r="AB67" s="266" t="str">
        <f>IFERROR(IF(AA67="","",IF(AA67&lt;=0.2,"Muy Baja",IF(AA67&lt;=0.4,"Baja",IF(AA67&lt;=0.6,"Media",IF(AA67&lt;=0.8,"Alta","Muy Alta"))))),"")</f>
        <v>Muy Baja</v>
      </c>
      <c r="AC67" s="264">
        <f>+AA67</f>
        <v>0.12</v>
      </c>
      <c r="AD67" s="266" t="str">
        <f>IFERROR(IF(AE67="","",IF(AE67&lt;=0.2,"Leve",IF(AE67&lt;=0.4,"Menor",IF(AE67&lt;=0.6,"Moderado",IF(AE67&lt;=0.8,"Mayor","Catastrófico"))))),"")</f>
        <v>Moderado</v>
      </c>
      <c r="AE67" s="264">
        <f>IFERROR(IF(T67="Impacto",(N67-(+N67*W67)),IF(T67="Probabilidad",N67,"")),"")</f>
        <v>0.6</v>
      </c>
      <c r="AF67" s="267" t="str">
        <f>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263" t="s">
        <v>26</v>
      </c>
      <c r="AH67" s="291">
        <v>4</v>
      </c>
      <c r="AI67" s="291">
        <v>1</v>
      </c>
      <c r="AJ67" s="291">
        <v>1</v>
      </c>
      <c r="AK67" s="291">
        <v>1</v>
      </c>
      <c r="AL67" s="291">
        <v>1</v>
      </c>
      <c r="AM67" s="268" t="s">
        <v>740</v>
      </c>
      <c r="AN67" s="268" t="s">
        <v>742</v>
      </c>
      <c r="AO67" s="258" t="s">
        <v>741</v>
      </c>
      <c r="AP67" s="269">
        <v>45292</v>
      </c>
      <c r="AQ67" s="269">
        <v>45641</v>
      </c>
      <c r="AR67" s="276"/>
      <c r="AS67" s="276"/>
    </row>
    <row r="68" spans="1:60" s="113" customFormat="1" ht="28.5" hidden="1" customHeight="1" x14ac:dyDescent="0.2">
      <c r="A68" s="437"/>
      <c r="B68" s="438"/>
      <c r="C68" s="434"/>
      <c r="D68" s="434"/>
      <c r="E68" s="435"/>
      <c r="F68" s="436"/>
      <c r="G68" s="435"/>
      <c r="H68" s="435"/>
      <c r="I68" s="574"/>
      <c r="J68" s="430"/>
      <c r="K68" s="431"/>
      <c r="L68" s="430"/>
      <c r="M68" s="431"/>
      <c r="N68" s="431"/>
      <c r="O68" s="433"/>
      <c r="P68" s="316">
        <v>2</v>
      </c>
      <c r="Q68" s="325"/>
      <c r="R68" s="312"/>
      <c r="S68" s="317"/>
      <c r="T68" s="208" t="str">
        <f>IF(OR(U68="Preventivo",U68="Detectivo"),"Probabilidad",IF(U68="Correctivo","Impacto",""))</f>
        <v/>
      </c>
      <c r="U68" s="237"/>
      <c r="V68" s="237"/>
      <c r="W68" s="209" t="str">
        <f t="shared" si="118"/>
        <v/>
      </c>
      <c r="X68" s="237"/>
      <c r="Y68" s="237"/>
      <c r="Z68" s="237"/>
      <c r="AA68" s="210" t="str">
        <f>IFERROR(IF(AND(T67="Probabilidad",T68="Probabilidad"),(AC67-(+AC67*W68)),IF(T68="Probabilidad",(K67-(+K67*W68)),IF(T68="Impacto",AC67,""))),"")</f>
        <v/>
      </c>
      <c r="AB68" s="211" t="str">
        <f>IFERROR(IF(AA68="","",IF(AA68&lt;=0.2,"Muy Baja",IF(AA68&lt;=0.4,"Baja",IF(AA68&lt;=0.6,"Media",IF(AA68&lt;=0.8,"Alta","Muy Alta"))))),"")</f>
        <v/>
      </c>
      <c r="AC68" s="209" t="str">
        <f>+AA68</f>
        <v/>
      </c>
      <c r="AD68" s="211" t="str">
        <f>IFERROR(IF(AE68="","",IF(AE68&lt;=0.2,"Leve",IF(AE68&lt;=0.4,"Menor",IF(AE68&lt;=0.6,"Moderado",IF(AE68&lt;=0.8,"Mayor","Catastrófico"))))),"")</f>
        <v/>
      </c>
      <c r="AE68" s="209" t="str">
        <f>IFERROR(IF(AND(T67="Impacto",T68="Impacto"),(AE67-(+AE67*W68)),IF(T68="Impacto",(#REF!-(+#REF!*W68)),IF(T68="Probabilidad",AE67,""))),"")</f>
        <v/>
      </c>
      <c r="AF68" s="212" t="str">
        <f t="shared" ref="AF68:AF69" si="121">IFERROR(IF(OR(AND(AB68="Muy Baja",AD68="Leve"),AND(AB68="Muy Baja",AD68="Menor"),AND(AB68="Baja",AD68="Leve")),"Bajo",IF(OR(AND(AB68="Muy baja",AD68="Moderado"),AND(AB68="Baja",AD68="Menor"),AND(AB68="Baja",AD68="Moderado"),AND(AB68="Media",AD68="Leve"),AND(AB68="Media",AD68="Menor"),AND(AB68="Media",AD68="Moderado"),AND(AB68="Alta",AD68="Leve"),AND(AB68="Alta",AD68="Menor")),"Moderado",IF(OR(AND(AB68="Muy Baja",AD68="Mayor"),AND(AB68="Baja",AD68="Mayor"),AND(AB68="Media",AD68="Mayor"),AND(AB68="Alta",AD68="Moderado"),AND(AB68="Alta",AD68="Mayor"),AND(AB68="Muy Alta",AD68="Leve"),AND(AB68="Muy Alta",AD68="Menor"),AND(AB68="Muy Alta",AD68="Moderado"),AND(AB68="Muy Alta",AD68="Mayor")),"Alto",IF(OR(AND(AB68="Muy Baja",AD68="Catastrófico"),AND(AB68="Baja",AD68="Catastrófico"),AND(AB68="Media",AD68="Catastrófico"),AND(AB68="Alta",AD68="Catastrófico"),AND(AB68="Muy Alta",AD68="Catastrófico")),"Extremo","")))),"")</f>
        <v/>
      </c>
      <c r="AG68" s="237"/>
      <c r="AH68" s="319"/>
      <c r="AI68" s="319"/>
      <c r="AJ68" s="319"/>
      <c r="AK68" s="319"/>
      <c r="AL68" s="319"/>
      <c r="AM68" s="254"/>
      <c r="AN68" s="254"/>
      <c r="AO68" s="259"/>
      <c r="AP68" s="220"/>
      <c r="AQ68" s="254"/>
      <c r="AR68" s="277"/>
      <c r="AS68" s="277"/>
      <c r="AT68" s="129"/>
      <c r="AU68" s="129"/>
      <c r="AV68" s="129"/>
      <c r="AW68" s="129"/>
      <c r="AX68" s="129"/>
      <c r="AY68" s="129"/>
      <c r="AZ68" s="129"/>
      <c r="BA68" s="129"/>
      <c r="BB68" s="129"/>
      <c r="BC68" s="129"/>
      <c r="BD68" s="129"/>
      <c r="BE68" s="129"/>
      <c r="BF68" s="129"/>
      <c r="BG68" s="129"/>
      <c r="BH68" s="129"/>
    </row>
    <row r="69" spans="1:60" s="113" customFormat="1" ht="28.5" hidden="1" customHeight="1" x14ac:dyDescent="0.2">
      <c r="A69" s="437"/>
      <c r="B69" s="438"/>
      <c r="C69" s="434"/>
      <c r="D69" s="434"/>
      <c r="E69" s="435"/>
      <c r="F69" s="436"/>
      <c r="G69" s="435"/>
      <c r="H69" s="435"/>
      <c r="I69" s="574"/>
      <c r="J69" s="430"/>
      <c r="K69" s="431"/>
      <c r="L69" s="430"/>
      <c r="M69" s="431"/>
      <c r="N69" s="431"/>
      <c r="O69" s="433"/>
      <c r="P69" s="316">
        <v>3</v>
      </c>
      <c r="Q69" s="330"/>
      <c r="R69" s="312"/>
      <c r="S69" s="317"/>
      <c r="T69" s="208" t="str">
        <f>IF(OR(U69="Preventivo",U69="Detectivo"),"Probabilidad",IF(U69="Correctivo","Impacto",""))</f>
        <v/>
      </c>
      <c r="U69" s="237"/>
      <c r="V69" s="237"/>
      <c r="W69" s="209" t="str">
        <f>IF(AND(U69="Preventivo",V69="Automático"),"50%",IF(AND(U69="Preventivo",V69="Manual"),"40%",IF(AND(U69="Detectivo",V69="Automático"),"40%",IF(AND(U69="Detectivo",V69="Manual"),"30%",IF(AND(U69="Correctivo",V69="Automático"),"35%",IF(AND(U69="Correctivo",V69="Manual"),"25%",""))))))</f>
        <v/>
      </c>
      <c r="X69" s="237"/>
      <c r="Y69" s="237"/>
      <c r="Z69" s="237"/>
      <c r="AA69" s="210" t="str">
        <f t="shared" ref="AA69:AA72" si="122">IFERROR(IF(AND(T68="Probabilidad",T69="Probabilidad"),(AC68-(+AC68*W69)),IF(AND(T68="Impacto",T69="Probabilidad"),(AC67-(+AC67*W69)),IF(T69="Impacto",AC68,""))),"")</f>
        <v/>
      </c>
      <c r="AB69" s="211" t="str">
        <f t="shared" ref="AB69:AB72" si="123">IFERROR(IF(AA69="","",IF(AA69&lt;=0.2,"Muy Baja",IF(AA69&lt;=0.4,"Baja",IF(AA69&lt;=0.6,"Media",IF(AA69&lt;=0.8,"Alta","Muy Alta"))))),"")</f>
        <v/>
      </c>
      <c r="AC69" s="209" t="str">
        <f t="shared" ref="AC69:AC72" si="124">+AA69</f>
        <v/>
      </c>
      <c r="AD69" s="211" t="str">
        <f t="shared" ref="AD69:AD72" si="125">IFERROR(IF(AE69="","",IF(AE69&lt;=0.2,"Leve",IF(AE69&lt;=0.4,"Menor",IF(AE69&lt;=0.6,"Moderado",IF(AE69&lt;=0.8,"Mayor","Catastrófico"))))),"")</f>
        <v/>
      </c>
      <c r="AE69" s="209" t="str">
        <f>IFERROR(IF(AND(T68="Impacto",T69="Impacto"),(AE68-(+AE68*W69)),IF(T69="Impacto",(#REF!-(+#REF!*W69)),IF(T69="Probabilidad",AE68,""))),"")</f>
        <v/>
      </c>
      <c r="AF69" s="212" t="str">
        <f t="shared" si="121"/>
        <v/>
      </c>
      <c r="AG69" s="237"/>
      <c r="AH69" s="319"/>
      <c r="AI69" s="319"/>
      <c r="AJ69" s="319"/>
      <c r="AK69" s="319"/>
      <c r="AL69" s="319"/>
      <c r="AM69" s="254"/>
      <c r="AN69" s="254"/>
      <c r="AO69" s="259"/>
      <c r="AP69" s="220"/>
      <c r="AQ69" s="254"/>
      <c r="AR69" s="277"/>
      <c r="AS69" s="277"/>
      <c r="AT69" s="129"/>
      <c r="AU69" s="129"/>
      <c r="AV69" s="129"/>
      <c r="AW69" s="129"/>
      <c r="AX69" s="129"/>
      <c r="AY69" s="129"/>
      <c r="AZ69" s="129"/>
      <c r="BA69" s="129"/>
      <c r="BB69" s="129"/>
      <c r="BC69" s="129"/>
      <c r="BD69" s="129"/>
      <c r="BE69" s="129"/>
      <c r="BF69" s="129"/>
      <c r="BG69" s="129"/>
      <c r="BH69" s="129"/>
    </row>
    <row r="70" spans="1:60" s="113" customFormat="1" ht="28.5" hidden="1" customHeight="1" x14ac:dyDescent="0.2">
      <c r="A70" s="437"/>
      <c r="B70" s="438"/>
      <c r="C70" s="434"/>
      <c r="D70" s="434"/>
      <c r="E70" s="435"/>
      <c r="F70" s="436"/>
      <c r="G70" s="435"/>
      <c r="H70" s="435"/>
      <c r="I70" s="574"/>
      <c r="J70" s="430"/>
      <c r="K70" s="431"/>
      <c r="L70" s="430"/>
      <c r="M70" s="431"/>
      <c r="N70" s="431"/>
      <c r="O70" s="433"/>
      <c r="P70" s="316">
        <v>4</v>
      </c>
      <c r="Q70" s="325"/>
      <c r="R70" s="312"/>
      <c r="S70" s="317"/>
      <c r="T70" s="208" t="str">
        <f t="shared" ref="T70:T72" si="126">IF(OR(U70="Preventivo",U70="Detectivo"),"Probabilidad",IF(U70="Correctivo","Impacto",""))</f>
        <v/>
      </c>
      <c r="U70" s="237"/>
      <c r="V70" s="237"/>
      <c r="W70" s="209" t="str">
        <f t="shared" ref="W70:W74" si="127">IF(AND(U70="Preventivo",V70="Automático"),"50%",IF(AND(U70="Preventivo",V70="Manual"),"40%",IF(AND(U70="Detectivo",V70="Automático"),"40%",IF(AND(U70="Detectivo",V70="Manual"),"30%",IF(AND(U70="Correctivo",V70="Automático"),"35%",IF(AND(U70="Correctivo",V70="Manual"),"25%",""))))))</f>
        <v/>
      </c>
      <c r="X70" s="237"/>
      <c r="Y70" s="237"/>
      <c r="Z70" s="237"/>
      <c r="AA70" s="210" t="str">
        <f t="shared" si="122"/>
        <v/>
      </c>
      <c r="AB70" s="211" t="str">
        <f t="shared" si="123"/>
        <v/>
      </c>
      <c r="AC70" s="209" t="str">
        <f t="shared" si="124"/>
        <v/>
      </c>
      <c r="AD70" s="211" t="str">
        <f t="shared" si="125"/>
        <v/>
      </c>
      <c r="AE70" s="209" t="str">
        <f>IFERROR(IF(AND(T69="Impacto",T70="Impacto"),(AE69-(+AE69*W70)),IF(T70="Impacto",(#REF!-(+#REF!*W70)),IF(T70="Probabilidad",AE69,""))),"")</f>
        <v/>
      </c>
      <c r="AF70" s="212" t="str">
        <f>IFERROR(IF(OR(AND(AB70="Muy Baja",AD70="Leve"),AND(AB70="Muy Baja",AD70="Menor"),AND(AB70="Baja",AD70="Leve")),"Bajo",IF(OR(AND(AB70="Muy baja",AD70="Moderado"),AND(AB70="Baja",AD70="Menor"),AND(AB70="Baja",AD70="Moderado"),AND(AB70="Media",AD70="Leve"),AND(AB70="Media",AD70="Menor"),AND(AB70="Media",AD70="Moderado"),AND(AB70="Alta",AD70="Leve"),AND(AB70="Alta",AD70="Menor")),"Moderado",IF(OR(AND(AB70="Muy Baja",AD70="Mayor"),AND(AB70="Baja",AD70="Mayor"),AND(AB70="Media",AD70="Mayor"),AND(AB70="Alta",AD70="Moderado"),AND(AB70="Alta",AD70="Mayor"),AND(AB70="Muy Alta",AD70="Leve"),AND(AB70="Muy Alta",AD70="Menor"),AND(AB70="Muy Alta",AD70="Moderado"),AND(AB70="Muy Alta",AD70="Mayor")),"Alto",IF(OR(AND(AB70="Muy Baja",AD70="Catastrófico"),AND(AB70="Baja",AD70="Catastrófico"),AND(AB70="Media",AD70="Catastrófico"),AND(AB70="Alta",AD70="Catastrófico"),AND(AB70="Muy Alta",AD70="Catastrófico")),"Extremo","")))),"")</f>
        <v/>
      </c>
      <c r="AG70" s="237"/>
      <c r="AH70" s="319"/>
      <c r="AI70" s="319"/>
      <c r="AJ70" s="319"/>
      <c r="AK70" s="319"/>
      <c r="AL70" s="319"/>
      <c r="AM70" s="213"/>
      <c r="AN70" s="213"/>
      <c r="AO70" s="256"/>
      <c r="AP70" s="220"/>
      <c r="AQ70" s="213"/>
      <c r="AR70" s="277"/>
      <c r="AS70" s="277"/>
      <c r="AT70" s="129"/>
      <c r="AU70" s="129"/>
      <c r="AV70" s="129"/>
      <c r="AW70" s="129"/>
      <c r="AX70" s="129"/>
      <c r="AY70" s="129"/>
      <c r="AZ70" s="129"/>
      <c r="BA70" s="129"/>
      <c r="BB70" s="129"/>
      <c r="BC70" s="129"/>
      <c r="BD70" s="129"/>
      <c r="BE70" s="129"/>
      <c r="BF70" s="129"/>
      <c r="BG70" s="129"/>
      <c r="BH70" s="129"/>
    </row>
    <row r="71" spans="1:60" s="113" customFormat="1" ht="28.5" hidden="1" customHeight="1" x14ac:dyDescent="0.2">
      <c r="A71" s="437"/>
      <c r="B71" s="438"/>
      <c r="C71" s="434"/>
      <c r="D71" s="434"/>
      <c r="E71" s="435"/>
      <c r="F71" s="436"/>
      <c r="G71" s="435"/>
      <c r="H71" s="435"/>
      <c r="I71" s="574"/>
      <c r="J71" s="430"/>
      <c r="K71" s="431"/>
      <c r="L71" s="430"/>
      <c r="M71" s="431"/>
      <c r="N71" s="431"/>
      <c r="O71" s="433"/>
      <c r="P71" s="316">
        <v>5</v>
      </c>
      <c r="Q71" s="325"/>
      <c r="R71" s="312"/>
      <c r="S71" s="317"/>
      <c r="T71" s="208" t="str">
        <f t="shared" si="126"/>
        <v/>
      </c>
      <c r="U71" s="237"/>
      <c r="V71" s="237"/>
      <c r="W71" s="209" t="str">
        <f t="shared" si="127"/>
        <v/>
      </c>
      <c r="X71" s="237"/>
      <c r="Y71" s="237"/>
      <c r="Z71" s="237"/>
      <c r="AA71" s="210" t="str">
        <f t="shared" si="122"/>
        <v/>
      </c>
      <c r="AB71" s="211" t="str">
        <f t="shared" si="123"/>
        <v/>
      </c>
      <c r="AC71" s="209" t="str">
        <f t="shared" si="124"/>
        <v/>
      </c>
      <c r="AD71" s="211" t="str">
        <f t="shared" si="125"/>
        <v/>
      </c>
      <c r="AE71" s="209" t="str">
        <f>IFERROR(IF(AND(T70="Impacto",T71="Impacto"),(AE70-(+AE70*W71)),IF(T71="Impacto",(#REF!-(+#REF!*W71)),IF(T71="Probabilidad",AE70,""))),"")</f>
        <v/>
      </c>
      <c r="AF71" s="212" t="str">
        <f t="shared" ref="AF71:AF72" si="128">IFERROR(IF(OR(AND(AB71="Muy Baja",AD71="Leve"),AND(AB71="Muy Baja",AD71="Menor"),AND(AB71="Baja",AD71="Leve")),"Bajo",IF(OR(AND(AB71="Muy baja",AD71="Moderado"),AND(AB71="Baja",AD71="Menor"),AND(AB71="Baja",AD71="Moderado"),AND(AB71="Media",AD71="Leve"),AND(AB71="Media",AD71="Menor"),AND(AB71="Media",AD71="Moderado"),AND(AB71="Alta",AD71="Leve"),AND(AB71="Alta",AD71="Menor")),"Moderado",IF(OR(AND(AB71="Muy Baja",AD71="Mayor"),AND(AB71="Baja",AD71="Mayor"),AND(AB71="Media",AD71="Mayor"),AND(AB71="Alta",AD71="Moderado"),AND(AB71="Alta",AD71="Mayor"),AND(AB71="Muy Alta",AD71="Leve"),AND(AB71="Muy Alta",AD71="Menor"),AND(AB71="Muy Alta",AD71="Moderado"),AND(AB71="Muy Alta",AD71="Mayor")),"Alto",IF(OR(AND(AB71="Muy Baja",AD71="Catastrófico"),AND(AB71="Baja",AD71="Catastrófico"),AND(AB71="Media",AD71="Catastrófico"),AND(AB71="Alta",AD71="Catastrófico"),AND(AB71="Muy Alta",AD71="Catastrófico")),"Extremo","")))),"")</f>
        <v/>
      </c>
      <c r="AG71" s="237"/>
      <c r="AH71" s="319"/>
      <c r="AI71" s="319"/>
      <c r="AJ71" s="319"/>
      <c r="AK71" s="319"/>
      <c r="AL71" s="319"/>
      <c r="AM71" s="253"/>
      <c r="AN71" s="253"/>
      <c r="AO71" s="255"/>
      <c r="AP71" s="216"/>
      <c r="AQ71" s="216"/>
      <c r="AR71" s="277"/>
      <c r="AS71" s="277"/>
      <c r="AT71" s="129"/>
      <c r="AU71" s="129"/>
      <c r="AV71" s="129"/>
      <c r="AW71" s="129"/>
      <c r="AX71" s="129"/>
      <c r="AY71" s="129"/>
      <c r="AZ71" s="129"/>
      <c r="BA71" s="129"/>
      <c r="BB71" s="129"/>
      <c r="BC71" s="129"/>
      <c r="BD71" s="129"/>
      <c r="BE71" s="129"/>
      <c r="BF71" s="129"/>
      <c r="BG71" s="129"/>
      <c r="BH71" s="129"/>
    </row>
    <row r="72" spans="1:60" s="113" customFormat="1" ht="28.5" hidden="1" customHeight="1" x14ac:dyDescent="0.2">
      <c r="A72" s="437"/>
      <c r="B72" s="438"/>
      <c r="C72" s="434"/>
      <c r="D72" s="434"/>
      <c r="E72" s="435"/>
      <c r="F72" s="436"/>
      <c r="G72" s="435"/>
      <c r="H72" s="435"/>
      <c r="I72" s="574"/>
      <c r="J72" s="430"/>
      <c r="K72" s="431"/>
      <c r="L72" s="430"/>
      <c r="M72" s="431"/>
      <c r="N72" s="431"/>
      <c r="O72" s="433"/>
      <c r="P72" s="316">
        <v>6</v>
      </c>
      <c r="Q72" s="325"/>
      <c r="R72" s="312"/>
      <c r="S72" s="317"/>
      <c r="T72" s="208" t="str">
        <f t="shared" si="126"/>
        <v/>
      </c>
      <c r="U72" s="237"/>
      <c r="V72" s="237"/>
      <c r="W72" s="209" t="str">
        <f t="shared" si="127"/>
        <v/>
      </c>
      <c r="X72" s="237"/>
      <c r="Y72" s="237"/>
      <c r="Z72" s="237"/>
      <c r="AA72" s="210" t="str">
        <f t="shared" si="122"/>
        <v/>
      </c>
      <c r="AB72" s="211" t="str">
        <f t="shared" si="123"/>
        <v/>
      </c>
      <c r="AC72" s="209" t="str">
        <f t="shared" si="124"/>
        <v/>
      </c>
      <c r="AD72" s="211" t="str">
        <f t="shared" si="125"/>
        <v/>
      </c>
      <c r="AE72" s="209" t="str">
        <f>IFERROR(IF(AND(T71="Impacto",T72="Impacto"),(AE71-(+AE71*W72)),IF(T72="Impacto",(#REF!-(+#REF!*W72)),IF(T72="Probabilidad",AE71,""))),"")</f>
        <v/>
      </c>
      <c r="AF72" s="212" t="str">
        <f t="shared" si="128"/>
        <v/>
      </c>
      <c r="AG72" s="237"/>
      <c r="AH72" s="319"/>
      <c r="AI72" s="319"/>
      <c r="AJ72" s="319"/>
      <c r="AK72" s="319"/>
      <c r="AL72" s="319"/>
      <c r="AM72" s="253"/>
      <c r="AN72" s="253"/>
      <c r="AO72" s="255"/>
      <c r="AP72" s="216"/>
      <c r="AQ72" s="216"/>
      <c r="AR72" s="277"/>
      <c r="AS72" s="277"/>
      <c r="AT72" s="129"/>
      <c r="AU72" s="129"/>
      <c r="AV72" s="129"/>
      <c r="AW72" s="129"/>
      <c r="AX72" s="129"/>
      <c r="AY72" s="129"/>
      <c r="AZ72" s="129"/>
      <c r="BA72" s="129"/>
      <c r="BB72" s="129"/>
      <c r="BC72" s="129"/>
      <c r="BD72" s="129"/>
      <c r="BE72" s="129"/>
      <c r="BF72" s="129"/>
      <c r="BG72" s="129"/>
      <c r="BH72" s="129"/>
    </row>
    <row r="73" spans="1:60" s="271" customFormat="1" ht="144" x14ac:dyDescent="0.2">
      <c r="A73" s="437" t="s">
        <v>987</v>
      </c>
      <c r="B73" s="438" t="s">
        <v>281</v>
      </c>
      <c r="C73" s="434" t="s">
        <v>622</v>
      </c>
      <c r="D73" s="434" t="s">
        <v>1104</v>
      </c>
      <c r="E73" s="435" t="s">
        <v>685</v>
      </c>
      <c r="F73" s="757" t="s">
        <v>1105</v>
      </c>
      <c r="G73" s="435" t="s">
        <v>233</v>
      </c>
      <c r="H73" s="435" t="s">
        <v>1078</v>
      </c>
      <c r="I73" s="439">
        <v>284</v>
      </c>
      <c r="J73" s="430" t="str">
        <f t="shared" si="108"/>
        <v>Media</v>
      </c>
      <c r="K73" s="431">
        <f t="shared" ref="K73" si="129">IF(J73="","",IF(J73="Muy Baja",0.2,IF(J73="Baja",0.4,IF(J73="Media",0.6,IF(J73="Alta",0.8,IF(J73="Muy Alta",1,))))))</f>
        <v>0.6</v>
      </c>
      <c r="L73" s="430">
        <v>5</v>
      </c>
      <c r="M73" s="431" t="str">
        <f t="shared" ref="M73" si="130">IF(L73=1,"INSIGNIFICANTE",IF(L73=2,"Menor",IF(L73=3,"Moderado",IF(L73=4,"MAYOR",IF(L73=5,"Catastrófico",IF(L73=""," "))))))</f>
        <v>Catastrófico</v>
      </c>
      <c r="N73" s="431">
        <f>IF(M73="","",IF(M73="Leve",0.2,IF(M73="Menor",0.4,IF(M73="Moderado",0.6,IF(M73="Mayor",0.8,IF(M73="Catastrófico",1,))))))</f>
        <v>1</v>
      </c>
      <c r="O73" s="433" t="str">
        <f t="shared" ref="O73:O103" si="131">IF(OR(AND(J73="Muy Baja",M73="Leve"),AND(J73="Muy Baja",J73="Menor"),AND(J73="Baja",M73="Leve")),"Bajo",IF(OR(AND(J73="Muy baja",M73="Moderado"),AND(J73="Baja",M73="Menor"),AND(J73="Baja",M73="Moderado"),AND(J73="Media",M73="Leve"),AND(J73="Media",M73="Menor"),AND(J73="Media",M73="Moderado"),AND(J73="Alta",M73="Leve"),AND(J73="Alta",M73="Menor")),"Moderado",IF(OR(AND(J73="Muy Baja",M73="Mayor"),AND(J73="Baja",M73="Mayor"),AND(J73="Media",M73="Mayor"),AND(J73="Alta",M73="Moderado"),AND(J73="Alta",M73="Mayor"),AND(J73="Muy Alta",M73="Leve"),AND(J73="Muy Alta",M73="Menor"),AND(J73="Muy Alta",M73="Moderado"),AND(J73="Muy Alta",M73="Mayor")),"Alto",IF(OR(AND(J73="Muy Baja",M73="Catastrófico"),AND(J73="Baja",M73="Catastrófico"),AND(J73="Media",M73="Catastrófico"),AND(J73="Alta",M73="Catastrófico"),AND(J73="Muy Alta",M73="Catastrófico")),"Extremo",""))))</f>
        <v>Extremo</v>
      </c>
      <c r="P73" s="261">
        <v>1</v>
      </c>
      <c r="Q73" s="328" t="s">
        <v>1102</v>
      </c>
      <c r="R73" s="272" t="s">
        <v>293</v>
      </c>
      <c r="S73" s="317" t="s">
        <v>1103</v>
      </c>
      <c r="T73" s="262" t="str">
        <f>IF(OR(U73="Preventivo",U73="Detectivo"),"Probabilidad",IF(U73="Correctivo","Impacto",""))</f>
        <v>Probabilidad</v>
      </c>
      <c r="U73" s="263" t="s">
        <v>13</v>
      </c>
      <c r="V73" s="263" t="s">
        <v>8</v>
      </c>
      <c r="W73" s="264" t="str">
        <f t="shared" si="127"/>
        <v>40%</v>
      </c>
      <c r="X73" s="263" t="s">
        <v>18</v>
      </c>
      <c r="Y73" s="263" t="s">
        <v>21</v>
      </c>
      <c r="Z73" s="263" t="s">
        <v>103</v>
      </c>
      <c r="AA73" s="265">
        <f>IFERROR(IF(T73="Probabilidad",(K73-(+K73*W73)),IF(T73="Impacto",K73,"")),"")</f>
        <v>0.36</v>
      </c>
      <c r="AB73" s="266" t="str">
        <f>IFERROR(IF(AA73="","",IF(AA73&lt;=0.2,"Muy Baja",IF(AA73&lt;=0.4,"Baja",IF(AA73&lt;=0.6,"Media",IF(AA73&lt;=0.8,"Alta","Muy Alta"))))),"")</f>
        <v>Baja</v>
      </c>
      <c r="AC73" s="264">
        <f>+AA73</f>
        <v>0.36</v>
      </c>
      <c r="AD73" s="266" t="str">
        <f>IFERROR(IF(AE73="","",IF(AE73&lt;=0.2,"Leve",IF(AE73&lt;=0.4,"Menor",IF(AE73&lt;=0.6,"Moderado",IF(AE73&lt;=0.8,"Mayor","Catastrófico"))))),"")</f>
        <v>Catastrófico</v>
      </c>
      <c r="AE73" s="264">
        <f>IFERROR(IF(T73="Impacto",(N73-(+N73*W73)),IF(T73="Probabilidad",N73,"")),"")</f>
        <v>1</v>
      </c>
      <c r="AF73" s="267" t="str">
        <f>IFERROR(IF(OR(AND(AB73="Muy Baja",AD73="Leve"),AND(AB73="Muy Baja",AD73="Menor"),AND(AB73="Baja",AD73="Leve")),"Bajo",IF(OR(AND(AB73="Muy baja",AD73="Moderado"),AND(AB73="Baja",AD73="Menor"),AND(AB73="Baja",AD73="Moderado"),AND(AB73="Media",AD73="Leve"),AND(AB73="Media",AD73="Menor"),AND(AB73="Media",AD73="Moderado"),AND(AB73="Alta",AD73="Leve"),AND(AB73="Alta",AD73="Menor")),"Moderado",IF(OR(AND(AB73="Muy Baja",AD73="Mayor"),AND(AB73="Baja",AD73="Mayor"),AND(AB73="Media",AD73="Mayor"),AND(AB73="Alta",AD73="Moderado"),AND(AB73="Alta",AD73="Mayor"),AND(AB73="Muy Alta",AD73="Leve"),AND(AB73="Muy Alta",AD73="Menor"),AND(AB73="Muy Alta",AD73="Moderado"),AND(AB73="Muy Alta",AD73="Mayor")),"Alto",IF(OR(AND(AB73="Muy Baja",AD73="Catastrófico"),AND(AB73="Baja",AD73="Catastrófico"),AND(AB73="Media",AD73="Catastrófico"),AND(AB73="Alta",AD73="Catastrófico"),AND(AB73="Muy Alta",AD73="Catastrófico")),"Extremo","")))),"")</f>
        <v>Extremo</v>
      </c>
      <c r="AG73" s="263" t="s">
        <v>26</v>
      </c>
      <c r="AH73" s="319">
        <v>4</v>
      </c>
      <c r="AI73" s="319">
        <v>1</v>
      </c>
      <c r="AJ73" s="319">
        <v>1</v>
      </c>
      <c r="AK73" s="319">
        <v>1</v>
      </c>
      <c r="AL73" s="319">
        <v>1</v>
      </c>
      <c r="AM73" s="268"/>
      <c r="AN73" s="268"/>
      <c r="AO73" s="258"/>
      <c r="AP73" s="269"/>
      <c r="AQ73" s="270"/>
      <c r="AR73" s="276"/>
      <c r="AS73" s="276"/>
    </row>
    <row r="74" spans="1:60" s="113" customFormat="1" ht="15" hidden="1" customHeight="1" x14ac:dyDescent="0.2">
      <c r="A74" s="437"/>
      <c r="B74" s="438"/>
      <c r="C74" s="434"/>
      <c r="D74" s="434"/>
      <c r="E74" s="435"/>
      <c r="F74" s="757"/>
      <c r="G74" s="435"/>
      <c r="H74" s="435"/>
      <c r="I74" s="439"/>
      <c r="J74" s="430"/>
      <c r="K74" s="431"/>
      <c r="L74" s="430"/>
      <c r="M74" s="431"/>
      <c r="N74" s="431"/>
      <c r="O74" s="433"/>
      <c r="P74" s="316">
        <v>2</v>
      </c>
      <c r="Q74" s="325"/>
      <c r="R74" s="312"/>
      <c r="S74" s="317"/>
      <c r="T74" s="208" t="str">
        <f>IF(OR(U74="Preventivo",U74="Detectivo"),"Probabilidad",IF(U74="Correctivo","Impacto",""))</f>
        <v/>
      </c>
      <c r="U74" s="237"/>
      <c r="V74" s="237"/>
      <c r="W74" s="209" t="str">
        <f t="shared" si="127"/>
        <v/>
      </c>
      <c r="X74" s="237"/>
      <c r="Y74" s="237"/>
      <c r="Z74" s="237"/>
      <c r="AA74" s="210" t="str">
        <f>IFERROR(IF(AND(T73="Probabilidad",T74="Probabilidad"),(AC73-(+AC73*W74)),IF(T74="Probabilidad",(K73-(+K73*W74)),IF(T74="Impacto",AC73,""))),"")</f>
        <v/>
      </c>
      <c r="AB74" s="211" t="str">
        <f t="shared" ref="AB74:AB78" si="132">IFERROR(IF(AA74="","",IF(AA74&lt;=0.2,"Muy Baja",IF(AA74&lt;=0.4,"Baja",IF(AA74&lt;=0.6,"Media",IF(AA74&lt;=0.8,"Alta","Muy Alta"))))),"")</f>
        <v/>
      </c>
      <c r="AC74" s="209" t="str">
        <f t="shared" ref="AC74:AC78" si="133">+AA74</f>
        <v/>
      </c>
      <c r="AD74" s="211" t="str">
        <f t="shared" ref="AD74:AD78" si="134">IFERROR(IF(AE74="","",IF(AE74&lt;=0.2,"Leve",IF(AE74&lt;=0.4,"Menor",IF(AE74&lt;=0.6,"Moderado",IF(AE74&lt;=0.8,"Mayor","Catastrófico"))))),"")</f>
        <v/>
      </c>
      <c r="AE74" s="209" t="str">
        <f>IFERROR(IF(AND(T73="Impacto",T74="Impacto"),(AE73-(+AE73*W74)),IF(T74="Impacto",(#REF!-(+#REF!*W74)),IF(T74="Probabilidad",AE73,""))),"")</f>
        <v/>
      </c>
      <c r="AF74" s="212" t="str">
        <f t="shared" ref="AF74:AF75" si="135">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237"/>
      <c r="AH74" s="319"/>
      <c r="AI74" s="319"/>
      <c r="AJ74" s="319"/>
      <c r="AK74" s="319"/>
      <c r="AL74" s="319"/>
      <c r="AM74" s="254"/>
      <c r="AN74" s="254"/>
      <c r="AO74" s="259"/>
      <c r="AP74" s="220"/>
      <c r="AQ74" s="254"/>
      <c r="AR74" s="277"/>
      <c r="AS74" s="277"/>
      <c r="AT74" s="129"/>
      <c r="AU74" s="129"/>
      <c r="AV74" s="129"/>
      <c r="AW74" s="129"/>
      <c r="AX74" s="129"/>
      <c r="AY74" s="129"/>
      <c r="AZ74" s="129"/>
      <c r="BA74" s="129"/>
      <c r="BB74" s="129"/>
      <c r="BC74" s="129"/>
      <c r="BD74" s="129"/>
      <c r="BE74" s="129"/>
      <c r="BF74" s="129"/>
      <c r="BG74" s="129"/>
      <c r="BH74" s="129"/>
    </row>
    <row r="75" spans="1:60" s="113" customFormat="1" ht="15" hidden="1" customHeight="1" x14ac:dyDescent="0.2">
      <c r="A75" s="437"/>
      <c r="B75" s="438"/>
      <c r="C75" s="434"/>
      <c r="D75" s="434"/>
      <c r="E75" s="435"/>
      <c r="F75" s="757"/>
      <c r="G75" s="435"/>
      <c r="H75" s="435"/>
      <c r="I75" s="439"/>
      <c r="J75" s="430"/>
      <c r="K75" s="431"/>
      <c r="L75" s="430"/>
      <c r="M75" s="431"/>
      <c r="N75" s="431"/>
      <c r="O75" s="433"/>
      <c r="P75" s="316">
        <v>3</v>
      </c>
      <c r="Q75" s="330"/>
      <c r="R75" s="312"/>
      <c r="S75" s="317"/>
      <c r="T75" s="208" t="str">
        <f>IF(OR(U75="Preventivo",U75="Detectivo"),"Probabilidad",IF(U75="Correctivo","Impacto",""))</f>
        <v/>
      </c>
      <c r="U75" s="237"/>
      <c r="V75" s="237"/>
      <c r="W75" s="209" t="str">
        <f>IF(AND(U75="Preventivo",V75="Automático"),"50%",IF(AND(U75="Preventivo",V75="Manual"),"40%",IF(AND(U75="Detectivo",V75="Automático"),"40%",IF(AND(U75="Detectivo",V75="Manual"),"30%",IF(AND(U75="Correctivo",V75="Automático"),"35%",IF(AND(U75="Correctivo",V75="Manual"),"25%",""))))))</f>
        <v/>
      </c>
      <c r="X75" s="237"/>
      <c r="Y75" s="237"/>
      <c r="Z75" s="237"/>
      <c r="AA75" s="210" t="str">
        <f t="shared" ref="AA75:AA78" si="136">IFERROR(IF(AND(T74="Probabilidad",T75="Probabilidad"),(AC74-(+AC74*W75)),IF(AND(T74="Impacto",T75="Probabilidad"),(AC73-(+AC73*W75)),IF(T75="Impacto",AC74,""))),"")</f>
        <v/>
      </c>
      <c r="AB75" s="211" t="str">
        <f t="shared" si="132"/>
        <v/>
      </c>
      <c r="AC75" s="209" t="str">
        <f t="shared" si="133"/>
        <v/>
      </c>
      <c r="AD75" s="211" t="str">
        <f t="shared" si="134"/>
        <v/>
      </c>
      <c r="AE75" s="209" t="str">
        <f>IFERROR(IF(AND(T74="Impacto",T75="Impacto"),(AE74-(+AE74*W75)),IF(T75="Impacto",(#REF!-(+#REF!*W75)),IF(T75="Probabilidad",AE74,""))),"")</f>
        <v/>
      </c>
      <c r="AF75" s="212" t="str">
        <f t="shared" si="135"/>
        <v/>
      </c>
      <c r="AG75" s="237"/>
      <c r="AH75" s="319"/>
      <c r="AI75" s="319"/>
      <c r="AJ75" s="319"/>
      <c r="AK75" s="319"/>
      <c r="AL75" s="319"/>
      <c r="AM75" s="254"/>
      <c r="AN75" s="254"/>
      <c r="AO75" s="259"/>
      <c r="AP75" s="220"/>
      <c r="AQ75" s="254"/>
      <c r="AR75" s="277"/>
      <c r="AS75" s="277"/>
      <c r="AT75" s="129"/>
      <c r="AU75" s="129"/>
      <c r="AV75" s="129"/>
      <c r="AW75" s="129"/>
      <c r="AX75" s="129"/>
      <c r="AY75" s="129"/>
      <c r="AZ75" s="129"/>
      <c r="BA75" s="129"/>
      <c r="BB75" s="129"/>
      <c r="BC75" s="129"/>
      <c r="BD75" s="129"/>
      <c r="BE75" s="129"/>
      <c r="BF75" s="129"/>
      <c r="BG75" s="129"/>
      <c r="BH75" s="129"/>
    </row>
    <row r="76" spans="1:60" s="113" customFormat="1" ht="15" hidden="1" customHeight="1" x14ac:dyDescent="0.2">
      <c r="A76" s="437"/>
      <c r="B76" s="438"/>
      <c r="C76" s="434"/>
      <c r="D76" s="434"/>
      <c r="E76" s="435"/>
      <c r="F76" s="757"/>
      <c r="G76" s="435"/>
      <c r="H76" s="435"/>
      <c r="I76" s="439"/>
      <c r="J76" s="430"/>
      <c r="K76" s="431"/>
      <c r="L76" s="430"/>
      <c r="M76" s="431"/>
      <c r="N76" s="431"/>
      <c r="O76" s="433"/>
      <c r="P76" s="316">
        <v>4</v>
      </c>
      <c r="Q76" s="325"/>
      <c r="R76" s="312"/>
      <c r="S76" s="317"/>
      <c r="T76" s="208" t="str">
        <f t="shared" ref="T76:T78" si="137">IF(OR(U76="Preventivo",U76="Detectivo"),"Probabilidad",IF(U76="Correctivo","Impacto",""))</f>
        <v/>
      </c>
      <c r="U76" s="237"/>
      <c r="V76" s="237"/>
      <c r="W76" s="209" t="str">
        <f t="shared" ref="W76:W108" si="138">IF(AND(U76="Preventivo",V76="Automático"),"50%",IF(AND(U76="Preventivo",V76="Manual"),"40%",IF(AND(U76="Detectivo",V76="Automático"),"40%",IF(AND(U76="Detectivo",V76="Manual"),"30%",IF(AND(U76="Correctivo",V76="Automático"),"35%",IF(AND(U76="Correctivo",V76="Manual"),"25%",""))))))</f>
        <v/>
      </c>
      <c r="X76" s="237"/>
      <c r="Y76" s="237"/>
      <c r="Z76" s="237"/>
      <c r="AA76" s="210" t="str">
        <f t="shared" si="136"/>
        <v/>
      </c>
      <c r="AB76" s="211" t="str">
        <f t="shared" si="132"/>
        <v/>
      </c>
      <c r="AC76" s="209" t="str">
        <f t="shared" si="133"/>
        <v/>
      </c>
      <c r="AD76" s="211" t="str">
        <f t="shared" si="134"/>
        <v/>
      </c>
      <c r="AE76" s="209" t="str">
        <f>IFERROR(IF(AND(T75="Impacto",T76="Impacto"),(AE75-(+AE75*W76)),IF(T76="Impacto",(#REF!-(+#REF!*W76)),IF(T76="Probabilidad",AE75,""))),"")</f>
        <v/>
      </c>
      <c r="AF76" s="212" t="str">
        <f>IFERROR(IF(OR(AND(AB76="Muy Baja",AD76="Leve"),AND(AB76="Muy Baja",AD76="Menor"),AND(AB76="Baja",AD76="Leve")),"Bajo",IF(OR(AND(AB76="Muy baja",AD76="Moderado"),AND(AB76="Baja",AD76="Menor"),AND(AB76="Baja",AD76="Moderado"),AND(AB76="Media",AD76="Leve"),AND(AB76="Media",AD76="Menor"),AND(AB76="Media",AD76="Moderado"),AND(AB76="Alta",AD76="Leve"),AND(AB76="Alta",AD76="Menor")),"Moderado",IF(OR(AND(AB76="Muy Baja",AD76="Mayor"),AND(AB76="Baja",AD76="Mayor"),AND(AB76="Media",AD76="Mayor"),AND(AB76="Alta",AD76="Moderado"),AND(AB76="Alta",AD76="Mayor"),AND(AB76="Muy Alta",AD76="Leve"),AND(AB76="Muy Alta",AD76="Menor"),AND(AB76="Muy Alta",AD76="Moderado"),AND(AB76="Muy Alta",AD76="Mayor")),"Alto",IF(OR(AND(AB76="Muy Baja",AD76="Catastrófico"),AND(AB76="Baja",AD76="Catastrófico"),AND(AB76="Media",AD76="Catastrófico"),AND(AB76="Alta",AD76="Catastrófico"),AND(AB76="Muy Alta",AD76="Catastrófico")),"Extremo","")))),"")</f>
        <v/>
      </c>
      <c r="AG76" s="237"/>
      <c r="AH76" s="319"/>
      <c r="AI76" s="319"/>
      <c r="AJ76" s="319"/>
      <c r="AK76" s="319"/>
      <c r="AL76" s="319"/>
      <c r="AM76" s="213"/>
      <c r="AN76" s="213"/>
      <c r="AO76" s="256"/>
      <c r="AP76" s="220"/>
      <c r="AQ76" s="213"/>
      <c r="AR76" s="277"/>
      <c r="AS76" s="277"/>
      <c r="AT76" s="129"/>
      <c r="AU76" s="129"/>
      <c r="AV76" s="129"/>
      <c r="AW76" s="129"/>
      <c r="AX76" s="129"/>
      <c r="AY76" s="129"/>
      <c r="AZ76" s="129"/>
      <c r="BA76" s="129"/>
      <c r="BB76" s="129"/>
      <c r="BC76" s="129"/>
      <c r="BD76" s="129"/>
      <c r="BE76" s="129"/>
      <c r="BF76" s="129"/>
      <c r="BG76" s="129"/>
      <c r="BH76" s="129"/>
    </row>
    <row r="77" spans="1:60" s="113" customFormat="1" ht="15" hidden="1" customHeight="1" x14ac:dyDescent="0.2">
      <c r="A77" s="437"/>
      <c r="B77" s="438"/>
      <c r="C77" s="434"/>
      <c r="D77" s="434"/>
      <c r="E77" s="435"/>
      <c r="F77" s="757"/>
      <c r="G77" s="435"/>
      <c r="H77" s="435"/>
      <c r="I77" s="439"/>
      <c r="J77" s="430"/>
      <c r="K77" s="431"/>
      <c r="L77" s="430"/>
      <c r="M77" s="431"/>
      <c r="N77" s="431"/>
      <c r="O77" s="433"/>
      <c r="P77" s="316">
        <v>5</v>
      </c>
      <c r="Q77" s="325"/>
      <c r="R77" s="312"/>
      <c r="S77" s="317"/>
      <c r="T77" s="208" t="str">
        <f t="shared" si="137"/>
        <v/>
      </c>
      <c r="U77" s="237"/>
      <c r="V77" s="237"/>
      <c r="W77" s="209" t="str">
        <f t="shared" si="138"/>
        <v/>
      </c>
      <c r="X77" s="237"/>
      <c r="Y77" s="237"/>
      <c r="Z77" s="237"/>
      <c r="AA77" s="210" t="str">
        <f t="shared" si="136"/>
        <v/>
      </c>
      <c r="AB77" s="211" t="str">
        <f t="shared" si="132"/>
        <v/>
      </c>
      <c r="AC77" s="209" t="str">
        <f t="shared" si="133"/>
        <v/>
      </c>
      <c r="AD77" s="211" t="str">
        <f t="shared" si="134"/>
        <v/>
      </c>
      <c r="AE77" s="209" t="str">
        <f>IFERROR(IF(AND(T76="Impacto",T77="Impacto"),(AE76-(+AE76*W77)),IF(T77="Impacto",(#REF!-(+#REF!*W77)),IF(T77="Probabilidad",AE76,""))),"")</f>
        <v/>
      </c>
      <c r="AF77" s="212" t="str">
        <f t="shared" ref="AF77:AF78" si="139">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237"/>
      <c r="AH77" s="319"/>
      <c r="AI77" s="319"/>
      <c r="AJ77" s="319"/>
      <c r="AK77" s="319"/>
      <c r="AL77" s="319"/>
      <c r="AM77" s="253"/>
      <c r="AN77" s="253"/>
      <c r="AO77" s="255"/>
      <c r="AP77" s="216"/>
      <c r="AQ77" s="216"/>
      <c r="AR77" s="277"/>
      <c r="AS77" s="277"/>
      <c r="AT77" s="129"/>
      <c r="AU77" s="129"/>
      <c r="AV77" s="129"/>
      <c r="AW77" s="129"/>
      <c r="AX77" s="129"/>
      <c r="AY77" s="129"/>
      <c r="AZ77" s="129"/>
      <c r="BA77" s="129"/>
      <c r="BB77" s="129"/>
      <c r="BC77" s="129"/>
      <c r="BD77" s="129"/>
      <c r="BE77" s="129"/>
      <c r="BF77" s="129"/>
      <c r="BG77" s="129"/>
      <c r="BH77" s="129"/>
    </row>
    <row r="78" spans="1:60" s="113" customFormat="1" ht="15" hidden="1" customHeight="1" x14ac:dyDescent="0.2">
      <c r="A78" s="437"/>
      <c r="B78" s="438"/>
      <c r="C78" s="434"/>
      <c r="D78" s="434"/>
      <c r="E78" s="435"/>
      <c r="F78" s="757"/>
      <c r="G78" s="435"/>
      <c r="H78" s="435"/>
      <c r="I78" s="439"/>
      <c r="J78" s="430"/>
      <c r="K78" s="431"/>
      <c r="L78" s="430"/>
      <c r="M78" s="431"/>
      <c r="N78" s="431"/>
      <c r="O78" s="433"/>
      <c r="P78" s="316">
        <v>6</v>
      </c>
      <c r="Q78" s="325"/>
      <c r="R78" s="312"/>
      <c r="S78" s="317"/>
      <c r="T78" s="208" t="str">
        <f t="shared" si="137"/>
        <v/>
      </c>
      <c r="U78" s="237"/>
      <c r="V78" s="237"/>
      <c r="W78" s="209" t="str">
        <f t="shared" si="138"/>
        <v/>
      </c>
      <c r="X78" s="237"/>
      <c r="Y78" s="237"/>
      <c r="Z78" s="237"/>
      <c r="AA78" s="210" t="str">
        <f t="shared" si="136"/>
        <v/>
      </c>
      <c r="AB78" s="211" t="str">
        <f t="shared" si="132"/>
        <v/>
      </c>
      <c r="AC78" s="209" t="str">
        <f t="shared" si="133"/>
        <v/>
      </c>
      <c r="AD78" s="211" t="str">
        <f t="shared" si="134"/>
        <v/>
      </c>
      <c r="AE78" s="209" t="str">
        <f>IFERROR(IF(AND(T77="Impacto",T78="Impacto"),(AE77-(+AE77*W78)),IF(T78="Impacto",(#REF!-(+#REF!*W78)),IF(T78="Probabilidad",AE77,""))),"")</f>
        <v/>
      </c>
      <c r="AF78" s="212" t="str">
        <f t="shared" si="139"/>
        <v/>
      </c>
      <c r="AG78" s="237"/>
      <c r="AH78" s="319"/>
      <c r="AI78" s="319"/>
      <c r="AJ78" s="319"/>
      <c r="AK78" s="319"/>
      <c r="AL78" s="319"/>
      <c r="AM78" s="253"/>
      <c r="AN78" s="253"/>
      <c r="AO78" s="255"/>
      <c r="AP78" s="216"/>
      <c r="AQ78" s="216"/>
      <c r="AR78" s="277"/>
      <c r="AS78" s="277"/>
      <c r="AT78" s="129"/>
      <c r="AU78" s="129"/>
      <c r="AV78" s="129"/>
      <c r="AW78" s="129"/>
      <c r="AX78" s="129"/>
      <c r="AY78" s="129"/>
      <c r="AZ78" s="129"/>
      <c r="BA78" s="129"/>
      <c r="BB78" s="129"/>
      <c r="BC78" s="129"/>
      <c r="BD78" s="129"/>
      <c r="BE78" s="129"/>
      <c r="BF78" s="129"/>
      <c r="BG78" s="129"/>
      <c r="BH78" s="129"/>
    </row>
    <row r="79" spans="1:60" s="271" customFormat="1" ht="114" x14ac:dyDescent="0.2">
      <c r="A79" s="437" t="s">
        <v>998</v>
      </c>
      <c r="B79" s="438" t="s">
        <v>280</v>
      </c>
      <c r="C79" s="434" t="s">
        <v>620</v>
      </c>
      <c r="D79" s="434" t="s">
        <v>1000</v>
      </c>
      <c r="E79" s="435" t="s">
        <v>685</v>
      </c>
      <c r="F79" s="436" t="s">
        <v>999</v>
      </c>
      <c r="G79" s="435" t="s">
        <v>233</v>
      </c>
      <c r="H79" s="435" t="s">
        <v>1078</v>
      </c>
      <c r="I79" s="439">
        <v>500</v>
      </c>
      <c r="J79" s="430" t="str">
        <f t="shared" si="108"/>
        <v>Media</v>
      </c>
      <c r="K79" s="431">
        <f t="shared" ref="K79" si="140">IF(J79="","",IF(J79="Muy Baja",0.2,IF(J79="Baja",0.4,IF(J79="Media",0.6,IF(J79="Alta",0.8,IF(J79="Muy Alta",1,))))))</f>
        <v>0.6</v>
      </c>
      <c r="L79" s="430">
        <v>3</v>
      </c>
      <c r="M79" s="431" t="str">
        <f t="shared" ref="M79" si="141">IF(L79=1,"INSIGNIFICANTE",IF(L79=2,"Menor",IF(L79=3,"Moderado",IF(L79=4,"MAYOR",IF(L79=5,"Catastrófico",IF(L79=""," "))))))</f>
        <v>Moderado</v>
      </c>
      <c r="N79" s="431">
        <f t="shared" ref="N79" si="142">IF(M79="","",IF(M79="Leve",0.2,IF(M79="Menor",0.4,IF(M79="Moderado",0.6,IF(M79="Mayor",0.8,IF(M79="Catastrófico",1,))))))</f>
        <v>0.6</v>
      </c>
      <c r="O79" s="433" t="str">
        <f t="shared" si="131"/>
        <v>Moderado</v>
      </c>
      <c r="P79" s="261">
        <v>1</v>
      </c>
      <c r="Q79" s="328" t="s">
        <v>1001</v>
      </c>
      <c r="R79" s="272" t="s">
        <v>293</v>
      </c>
      <c r="S79" s="317" t="s">
        <v>1003</v>
      </c>
      <c r="T79" s="262" t="str">
        <f>IF(OR(U79="Preventivo",U79="Detectivo"),"Probabilidad",IF(U79="Correctivo","Impacto",""))</f>
        <v>Probabilidad</v>
      </c>
      <c r="U79" s="263" t="s">
        <v>13</v>
      </c>
      <c r="V79" s="263" t="s">
        <v>8</v>
      </c>
      <c r="W79" s="264" t="str">
        <f t="shared" si="138"/>
        <v>40%</v>
      </c>
      <c r="X79" s="263" t="s">
        <v>18</v>
      </c>
      <c r="Y79" s="263" t="s">
        <v>21</v>
      </c>
      <c r="Z79" s="263" t="s">
        <v>103</v>
      </c>
      <c r="AA79" s="265">
        <f>IFERROR(IF(T79="Probabilidad",(K79-(+K79*W79)),IF(T79="Impacto",K79,"")),"")</f>
        <v>0.36</v>
      </c>
      <c r="AB79" s="266" t="str">
        <f>IFERROR(IF(AA79="","",IF(AA79&lt;=0.2,"Muy Baja",IF(AA79&lt;=0.4,"Baja",IF(AA79&lt;=0.6,"Media",IF(AA79&lt;=0.8,"Alta","Muy Alta"))))),"")</f>
        <v>Baja</v>
      </c>
      <c r="AC79" s="264">
        <f>+AA79</f>
        <v>0.36</v>
      </c>
      <c r="AD79" s="266" t="str">
        <f>IFERROR(IF(AE79="","",IF(AE79&lt;=0.2,"Leve",IF(AE79&lt;=0.4,"Menor",IF(AE79&lt;=0.6,"Moderado",IF(AE79&lt;=0.8,"Mayor","Catastrófico"))))),"")</f>
        <v>Moderado</v>
      </c>
      <c r="AE79" s="264">
        <f>IFERROR(IF(T79="Impacto",(N79-(+N79*W79)),IF(T79="Probabilidad",N79,"")),"")</f>
        <v>0.6</v>
      </c>
      <c r="AF79" s="267" t="str">
        <f>IFERROR(IF(OR(AND(AB79="Muy Baja",AD79="Leve"),AND(AB79="Muy Baja",AD79="Menor"),AND(AB79="Baja",AD79="Leve")),"Bajo",IF(OR(AND(AB79="Muy baja",AD79="Moderado"),AND(AB79="Baja",AD79="Menor"),AND(AB79="Baja",AD79="Moderado"),AND(AB79="Media",AD79="Leve"),AND(AB79="Media",AD79="Menor"),AND(AB79="Media",AD79="Moderado"),AND(AB79="Alta",AD79="Leve"),AND(AB79="Alta",AD79="Menor")),"Moderado",IF(OR(AND(AB79="Muy Baja",AD79="Mayor"),AND(AB79="Baja",AD79="Mayor"),AND(AB79="Media",AD79="Mayor"),AND(AB79="Alta",AD79="Moderado"),AND(AB79="Alta",AD79="Mayor"),AND(AB79="Muy Alta",AD79="Leve"),AND(AB79="Muy Alta",AD79="Menor"),AND(AB79="Muy Alta",AD79="Moderado"),AND(AB79="Muy Alta",AD79="Mayor")),"Alto",IF(OR(AND(AB79="Muy Baja",AD79="Catastrófico"),AND(AB79="Baja",AD79="Catastrófico"),AND(AB79="Media",AD79="Catastrófico"),AND(AB79="Alta",AD79="Catastrófico"),AND(AB79="Muy Alta",AD79="Catastrófico")),"Extremo","")))),"")</f>
        <v>Moderado</v>
      </c>
      <c r="AG79" s="263" t="s">
        <v>26</v>
      </c>
      <c r="AH79" s="319">
        <v>12</v>
      </c>
      <c r="AI79" s="319">
        <v>3</v>
      </c>
      <c r="AJ79" s="319">
        <v>3</v>
      </c>
      <c r="AK79" s="319">
        <v>3</v>
      </c>
      <c r="AL79" s="319">
        <v>3</v>
      </c>
      <c r="AM79" s="268"/>
      <c r="AN79" s="268"/>
      <c r="AO79" s="258"/>
      <c r="AP79" s="269"/>
      <c r="AQ79" s="270"/>
      <c r="AR79" s="276"/>
      <c r="AS79" s="276"/>
    </row>
    <row r="80" spans="1:60" s="113" customFormat="1" ht="142.5" x14ac:dyDescent="0.2">
      <c r="A80" s="437"/>
      <c r="B80" s="438"/>
      <c r="C80" s="434"/>
      <c r="D80" s="434"/>
      <c r="E80" s="435"/>
      <c r="F80" s="436"/>
      <c r="G80" s="435"/>
      <c r="H80" s="435"/>
      <c r="I80" s="439"/>
      <c r="J80" s="430"/>
      <c r="K80" s="431"/>
      <c r="L80" s="430"/>
      <c r="M80" s="431"/>
      <c r="N80" s="431"/>
      <c r="O80" s="433"/>
      <c r="P80" s="316">
        <v>2</v>
      </c>
      <c r="Q80" s="325" t="s">
        <v>1002</v>
      </c>
      <c r="R80" s="312" t="s">
        <v>293</v>
      </c>
      <c r="S80" s="317" t="s">
        <v>1004</v>
      </c>
      <c r="T80" s="208" t="str">
        <f>IF(OR(U80="Preventivo",U80="Detectivo"),"Probabilidad",IF(U80="Correctivo","Impacto",""))</f>
        <v>Probabilidad</v>
      </c>
      <c r="U80" s="237" t="s">
        <v>13</v>
      </c>
      <c r="V80" s="237" t="s">
        <v>8</v>
      </c>
      <c r="W80" s="209" t="str">
        <f t="shared" si="138"/>
        <v>40%</v>
      </c>
      <c r="X80" s="237" t="s">
        <v>18</v>
      </c>
      <c r="Y80" s="237" t="s">
        <v>21</v>
      </c>
      <c r="Z80" s="237" t="s">
        <v>103</v>
      </c>
      <c r="AA80" s="210">
        <f>IFERROR(IF(AND(T79="Probabilidad",T80="Probabilidad"),(AC79-(+AC79*W80)),IF(T80="Probabilidad",(K79-(+K79*W80)),IF(T80="Impacto",AC79,""))),"")</f>
        <v>0.216</v>
      </c>
      <c r="AB80" s="211" t="str">
        <f t="shared" ref="AB80:AB108" si="143">IFERROR(IF(AA80="","",IF(AA80&lt;=0.2,"Muy Baja",IF(AA80&lt;=0.4,"Baja",IF(AA80&lt;=0.6,"Media",IF(AA80&lt;=0.8,"Alta","Muy Alta"))))),"")</f>
        <v>Baja</v>
      </c>
      <c r="AC80" s="209">
        <f t="shared" ref="AC80:AC84" si="144">+AA80</f>
        <v>0.216</v>
      </c>
      <c r="AD80" s="211" t="str">
        <f t="shared" ref="AD80:AD108" si="145">IFERROR(IF(AE80="","",IF(AE80&lt;=0.2,"Leve",IF(AE80&lt;=0.4,"Menor",IF(AE80&lt;=0.6,"Moderado",IF(AE80&lt;=0.8,"Mayor","Catastrófico"))))),"")</f>
        <v>Moderado</v>
      </c>
      <c r="AE80" s="209">
        <f>IFERROR(IF(AND(T79="Impacto",T80="Impacto"),(AE79-(+AE79*W80)),IF(T80="Impacto",(#REF!-(+#REF!*W80)),IF(T80="Probabilidad",AE79,""))),"")</f>
        <v>0.6</v>
      </c>
      <c r="AF80" s="212" t="str">
        <f t="shared" ref="AF80:AF81" si="14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237" t="s">
        <v>26</v>
      </c>
      <c r="AH80" s="319">
        <v>2</v>
      </c>
      <c r="AI80" s="319">
        <v>0</v>
      </c>
      <c r="AJ80" s="319">
        <v>1</v>
      </c>
      <c r="AK80" s="319">
        <v>0</v>
      </c>
      <c r="AL80" s="319">
        <v>1</v>
      </c>
      <c r="AM80" s="254"/>
      <c r="AN80" s="254"/>
      <c r="AO80" s="259"/>
      <c r="AP80" s="220"/>
      <c r="AQ80" s="254"/>
      <c r="AR80" s="277"/>
      <c r="AS80" s="277"/>
      <c r="AT80" s="129"/>
      <c r="AU80" s="129"/>
      <c r="AV80" s="129"/>
      <c r="AW80" s="129"/>
      <c r="AX80" s="129"/>
      <c r="AY80" s="129"/>
      <c r="AZ80" s="129"/>
      <c r="BA80" s="129"/>
      <c r="BB80" s="129"/>
      <c r="BC80" s="129"/>
      <c r="BD80" s="129"/>
      <c r="BE80" s="129"/>
      <c r="BF80" s="129"/>
      <c r="BG80" s="129"/>
      <c r="BH80" s="129"/>
    </row>
    <row r="81" spans="1:60" s="113" customFormat="1" ht="24.75" hidden="1" customHeight="1" x14ac:dyDescent="0.2">
      <c r="A81" s="437"/>
      <c r="B81" s="438"/>
      <c r="C81" s="434"/>
      <c r="D81" s="434"/>
      <c r="E81" s="435"/>
      <c r="F81" s="436"/>
      <c r="G81" s="435"/>
      <c r="H81" s="435"/>
      <c r="I81" s="439"/>
      <c r="J81" s="430"/>
      <c r="K81" s="431"/>
      <c r="L81" s="430"/>
      <c r="M81" s="431"/>
      <c r="N81" s="431"/>
      <c r="O81" s="433"/>
      <c r="P81" s="316">
        <v>3</v>
      </c>
      <c r="Q81" s="330"/>
      <c r="R81" s="312"/>
      <c r="S81" s="317"/>
      <c r="T81" s="208" t="str">
        <f>IF(OR(U81="Preventivo",U81="Detectivo"),"Probabilidad",IF(U81="Correctivo","Impacto",""))</f>
        <v/>
      </c>
      <c r="U81" s="237"/>
      <c r="V81" s="237"/>
      <c r="W81" s="209" t="str">
        <f>IF(AND(U81="Preventivo",V81="Automático"),"50%",IF(AND(U81="Preventivo",V81="Manual"),"40%",IF(AND(U81="Detectivo",V81="Automático"),"40%",IF(AND(U81="Detectivo",V81="Manual"),"30%",IF(AND(U81="Correctivo",V81="Automático"),"35%",IF(AND(U81="Correctivo",V81="Manual"),"25%",""))))))</f>
        <v/>
      </c>
      <c r="X81" s="237"/>
      <c r="Y81" s="237"/>
      <c r="Z81" s="237"/>
      <c r="AA81" s="210" t="str">
        <f t="shared" ref="AA81:AA108" si="147">IFERROR(IF(AND(T80="Probabilidad",T81="Probabilidad"),(AC80-(+AC80*W81)),IF(AND(T80="Impacto",T81="Probabilidad"),(AC79-(+AC79*W81)),IF(T81="Impacto",AC80,""))),"")</f>
        <v/>
      </c>
      <c r="AB81" s="211" t="str">
        <f t="shared" si="143"/>
        <v/>
      </c>
      <c r="AC81" s="209" t="str">
        <f t="shared" si="144"/>
        <v/>
      </c>
      <c r="AD81" s="211" t="str">
        <f t="shared" si="145"/>
        <v/>
      </c>
      <c r="AE81" s="209" t="str">
        <f>IFERROR(IF(AND(T80="Impacto",T81="Impacto"),(AE80-(+AE80*W81)),IF(T81="Impacto",(#REF!-(+#REF!*W81)),IF(T81="Probabilidad",AE80,""))),"")</f>
        <v/>
      </c>
      <c r="AF81" s="212" t="str">
        <f t="shared" si="146"/>
        <v/>
      </c>
      <c r="AG81" s="237"/>
      <c r="AH81" s="319"/>
      <c r="AI81" s="319"/>
      <c r="AJ81" s="319"/>
      <c r="AK81" s="319"/>
      <c r="AL81" s="319"/>
      <c r="AM81" s="254"/>
      <c r="AN81" s="254"/>
      <c r="AO81" s="259"/>
      <c r="AP81" s="220"/>
      <c r="AQ81" s="254"/>
      <c r="AR81" s="277"/>
      <c r="AS81" s="277"/>
      <c r="AT81" s="129"/>
      <c r="AU81" s="129"/>
      <c r="AV81" s="129"/>
      <c r="AW81" s="129"/>
      <c r="AX81" s="129"/>
      <c r="AY81" s="129"/>
      <c r="AZ81" s="129"/>
      <c r="BA81" s="129"/>
      <c r="BB81" s="129"/>
      <c r="BC81" s="129"/>
      <c r="BD81" s="129"/>
      <c r="BE81" s="129"/>
      <c r="BF81" s="129"/>
      <c r="BG81" s="129"/>
      <c r="BH81" s="129"/>
    </row>
    <row r="82" spans="1:60" s="113" customFormat="1" ht="24.75" hidden="1" customHeight="1" x14ac:dyDescent="0.2">
      <c r="A82" s="437"/>
      <c r="B82" s="438"/>
      <c r="C82" s="434"/>
      <c r="D82" s="434"/>
      <c r="E82" s="435"/>
      <c r="F82" s="436"/>
      <c r="G82" s="435"/>
      <c r="H82" s="435"/>
      <c r="I82" s="439"/>
      <c r="J82" s="430"/>
      <c r="K82" s="431"/>
      <c r="L82" s="430"/>
      <c r="M82" s="431"/>
      <c r="N82" s="431"/>
      <c r="O82" s="433"/>
      <c r="P82" s="316">
        <v>4</v>
      </c>
      <c r="Q82" s="325"/>
      <c r="R82" s="312"/>
      <c r="S82" s="317"/>
      <c r="T82" s="208" t="str">
        <f t="shared" ref="T82:T84" si="148">IF(OR(U82="Preventivo",U82="Detectivo"),"Probabilidad",IF(U82="Correctivo","Impacto",""))</f>
        <v/>
      </c>
      <c r="U82" s="237"/>
      <c r="V82" s="237"/>
      <c r="W82" s="209" t="str">
        <f t="shared" si="138"/>
        <v/>
      </c>
      <c r="X82" s="237"/>
      <c r="Y82" s="237"/>
      <c r="Z82" s="237"/>
      <c r="AA82" s="210" t="str">
        <f t="shared" si="147"/>
        <v/>
      </c>
      <c r="AB82" s="211" t="str">
        <f t="shared" si="143"/>
        <v/>
      </c>
      <c r="AC82" s="209" t="str">
        <f t="shared" si="144"/>
        <v/>
      </c>
      <c r="AD82" s="211" t="str">
        <f t="shared" si="145"/>
        <v/>
      </c>
      <c r="AE82" s="209" t="str">
        <f>IFERROR(IF(AND(T81="Impacto",T82="Impacto"),(AE81-(+AE81*W82)),IF(T82="Impacto",(#REF!-(+#REF!*W82)),IF(T82="Probabilidad",AE81,""))),"")</f>
        <v/>
      </c>
      <c r="AF82" s="212" t="str">
        <f>IFERROR(IF(OR(AND(AB82="Muy Baja",AD82="Leve"),AND(AB82="Muy Baja",AD82="Menor"),AND(AB82="Baja",AD82="Leve")),"Bajo",IF(OR(AND(AB82="Muy baja",AD82="Moderado"),AND(AB82="Baja",AD82="Menor"),AND(AB82="Baja",AD82="Moderado"),AND(AB82="Media",AD82="Leve"),AND(AB82="Media",AD82="Menor"),AND(AB82="Media",AD82="Moderado"),AND(AB82="Alta",AD82="Leve"),AND(AB82="Alta",AD82="Menor")),"Moderado",IF(OR(AND(AB82="Muy Baja",AD82="Mayor"),AND(AB82="Baja",AD82="Mayor"),AND(AB82="Media",AD82="Mayor"),AND(AB82="Alta",AD82="Moderado"),AND(AB82="Alta",AD82="Mayor"),AND(AB82="Muy Alta",AD82="Leve"),AND(AB82="Muy Alta",AD82="Menor"),AND(AB82="Muy Alta",AD82="Moderado"),AND(AB82="Muy Alta",AD82="Mayor")),"Alto",IF(OR(AND(AB82="Muy Baja",AD82="Catastrófico"),AND(AB82="Baja",AD82="Catastrófico"),AND(AB82="Media",AD82="Catastrófico"),AND(AB82="Alta",AD82="Catastrófico"),AND(AB82="Muy Alta",AD82="Catastrófico")),"Extremo","")))),"")</f>
        <v/>
      </c>
      <c r="AG82" s="237"/>
      <c r="AH82" s="319"/>
      <c r="AI82" s="319"/>
      <c r="AJ82" s="319"/>
      <c r="AK82" s="319"/>
      <c r="AL82" s="319"/>
      <c r="AM82" s="213"/>
      <c r="AN82" s="213"/>
      <c r="AO82" s="256"/>
      <c r="AP82" s="220"/>
      <c r="AQ82" s="213"/>
      <c r="AR82" s="277"/>
      <c r="AS82" s="277"/>
      <c r="AT82" s="129"/>
      <c r="AU82" s="129"/>
      <c r="AV82" s="129"/>
      <c r="AW82" s="129"/>
      <c r="AX82" s="129"/>
      <c r="AY82" s="129"/>
      <c r="AZ82" s="129"/>
      <c r="BA82" s="129"/>
      <c r="BB82" s="129"/>
      <c r="BC82" s="129"/>
      <c r="BD82" s="129"/>
      <c r="BE82" s="129"/>
      <c r="BF82" s="129"/>
      <c r="BG82" s="129"/>
      <c r="BH82" s="129"/>
    </row>
    <row r="83" spans="1:60" s="113" customFormat="1" ht="24.75" hidden="1" customHeight="1" x14ac:dyDescent="0.2">
      <c r="A83" s="437"/>
      <c r="B83" s="438"/>
      <c r="C83" s="434"/>
      <c r="D83" s="434"/>
      <c r="E83" s="435"/>
      <c r="F83" s="436"/>
      <c r="G83" s="435"/>
      <c r="H83" s="435"/>
      <c r="I83" s="439"/>
      <c r="J83" s="430"/>
      <c r="K83" s="431"/>
      <c r="L83" s="430"/>
      <c r="M83" s="431"/>
      <c r="N83" s="431"/>
      <c r="O83" s="433"/>
      <c r="P83" s="316">
        <v>5</v>
      </c>
      <c r="Q83" s="325"/>
      <c r="R83" s="312"/>
      <c r="S83" s="317"/>
      <c r="T83" s="208" t="str">
        <f t="shared" si="148"/>
        <v/>
      </c>
      <c r="U83" s="237"/>
      <c r="V83" s="237"/>
      <c r="W83" s="209" t="str">
        <f t="shared" si="138"/>
        <v/>
      </c>
      <c r="X83" s="237"/>
      <c r="Y83" s="237"/>
      <c r="Z83" s="237"/>
      <c r="AA83" s="210" t="str">
        <f t="shared" si="147"/>
        <v/>
      </c>
      <c r="AB83" s="211" t="str">
        <f t="shared" si="143"/>
        <v/>
      </c>
      <c r="AC83" s="209" t="str">
        <f t="shared" si="144"/>
        <v/>
      </c>
      <c r="AD83" s="211" t="str">
        <f t="shared" si="145"/>
        <v/>
      </c>
      <c r="AE83" s="209" t="str">
        <f>IFERROR(IF(AND(T82="Impacto",T83="Impacto"),(AE82-(+AE82*W83)),IF(T83="Impacto",(#REF!-(+#REF!*W83)),IF(T83="Probabilidad",AE82,""))),"")</f>
        <v/>
      </c>
      <c r="AF83" s="212" t="str">
        <f t="shared" ref="AF83:AF84" si="149">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
      </c>
      <c r="AG83" s="237"/>
      <c r="AH83" s="319"/>
      <c r="AI83" s="319"/>
      <c r="AJ83" s="319"/>
      <c r="AK83" s="319"/>
      <c r="AL83" s="319"/>
      <c r="AM83" s="253"/>
      <c r="AN83" s="253"/>
      <c r="AO83" s="255"/>
      <c r="AP83" s="216"/>
      <c r="AQ83" s="216"/>
      <c r="AR83" s="277"/>
      <c r="AS83" s="277"/>
      <c r="AT83" s="129"/>
      <c r="AU83" s="129"/>
      <c r="AV83" s="129"/>
      <c r="AW83" s="129"/>
      <c r="AX83" s="129"/>
      <c r="AY83" s="129"/>
      <c r="AZ83" s="129"/>
      <c r="BA83" s="129"/>
      <c r="BB83" s="129"/>
      <c r="BC83" s="129"/>
      <c r="BD83" s="129"/>
      <c r="BE83" s="129"/>
      <c r="BF83" s="129"/>
      <c r="BG83" s="129"/>
      <c r="BH83" s="129"/>
    </row>
    <row r="84" spans="1:60" s="113" customFormat="1" ht="24.75" hidden="1" customHeight="1" x14ac:dyDescent="0.2">
      <c r="A84" s="437"/>
      <c r="B84" s="438"/>
      <c r="C84" s="434"/>
      <c r="D84" s="434"/>
      <c r="E84" s="435"/>
      <c r="F84" s="436"/>
      <c r="G84" s="435"/>
      <c r="H84" s="435"/>
      <c r="I84" s="439"/>
      <c r="J84" s="430"/>
      <c r="K84" s="431"/>
      <c r="L84" s="430"/>
      <c r="M84" s="431"/>
      <c r="N84" s="431"/>
      <c r="O84" s="433"/>
      <c r="P84" s="316">
        <v>6</v>
      </c>
      <c r="Q84" s="325"/>
      <c r="R84" s="312"/>
      <c r="S84" s="317"/>
      <c r="T84" s="208" t="str">
        <f t="shared" si="148"/>
        <v/>
      </c>
      <c r="U84" s="237"/>
      <c r="V84" s="237"/>
      <c r="W84" s="209" t="str">
        <f t="shared" si="138"/>
        <v/>
      </c>
      <c r="X84" s="237"/>
      <c r="Y84" s="237"/>
      <c r="Z84" s="237"/>
      <c r="AA84" s="210" t="str">
        <f t="shared" si="147"/>
        <v/>
      </c>
      <c r="AB84" s="211" t="str">
        <f t="shared" si="143"/>
        <v/>
      </c>
      <c r="AC84" s="209" t="str">
        <f t="shared" si="144"/>
        <v/>
      </c>
      <c r="AD84" s="211" t="str">
        <f t="shared" si="145"/>
        <v/>
      </c>
      <c r="AE84" s="209" t="str">
        <f>IFERROR(IF(AND(T83="Impacto",T84="Impacto"),(AE83-(+AE83*W84)),IF(T84="Impacto",(#REF!-(+#REF!*W84)),IF(T84="Probabilidad",AE83,""))),"")</f>
        <v/>
      </c>
      <c r="AF84" s="212" t="str">
        <f t="shared" si="149"/>
        <v/>
      </c>
      <c r="AG84" s="237"/>
      <c r="AH84" s="319"/>
      <c r="AI84" s="319"/>
      <c r="AJ84" s="319"/>
      <c r="AK84" s="319"/>
      <c r="AL84" s="319"/>
      <c r="AM84" s="253"/>
      <c r="AN84" s="253"/>
      <c r="AO84" s="255"/>
      <c r="AP84" s="216"/>
      <c r="AQ84" s="216"/>
      <c r="AR84" s="277"/>
      <c r="AS84" s="277"/>
      <c r="AT84" s="129"/>
      <c r="AU84" s="129"/>
      <c r="AV84" s="129"/>
      <c r="AW84" s="129"/>
      <c r="AX84" s="129"/>
      <c r="AY84" s="129"/>
      <c r="AZ84" s="129"/>
      <c r="BA84" s="129"/>
      <c r="BB84" s="129"/>
      <c r="BC84" s="129"/>
      <c r="BD84" s="129"/>
      <c r="BE84" s="129"/>
      <c r="BF84" s="129"/>
      <c r="BG84" s="129"/>
      <c r="BH84" s="129"/>
    </row>
    <row r="85" spans="1:60" s="271" customFormat="1" ht="126.6" customHeight="1" x14ac:dyDescent="0.2">
      <c r="A85" s="437" t="s">
        <v>1015</v>
      </c>
      <c r="B85" s="438" t="s">
        <v>613</v>
      </c>
      <c r="C85" s="434" t="s">
        <v>624</v>
      </c>
      <c r="D85" s="434" t="s">
        <v>1017</v>
      </c>
      <c r="E85" s="435" t="s">
        <v>685</v>
      </c>
      <c r="F85" s="436" t="s">
        <v>1016</v>
      </c>
      <c r="G85" s="435" t="s">
        <v>233</v>
      </c>
      <c r="H85" s="435" t="s">
        <v>1078</v>
      </c>
      <c r="I85" s="439">
        <v>1</v>
      </c>
      <c r="J85" s="430" t="str">
        <f t="shared" si="108"/>
        <v>Muy Baja</v>
      </c>
      <c r="K85" s="431">
        <f t="shared" ref="K85" si="150">IF(J85="","",IF(J85="Muy Baja",0.2,IF(J85="Baja",0.4,IF(J85="Media",0.6,IF(J85="Alta",0.8,IF(J85="Muy Alta",1,))))))</f>
        <v>0.2</v>
      </c>
      <c r="L85" s="430">
        <v>4</v>
      </c>
      <c r="M85" s="431" t="str">
        <f t="shared" ref="M85" si="151">IF(L85=1,"INSIGNIFICANTE",IF(L85=2,"Menor",IF(L85=3,"Moderado",IF(L85=4,"MAYOR",IF(L85=5,"Catastrófico",IF(L85=""," "))))))</f>
        <v>MAYOR</v>
      </c>
      <c r="N85" s="431">
        <f t="shared" ref="N85" si="152">IF(M85="","",IF(M85="Leve",0.2,IF(M85="Menor",0.4,IF(M85="Moderado",0.6,IF(M85="Mayor",0.8,IF(M85="Catastrófico",1,))))))</f>
        <v>0.8</v>
      </c>
      <c r="O85" s="433" t="str">
        <f t="shared" si="131"/>
        <v>Alto</v>
      </c>
      <c r="P85" s="261">
        <v>1</v>
      </c>
      <c r="Q85" s="328" t="s">
        <v>1018</v>
      </c>
      <c r="R85" s="272" t="s">
        <v>293</v>
      </c>
      <c r="S85" s="317" t="s">
        <v>1019</v>
      </c>
      <c r="T85" s="262" t="str">
        <f>IF(OR(U85="Preventivo",U85="Detectivo"),"Probabilidad",IF(U85="Correctivo","Impacto",""))</f>
        <v>Probabilidad</v>
      </c>
      <c r="U85" s="263" t="s">
        <v>13</v>
      </c>
      <c r="V85" s="263" t="s">
        <v>8</v>
      </c>
      <c r="W85" s="264" t="str">
        <f t="shared" si="138"/>
        <v>40%</v>
      </c>
      <c r="X85" s="263" t="s">
        <v>18</v>
      </c>
      <c r="Y85" s="263" t="s">
        <v>21</v>
      </c>
      <c r="Z85" s="263" t="s">
        <v>103</v>
      </c>
      <c r="AA85" s="265">
        <f>IFERROR(IF(T85="Probabilidad",(K85-(+K85*W85)),IF(T85="Impacto",K85,"")),"")</f>
        <v>0.12</v>
      </c>
      <c r="AB85" s="266" t="str">
        <f>IFERROR(IF(AA85="","",IF(AA85&lt;=0.2,"Muy Baja",IF(AA85&lt;=0.4,"Baja",IF(AA85&lt;=0.6,"Media",IF(AA85&lt;=0.8,"Alta","Muy Alta"))))),"")</f>
        <v>Muy Baja</v>
      </c>
      <c r="AC85" s="264">
        <f>+AA85</f>
        <v>0.12</v>
      </c>
      <c r="AD85" s="266" t="str">
        <f>IFERROR(IF(AE85="","",IF(AE85&lt;=0.2,"Leve",IF(AE85&lt;=0.4,"Menor",IF(AE85&lt;=0.6,"Moderado",IF(AE85&lt;=0.8,"Mayor","Catastrófico"))))),"")</f>
        <v>Mayor</v>
      </c>
      <c r="AE85" s="264">
        <f>IFERROR(IF(T85="Impacto",(N85-(+N85*W85)),IF(T85="Probabilidad",N85,"")),"")</f>
        <v>0.8</v>
      </c>
      <c r="AF85" s="267" t="str">
        <f>IFERROR(IF(OR(AND(AB85="Muy Baja",AD85="Leve"),AND(AB85="Muy Baja",AD85="Menor"),AND(AB85="Baja",AD85="Leve")),"Bajo",IF(OR(AND(AB85="Muy baja",AD85="Moderado"),AND(AB85="Baja",AD85="Menor"),AND(AB85="Baja",AD85="Moderado"),AND(AB85="Media",AD85="Leve"),AND(AB85="Media",AD85="Menor"),AND(AB85="Media",AD85="Moderado"),AND(AB85="Alta",AD85="Leve"),AND(AB85="Alta",AD85="Menor")),"Moderado",IF(OR(AND(AB85="Muy Baja",AD85="Mayor"),AND(AB85="Baja",AD85="Mayor"),AND(AB85="Media",AD85="Mayor"),AND(AB85="Alta",AD85="Moderado"),AND(AB85="Alta",AD85="Mayor"),AND(AB85="Muy Alta",AD85="Leve"),AND(AB85="Muy Alta",AD85="Menor"),AND(AB85="Muy Alta",AD85="Moderado"),AND(AB85="Muy Alta",AD85="Mayor")),"Alto",IF(OR(AND(AB85="Muy Baja",AD85="Catastrófico"),AND(AB85="Baja",AD85="Catastrófico"),AND(AB85="Media",AD85="Catastrófico"),AND(AB85="Alta",AD85="Catastrófico"),AND(AB85="Muy Alta",AD85="Catastrófico")),"Extremo","")))),"")</f>
        <v>Alto</v>
      </c>
      <c r="AG85" s="263" t="s">
        <v>26</v>
      </c>
      <c r="AH85" s="319">
        <v>0</v>
      </c>
      <c r="AI85" s="319">
        <v>0</v>
      </c>
      <c r="AJ85" s="319">
        <v>0</v>
      </c>
      <c r="AK85" s="319">
        <v>0</v>
      </c>
      <c r="AL85" s="319">
        <v>0</v>
      </c>
      <c r="AM85" s="272"/>
      <c r="AN85" s="272"/>
      <c r="AO85" s="273"/>
      <c r="AP85" s="274"/>
      <c r="AQ85" s="274"/>
      <c r="AR85" s="276"/>
      <c r="AS85" s="276"/>
    </row>
    <row r="86" spans="1:60" s="113" customFormat="1" ht="156.75" x14ac:dyDescent="0.2">
      <c r="A86" s="437"/>
      <c r="B86" s="438"/>
      <c r="C86" s="434"/>
      <c r="D86" s="434"/>
      <c r="E86" s="435"/>
      <c r="F86" s="436"/>
      <c r="G86" s="435"/>
      <c r="H86" s="435"/>
      <c r="I86" s="439"/>
      <c r="J86" s="430"/>
      <c r="K86" s="431"/>
      <c r="L86" s="430"/>
      <c r="M86" s="431"/>
      <c r="N86" s="431"/>
      <c r="O86" s="433"/>
      <c r="P86" s="316">
        <v>2</v>
      </c>
      <c r="Q86" s="325" t="s">
        <v>1020</v>
      </c>
      <c r="R86" s="312" t="s">
        <v>293</v>
      </c>
      <c r="S86" s="317" t="s">
        <v>1021</v>
      </c>
      <c r="T86" s="208" t="str">
        <f>IF(OR(U86="Preventivo",U86="Detectivo"),"Probabilidad",IF(U86="Correctivo","Impacto",""))</f>
        <v>Probabilidad</v>
      </c>
      <c r="U86" s="237" t="s">
        <v>13</v>
      </c>
      <c r="V86" s="237" t="s">
        <v>8</v>
      </c>
      <c r="W86" s="209" t="str">
        <f t="shared" si="138"/>
        <v>40%</v>
      </c>
      <c r="X86" s="237" t="s">
        <v>18</v>
      </c>
      <c r="Y86" s="237" t="s">
        <v>21</v>
      </c>
      <c r="Z86" s="237" t="s">
        <v>103</v>
      </c>
      <c r="AA86" s="210">
        <f>IFERROR(IF(AND(T85="Probabilidad",T86="Probabilidad"),(AC85-(+AC85*W86)),IF(T86="Probabilidad",(K85-(+K85*W86)),IF(T86="Impacto",AC85,""))),"")</f>
        <v>7.1999999999999995E-2</v>
      </c>
      <c r="AB86" s="211" t="str">
        <f t="shared" si="143"/>
        <v>Muy Baja</v>
      </c>
      <c r="AC86" s="209">
        <f t="shared" ref="AC86:AC90" si="153">+AA86</f>
        <v>7.1999999999999995E-2</v>
      </c>
      <c r="AD86" s="211" t="str">
        <f t="shared" si="145"/>
        <v>Mayor</v>
      </c>
      <c r="AE86" s="209">
        <f>IFERROR(IF(AND(T85="Impacto",T86="Impacto"),(AE85-(+AE85*W86)),IF(T86="Impacto",(#REF!-(+#REF!*W86)),IF(T86="Probabilidad",AE85,""))),"")</f>
        <v>0.8</v>
      </c>
      <c r="AF86" s="212" t="str">
        <f t="shared" ref="AF86:AF87" si="15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Alto</v>
      </c>
      <c r="AG86" s="237" t="s">
        <v>26</v>
      </c>
      <c r="AH86" s="319">
        <v>0</v>
      </c>
      <c r="AI86" s="319">
        <v>0</v>
      </c>
      <c r="AJ86" s="319">
        <v>0</v>
      </c>
      <c r="AK86" s="319">
        <v>0</v>
      </c>
      <c r="AL86" s="319">
        <v>0</v>
      </c>
      <c r="AM86" s="253"/>
      <c r="AN86" s="253"/>
      <c r="AO86" s="255"/>
      <c r="AP86" s="216"/>
      <c r="AQ86" s="216"/>
      <c r="AR86" s="277"/>
      <c r="AS86" s="277"/>
      <c r="AT86" s="129"/>
      <c r="AU86" s="129"/>
      <c r="AV86" s="129"/>
      <c r="AW86" s="129"/>
      <c r="AX86" s="129"/>
      <c r="AY86" s="129"/>
      <c r="AZ86" s="129"/>
      <c r="BA86" s="129"/>
      <c r="BB86" s="129"/>
      <c r="BC86" s="129"/>
      <c r="BD86" s="129"/>
      <c r="BE86" s="129"/>
      <c r="BF86" s="129"/>
      <c r="BG86" s="129"/>
      <c r="BH86" s="129"/>
    </row>
    <row r="87" spans="1:60" s="113" customFormat="1" ht="12.6" hidden="1" customHeight="1" x14ac:dyDescent="0.2">
      <c r="A87" s="437"/>
      <c r="B87" s="438"/>
      <c r="C87" s="434"/>
      <c r="D87" s="434"/>
      <c r="E87" s="435"/>
      <c r="F87" s="436"/>
      <c r="G87" s="435"/>
      <c r="H87" s="435"/>
      <c r="I87" s="439"/>
      <c r="J87" s="430"/>
      <c r="K87" s="431"/>
      <c r="L87" s="430"/>
      <c r="M87" s="431"/>
      <c r="N87" s="431"/>
      <c r="O87" s="433"/>
      <c r="P87" s="316">
        <v>3</v>
      </c>
      <c r="Q87" s="330"/>
      <c r="R87" s="312"/>
      <c r="S87" s="317"/>
      <c r="T87" s="208" t="str">
        <f>IF(OR(U87="Preventivo",U87="Detectivo"),"Probabilidad",IF(U87="Correctivo","Impacto",""))</f>
        <v/>
      </c>
      <c r="U87" s="237"/>
      <c r="V87" s="237"/>
      <c r="W87" s="209" t="str">
        <f t="shared" si="138"/>
        <v/>
      </c>
      <c r="X87" s="237"/>
      <c r="Y87" s="237"/>
      <c r="Z87" s="237"/>
      <c r="AA87" s="210" t="str">
        <f t="shared" ref="AA87" si="155">IFERROR(IF(AND(T86="Probabilidad",T87="Probabilidad"),(AC86-(+AC86*W87)),IF(AND(T86="Impacto",T87="Probabilidad"),(AC85-(+AC85*W87)),IF(T87="Impacto",AC86,""))),"")</f>
        <v/>
      </c>
      <c r="AB87" s="211" t="str">
        <f t="shared" si="143"/>
        <v/>
      </c>
      <c r="AC87" s="209" t="str">
        <f t="shared" si="153"/>
        <v/>
      </c>
      <c r="AD87" s="211" t="str">
        <f t="shared" si="145"/>
        <v/>
      </c>
      <c r="AE87" s="209" t="str">
        <f>IFERROR(IF(AND(T86="Impacto",T87="Impacto"),(AE86-(+AE86*W87)),IF(T87="Impacto",(#REF!-(+#REF!*W87)),IF(T87="Probabilidad",AE86,""))),"")</f>
        <v/>
      </c>
      <c r="AF87" s="212" t="str">
        <f t="shared" si="154"/>
        <v/>
      </c>
      <c r="AG87" s="237"/>
      <c r="AH87" s="319"/>
      <c r="AI87" s="319"/>
      <c r="AJ87" s="319"/>
      <c r="AK87" s="319"/>
      <c r="AL87" s="319"/>
      <c r="AM87" s="253"/>
      <c r="AN87" s="253"/>
      <c r="AO87" s="255"/>
      <c r="AP87" s="216"/>
      <c r="AQ87" s="216"/>
      <c r="AR87" s="277"/>
      <c r="AS87" s="277"/>
      <c r="AT87" s="129"/>
      <c r="AU87" s="129"/>
      <c r="AV87" s="129"/>
      <c r="AW87" s="129"/>
      <c r="AX87" s="129"/>
      <c r="AY87" s="129"/>
      <c r="AZ87" s="129"/>
      <c r="BA87" s="129"/>
      <c r="BB87" s="129"/>
      <c r="BC87" s="129"/>
      <c r="BD87" s="129"/>
      <c r="BE87" s="129"/>
      <c r="BF87" s="129"/>
      <c r="BG87" s="129"/>
      <c r="BH87" s="129"/>
    </row>
    <row r="88" spans="1:60" s="113" customFormat="1" ht="14.25" hidden="1" x14ac:dyDescent="0.2">
      <c r="A88" s="437"/>
      <c r="B88" s="438"/>
      <c r="C88" s="434"/>
      <c r="D88" s="434"/>
      <c r="E88" s="435"/>
      <c r="F88" s="436"/>
      <c r="G88" s="435"/>
      <c r="H88" s="435"/>
      <c r="I88" s="439"/>
      <c r="J88" s="430"/>
      <c r="K88" s="431"/>
      <c r="L88" s="430"/>
      <c r="M88" s="431"/>
      <c r="N88" s="431"/>
      <c r="O88" s="433"/>
      <c r="P88" s="316">
        <v>4</v>
      </c>
      <c r="Q88" s="325"/>
      <c r="R88" s="312"/>
      <c r="S88" s="317"/>
      <c r="T88" s="208" t="str">
        <f t="shared" ref="T88:T90" si="156">IF(OR(U88="Preventivo",U88="Detectivo"),"Probabilidad",IF(U88="Correctivo","Impacto",""))</f>
        <v/>
      </c>
      <c r="U88" s="237"/>
      <c r="V88" s="237"/>
      <c r="W88" s="209" t="str">
        <f t="shared" si="138"/>
        <v/>
      </c>
      <c r="X88" s="237"/>
      <c r="Y88" s="237"/>
      <c r="Z88" s="237"/>
      <c r="AA88" s="210" t="str">
        <f t="shared" si="147"/>
        <v/>
      </c>
      <c r="AB88" s="211" t="str">
        <f t="shared" si="143"/>
        <v/>
      </c>
      <c r="AC88" s="209" t="str">
        <f t="shared" si="153"/>
        <v/>
      </c>
      <c r="AD88" s="211" t="str">
        <f t="shared" si="145"/>
        <v/>
      </c>
      <c r="AE88" s="209" t="str">
        <f>IFERROR(IF(AND(T87="Impacto",T88="Impacto"),(AE87-(+AE87*W88)),IF(T88="Impacto",(#REF!-(+#REF!*W88)),IF(T88="Probabilidad",AE87,""))),"")</f>
        <v/>
      </c>
      <c r="AF88" s="212" t="str">
        <f>IFERROR(IF(OR(AND(AB88="Muy Baja",AD88="Leve"),AND(AB88="Muy Baja",AD88="Menor"),AND(AB88="Baja",AD88="Leve")),"Bajo",IF(OR(AND(AB88="Muy baja",AD88="Moderado"),AND(AB88="Baja",AD88="Menor"),AND(AB88="Baja",AD88="Moderado"),AND(AB88="Media",AD88="Leve"),AND(AB88="Media",AD88="Menor"),AND(AB88="Media",AD88="Moderado"),AND(AB88="Alta",AD88="Leve"),AND(AB88="Alta",AD88="Menor")),"Moderado",IF(OR(AND(AB88="Muy Baja",AD88="Mayor"),AND(AB88="Baja",AD88="Mayor"),AND(AB88="Media",AD88="Mayor"),AND(AB88="Alta",AD88="Moderado"),AND(AB88="Alta",AD88="Mayor"),AND(AB88="Muy Alta",AD88="Leve"),AND(AB88="Muy Alta",AD88="Menor"),AND(AB88="Muy Alta",AD88="Moderado"),AND(AB88="Muy Alta",AD88="Mayor")),"Alto",IF(OR(AND(AB88="Muy Baja",AD88="Catastrófico"),AND(AB88="Baja",AD88="Catastrófico"),AND(AB88="Media",AD88="Catastrófico"),AND(AB88="Alta",AD88="Catastrófico"),AND(AB88="Muy Alta",AD88="Catastrófico")),"Extremo","")))),"")</f>
        <v/>
      </c>
      <c r="AG88" s="237"/>
      <c r="AH88" s="319"/>
      <c r="AI88" s="319"/>
      <c r="AJ88" s="319"/>
      <c r="AK88" s="319"/>
      <c r="AL88" s="319"/>
      <c r="AM88" s="253"/>
      <c r="AN88" s="253"/>
      <c r="AO88" s="255"/>
      <c r="AP88" s="216"/>
      <c r="AQ88" s="216"/>
      <c r="AR88" s="277"/>
      <c r="AS88" s="277"/>
      <c r="AT88" s="129"/>
      <c r="AU88" s="129"/>
      <c r="AV88" s="129"/>
      <c r="AW88" s="129"/>
      <c r="AX88" s="129"/>
      <c r="AY88" s="129"/>
      <c r="AZ88" s="129"/>
      <c r="BA88" s="129"/>
      <c r="BB88" s="129"/>
      <c r="BC88" s="129"/>
      <c r="BD88" s="129"/>
      <c r="BE88" s="129"/>
      <c r="BF88" s="129"/>
      <c r="BG88" s="129"/>
      <c r="BH88" s="129"/>
    </row>
    <row r="89" spans="1:60" s="113" customFormat="1" ht="13.15" hidden="1" customHeight="1" x14ac:dyDescent="0.2">
      <c r="A89" s="437"/>
      <c r="B89" s="438"/>
      <c r="C89" s="434"/>
      <c r="D89" s="434"/>
      <c r="E89" s="435"/>
      <c r="F89" s="436"/>
      <c r="G89" s="435"/>
      <c r="H89" s="435"/>
      <c r="I89" s="439"/>
      <c r="J89" s="430"/>
      <c r="K89" s="431"/>
      <c r="L89" s="430"/>
      <c r="M89" s="431"/>
      <c r="N89" s="431"/>
      <c r="O89" s="433"/>
      <c r="P89" s="316">
        <v>5</v>
      </c>
      <c r="Q89" s="325"/>
      <c r="R89" s="312"/>
      <c r="S89" s="317"/>
      <c r="T89" s="208" t="str">
        <f t="shared" si="156"/>
        <v/>
      </c>
      <c r="U89" s="237"/>
      <c r="V89" s="237"/>
      <c r="W89" s="209" t="str">
        <f t="shared" si="138"/>
        <v/>
      </c>
      <c r="X89" s="237"/>
      <c r="Y89" s="237"/>
      <c r="Z89" s="237"/>
      <c r="AA89" s="210" t="str">
        <f t="shared" si="147"/>
        <v/>
      </c>
      <c r="AB89" s="211" t="str">
        <f>IFERROR(IF(AA89="","",IF(AA89&lt;=0.2,"Muy Baja",IF(AA89&lt;=0.4,"Baja",IF(AA89&lt;=0.6,"Media",IF(AA89&lt;=0.8,"Alta","Muy Alta"))))),"")</f>
        <v/>
      </c>
      <c r="AC89" s="209" t="str">
        <f t="shared" si="153"/>
        <v/>
      </c>
      <c r="AD89" s="211" t="str">
        <f t="shared" si="145"/>
        <v/>
      </c>
      <c r="AE89" s="209" t="str">
        <f>IFERROR(IF(AND(T88="Impacto",T89="Impacto"),(AE88-(+AE88*W89)),IF(T89="Impacto",(#REF!-(+#REF!*W89)),IF(T89="Probabilidad",AE88,""))),"")</f>
        <v/>
      </c>
      <c r="AF89" s="212" t="str">
        <f t="shared" ref="AF89:AF90" si="157">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237"/>
      <c r="AH89" s="319"/>
      <c r="AI89" s="319"/>
      <c r="AJ89" s="319"/>
      <c r="AK89" s="319"/>
      <c r="AL89" s="319"/>
      <c r="AM89" s="253"/>
      <c r="AN89" s="253"/>
      <c r="AO89" s="255"/>
      <c r="AP89" s="216"/>
      <c r="AQ89" s="216"/>
      <c r="AR89" s="277"/>
      <c r="AS89" s="277"/>
      <c r="AT89" s="129"/>
      <c r="AU89" s="129"/>
      <c r="AV89" s="129"/>
      <c r="AW89" s="129"/>
      <c r="AX89" s="129"/>
      <c r="AY89" s="129"/>
      <c r="AZ89" s="129"/>
      <c r="BA89" s="129"/>
      <c r="BB89" s="129"/>
      <c r="BC89" s="129"/>
      <c r="BD89" s="129"/>
      <c r="BE89" s="129"/>
      <c r="BF89" s="129"/>
      <c r="BG89" s="129"/>
      <c r="BH89" s="129"/>
    </row>
    <row r="90" spans="1:60" s="113" customFormat="1" ht="15" hidden="1" customHeight="1" x14ac:dyDescent="0.2">
      <c r="A90" s="437"/>
      <c r="B90" s="438"/>
      <c r="C90" s="434"/>
      <c r="D90" s="434"/>
      <c r="E90" s="435"/>
      <c r="F90" s="436"/>
      <c r="G90" s="435"/>
      <c r="H90" s="435"/>
      <c r="I90" s="439"/>
      <c r="J90" s="430"/>
      <c r="K90" s="431"/>
      <c r="L90" s="430"/>
      <c r="M90" s="431"/>
      <c r="N90" s="431"/>
      <c r="O90" s="433"/>
      <c r="P90" s="316">
        <v>6</v>
      </c>
      <c r="Q90" s="325"/>
      <c r="R90" s="312"/>
      <c r="S90" s="317"/>
      <c r="T90" s="208" t="str">
        <f t="shared" si="156"/>
        <v/>
      </c>
      <c r="U90" s="237"/>
      <c r="V90" s="237"/>
      <c r="W90" s="209" t="str">
        <f t="shared" si="138"/>
        <v/>
      </c>
      <c r="X90" s="237"/>
      <c r="Y90" s="237"/>
      <c r="Z90" s="237"/>
      <c r="AA90" s="210" t="str">
        <f t="shared" si="147"/>
        <v/>
      </c>
      <c r="AB90" s="211" t="str">
        <f t="shared" si="143"/>
        <v/>
      </c>
      <c r="AC90" s="209" t="str">
        <f t="shared" si="153"/>
        <v/>
      </c>
      <c r="AD90" s="211" t="str">
        <f t="shared" si="145"/>
        <v/>
      </c>
      <c r="AE90" s="209" t="str">
        <f>IFERROR(IF(AND(T89="Impacto",T90="Impacto"),(AE89-(+AE89*W90)),IF(T90="Impacto",(#REF!-(+#REF!*W90)),IF(T90="Probabilidad",AE89,""))),"")</f>
        <v/>
      </c>
      <c r="AF90" s="212" t="str">
        <f t="shared" si="157"/>
        <v/>
      </c>
      <c r="AG90" s="237"/>
      <c r="AH90" s="319"/>
      <c r="AI90" s="319"/>
      <c r="AJ90" s="319"/>
      <c r="AK90" s="319"/>
      <c r="AL90" s="319"/>
      <c r="AM90" s="253"/>
      <c r="AN90" s="253"/>
      <c r="AO90" s="255"/>
      <c r="AP90" s="216"/>
      <c r="AQ90" s="216"/>
      <c r="AR90" s="277"/>
      <c r="AS90" s="277"/>
      <c r="AT90" s="129"/>
      <c r="AU90" s="129"/>
      <c r="AV90" s="129"/>
      <c r="AW90" s="129"/>
      <c r="AX90" s="129"/>
      <c r="AY90" s="129"/>
      <c r="AZ90" s="129"/>
      <c r="BA90" s="129"/>
      <c r="BB90" s="129"/>
      <c r="BC90" s="129"/>
      <c r="BD90" s="129"/>
      <c r="BE90" s="129"/>
      <c r="BF90" s="129"/>
      <c r="BG90" s="129"/>
      <c r="BH90" s="129"/>
    </row>
    <row r="91" spans="1:60" s="271" customFormat="1" ht="142.5" x14ac:dyDescent="0.2">
      <c r="A91" s="437" t="s">
        <v>1022</v>
      </c>
      <c r="B91" s="438" t="s">
        <v>613</v>
      </c>
      <c r="C91" s="434" t="s">
        <v>624</v>
      </c>
      <c r="D91" s="434" t="s">
        <v>1024</v>
      </c>
      <c r="E91" s="435" t="s">
        <v>685</v>
      </c>
      <c r="F91" s="436" t="s">
        <v>1023</v>
      </c>
      <c r="G91" s="435" t="s">
        <v>233</v>
      </c>
      <c r="H91" s="435" t="s">
        <v>1078</v>
      </c>
      <c r="I91" s="439">
        <v>365</v>
      </c>
      <c r="J91" s="430" t="str">
        <f t="shared" si="108"/>
        <v>Media</v>
      </c>
      <c r="K91" s="431">
        <f t="shared" ref="K91" si="158">IF(J91="","",IF(J91="Muy Baja",0.2,IF(J91="Baja",0.4,IF(J91="Media",0.6,IF(J91="Alta",0.8,IF(J91="Muy Alta",1,))))))</f>
        <v>0.6</v>
      </c>
      <c r="L91" s="430">
        <v>4</v>
      </c>
      <c r="M91" s="431" t="str">
        <f t="shared" ref="M91" si="159">IF(L91=1,"INSIGNIFICANTE",IF(L91=2,"Menor",IF(L91=3,"Moderado",IF(L91=4,"MAYOR",IF(L91=5,"Catastrófico",IF(L91=""," "))))))</f>
        <v>MAYOR</v>
      </c>
      <c r="N91" s="431">
        <f t="shared" ref="N91" si="160">IF(M91="","",IF(M91="Leve",0.2,IF(M91="Menor",0.4,IF(M91="Moderado",0.6,IF(M91="Mayor",0.8,IF(M91="Catastrófico",1,))))))</f>
        <v>0.8</v>
      </c>
      <c r="O91" s="433" t="str">
        <f t="shared" si="131"/>
        <v>Alto</v>
      </c>
      <c r="P91" s="261">
        <v>1</v>
      </c>
      <c r="Q91" s="328" t="s">
        <v>1025</v>
      </c>
      <c r="R91" s="272" t="s">
        <v>293</v>
      </c>
      <c r="S91" s="317" t="s">
        <v>1026</v>
      </c>
      <c r="T91" s="262" t="str">
        <f>IF(OR(U91="Preventivo",U91="Detectivo"),"Probabilidad",IF(U91="Correctivo","Impacto",""))</f>
        <v>Probabilidad</v>
      </c>
      <c r="U91" s="263" t="s">
        <v>13</v>
      </c>
      <c r="V91" s="263" t="s">
        <v>8</v>
      </c>
      <c r="W91" s="264" t="str">
        <f t="shared" si="138"/>
        <v>40%</v>
      </c>
      <c r="X91" s="263" t="s">
        <v>18</v>
      </c>
      <c r="Y91" s="263" t="s">
        <v>21</v>
      </c>
      <c r="Z91" s="263" t="s">
        <v>103</v>
      </c>
      <c r="AA91" s="265">
        <f>IFERROR(IF(T91="Probabilidad",(K91-(+K91*W91)),IF(T91="Impacto",K91,"")),"")</f>
        <v>0.36</v>
      </c>
      <c r="AB91" s="266" t="str">
        <f>IFERROR(IF(AA91="","",IF(AA91&lt;=0.2,"Muy Baja",IF(AA91&lt;=0.4,"Baja",IF(AA91&lt;=0.6,"Media",IF(AA91&lt;=0.8,"Alta","Muy Alta"))))),"")</f>
        <v>Baja</v>
      </c>
      <c r="AC91" s="264">
        <f>+AA91</f>
        <v>0.36</v>
      </c>
      <c r="AD91" s="266" t="str">
        <f>IFERROR(IF(AE91="","",IF(AE91&lt;=0.2,"Leve",IF(AE91&lt;=0.4,"Menor",IF(AE91&lt;=0.6,"Moderado",IF(AE91&lt;=0.8,"Mayor","Catastrófico"))))),"")</f>
        <v>Mayor</v>
      </c>
      <c r="AE91" s="320">
        <f>IFERROR(IF(T91="Impacto",(N91-(+N91*W91)),IF(T91="Probabilidad",N91,"")),"")</f>
        <v>0.8</v>
      </c>
      <c r="AF91" s="267" t="str">
        <f>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263" t="s">
        <v>26</v>
      </c>
      <c r="AH91" s="319">
        <v>0</v>
      </c>
      <c r="AI91" s="319">
        <v>0</v>
      </c>
      <c r="AJ91" s="319">
        <v>0</v>
      </c>
      <c r="AK91" s="319">
        <v>0</v>
      </c>
      <c r="AL91" s="319">
        <v>0</v>
      </c>
      <c r="AM91" s="272"/>
      <c r="AN91" s="272"/>
      <c r="AO91" s="273"/>
      <c r="AP91" s="274"/>
      <c r="AQ91" s="274"/>
      <c r="AR91" s="276"/>
      <c r="AS91" s="276"/>
    </row>
    <row r="92" spans="1:60" s="113" customFormat="1" ht="9" hidden="1" customHeight="1" x14ac:dyDescent="0.2">
      <c r="A92" s="437"/>
      <c r="B92" s="438"/>
      <c r="C92" s="434"/>
      <c r="D92" s="434"/>
      <c r="E92" s="435"/>
      <c r="F92" s="436"/>
      <c r="G92" s="435"/>
      <c r="H92" s="435"/>
      <c r="I92" s="439"/>
      <c r="J92" s="430"/>
      <c r="K92" s="431"/>
      <c r="L92" s="430"/>
      <c r="M92" s="431"/>
      <c r="N92" s="431"/>
      <c r="O92" s="433"/>
      <c r="P92" s="316">
        <v>2</v>
      </c>
      <c r="Q92" s="325"/>
      <c r="R92" s="312"/>
      <c r="S92" s="317"/>
      <c r="T92" s="208" t="str">
        <f>IF(OR(U92="Preventivo",U92="Detectivo"),"Probabilidad",IF(U92="Correctivo","Impacto",""))</f>
        <v/>
      </c>
      <c r="U92" s="237"/>
      <c r="V92" s="237"/>
      <c r="W92" s="209" t="str">
        <f t="shared" si="138"/>
        <v/>
      </c>
      <c r="X92" s="237"/>
      <c r="Y92" s="237"/>
      <c r="Z92" s="237"/>
      <c r="AA92" s="210" t="str">
        <f>IFERROR(IF(AND(T91="Probabilidad",T92="Probabilidad"),(AC91-(+AC91*W92)),IF(T92="Probabilidad",(K91-(+K91*W92)),IF(T92="Impacto",AC91,""))),"")</f>
        <v/>
      </c>
      <c r="AB92" s="211" t="str">
        <f t="shared" si="143"/>
        <v/>
      </c>
      <c r="AC92" s="209" t="str">
        <f t="shared" ref="AC92:AC96" si="161">+AA92</f>
        <v/>
      </c>
      <c r="AD92" s="211" t="str">
        <f t="shared" si="145"/>
        <v/>
      </c>
      <c r="AE92" s="209" t="str">
        <f>IFERROR(IF(AND(T91="Impacto",T92="Impacto"),(AE91-(+AE91*W92)),IF(T92="Impacto",(#REF!-(+#REF!*W92)),IF(T92="Probabilidad",AE91,""))),"")</f>
        <v/>
      </c>
      <c r="AF92" s="212" t="str">
        <f t="shared" ref="AF92:AF93" si="162">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237"/>
      <c r="AH92" s="319"/>
      <c r="AI92" s="319"/>
      <c r="AJ92" s="319"/>
      <c r="AK92" s="319"/>
      <c r="AL92" s="319"/>
      <c r="AM92" s="253"/>
      <c r="AN92" s="253"/>
      <c r="AO92" s="255"/>
      <c r="AP92" s="216"/>
      <c r="AQ92" s="216"/>
      <c r="AR92" s="277"/>
      <c r="AS92" s="277"/>
      <c r="AT92" s="129"/>
      <c r="AU92" s="129"/>
      <c r="AV92" s="129"/>
      <c r="AW92" s="129"/>
      <c r="AX92" s="129"/>
      <c r="AY92" s="129"/>
      <c r="AZ92" s="129"/>
      <c r="BA92" s="129"/>
      <c r="BB92" s="129"/>
      <c r="BC92" s="129"/>
      <c r="BD92" s="129"/>
      <c r="BE92" s="129"/>
      <c r="BF92" s="129"/>
      <c r="BG92" s="129"/>
      <c r="BH92" s="129"/>
    </row>
    <row r="93" spans="1:60" s="113" customFormat="1" ht="9" hidden="1" customHeight="1" x14ac:dyDescent="0.2">
      <c r="A93" s="437"/>
      <c r="B93" s="438"/>
      <c r="C93" s="434"/>
      <c r="D93" s="434"/>
      <c r="E93" s="435"/>
      <c r="F93" s="436"/>
      <c r="G93" s="435"/>
      <c r="H93" s="435"/>
      <c r="I93" s="439"/>
      <c r="J93" s="430"/>
      <c r="K93" s="431"/>
      <c r="L93" s="430"/>
      <c r="M93" s="431"/>
      <c r="N93" s="431"/>
      <c r="O93" s="433"/>
      <c r="P93" s="316">
        <v>3</v>
      </c>
      <c r="Q93" s="330"/>
      <c r="R93" s="312"/>
      <c r="S93" s="317"/>
      <c r="T93" s="208" t="str">
        <f>IF(OR(U93="Preventivo",U93="Detectivo"),"Probabilidad",IF(U93="Correctivo","Impacto",""))</f>
        <v/>
      </c>
      <c r="U93" s="237"/>
      <c r="V93" s="237"/>
      <c r="W93" s="209" t="str">
        <f t="shared" si="138"/>
        <v/>
      </c>
      <c r="X93" s="237"/>
      <c r="Y93" s="237"/>
      <c r="Z93" s="237"/>
      <c r="AA93" s="210" t="str">
        <f t="shared" ref="AA93" si="163">IFERROR(IF(AND(T92="Probabilidad",T93="Probabilidad"),(AC92-(+AC92*W93)),IF(AND(T92="Impacto",T93="Probabilidad"),(AC91-(+AC91*W93)),IF(T93="Impacto",AC92,""))),"")</f>
        <v/>
      </c>
      <c r="AB93" s="211" t="str">
        <f t="shared" si="143"/>
        <v/>
      </c>
      <c r="AC93" s="209" t="str">
        <f t="shared" si="161"/>
        <v/>
      </c>
      <c r="AD93" s="211" t="str">
        <f t="shared" si="145"/>
        <v/>
      </c>
      <c r="AE93" s="209" t="str">
        <f>IFERROR(IF(AND(T92="Impacto",T93="Impacto"),(AE92-(+AE92*W93)),IF(T93="Impacto",(#REF!-(+#REF!*W93)),IF(T93="Probabilidad",AE92,""))),"")</f>
        <v/>
      </c>
      <c r="AF93" s="212" t="str">
        <f t="shared" si="162"/>
        <v/>
      </c>
      <c r="AG93" s="237"/>
      <c r="AH93" s="319"/>
      <c r="AI93" s="319"/>
      <c r="AJ93" s="319"/>
      <c r="AK93" s="319"/>
      <c r="AL93" s="319"/>
      <c r="AM93" s="253"/>
      <c r="AN93" s="253"/>
      <c r="AO93" s="255"/>
      <c r="AP93" s="216"/>
      <c r="AQ93" s="216"/>
      <c r="AR93" s="277"/>
      <c r="AS93" s="277"/>
      <c r="AT93" s="129"/>
      <c r="AU93" s="129"/>
      <c r="AV93" s="129"/>
      <c r="AW93" s="129"/>
      <c r="AX93" s="129"/>
      <c r="AY93" s="129"/>
      <c r="AZ93" s="129"/>
      <c r="BA93" s="129"/>
      <c r="BB93" s="129"/>
      <c r="BC93" s="129"/>
      <c r="BD93" s="129"/>
      <c r="BE93" s="129"/>
      <c r="BF93" s="129"/>
      <c r="BG93" s="129"/>
      <c r="BH93" s="129"/>
    </row>
    <row r="94" spans="1:60" s="113" customFormat="1" ht="9" hidden="1" customHeight="1" x14ac:dyDescent="0.2">
      <c r="A94" s="437"/>
      <c r="B94" s="438"/>
      <c r="C94" s="434"/>
      <c r="D94" s="434"/>
      <c r="E94" s="435"/>
      <c r="F94" s="436"/>
      <c r="G94" s="435"/>
      <c r="H94" s="435"/>
      <c r="I94" s="439"/>
      <c r="J94" s="430"/>
      <c r="K94" s="431"/>
      <c r="L94" s="430"/>
      <c r="M94" s="431"/>
      <c r="N94" s="431"/>
      <c r="O94" s="433"/>
      <c r="P94" s="316">
        <v>4</v>
      </c>
      <c r="Q94" s="325"/>
      <c r="R94" s="312"/>
      <c r="S94" s="317"/>
      <c r="T94" s="208" t="str">
        <f t="shared" ref="T94:T96" si="164">IF(OR(U94="Preventivo",U94="Detectivo"),"Probabilidad",IF(U94="Correctivo","Impacto",""))</f>
        <v/>
      </c>
      <c r="U94" s="237"/>
      <c r="V94" s="237"/>
      <c r="W94" s="209" t="str">
        <f t="shared" si="138"/>
        <v/>
      </c>
      <c r="X94" s="237"/>
      <c r="Y94" s="237"/>
      <c r="Z94" s="237"/>
      <c r="AA94" s="210" t="str">
        <f t="shared" si="147"/>
        <v/>
      </c>
      <c r="AB94" s="211" t="str">
        <f t="shared" si="143"/>
        <v/>
      </c>
      <c r="AC94" s="209" t="str">
        <f t="shared" si="161"/>
        <v/>
      </c>
      <c r="AD94" s="211" t="str">
        <f t="shared" si="145"/>
        <v/>
      </c>
      <c r="AE94" s="209" t="str">
        <f>IFERROR(IF(AND(T93="Impacto",T94="Impacto"),(AE93-(+AE93*W94)),IF(T94="Impacto",(#REF!-(+#REF!*W94)),IF(T94="Probabilidad",AE93,""))),"")</f>
        <v/>
      </c>
      <c r="AF94" s="212" t="str">
        <f>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
      </c>
      <c r="AG94" s="237"/>
      <c r="AH94" s="319"/>
      <c r="AI94" s="319"/>
      <c r="AJ94" s="319"/>
      <c r="AK94" s="319"/>
      <c r="AL94" s="319"/>
      <c r="AM94" s="253"/>
      <c r="AN94" s="253"/>
      <c r="AO94" s="255"/>
      <c r="AP94" s="216"/>
      <c r="AQ94" s="216"/>
      <c r="AR94" s="277"/>
      <c r="AS94" s="277"/>
      <c r="AT94" s="129"/>
      <c r="AU94" s="129"/>
      <c r="AV94" s="129"/>
      <c r="AW94" s="129"/>
      <c r="AX94" s="129"/>
      <c r="AY94" s="129"/>
      <c r="AZ94" s="129"/>
      <c r="BA94" s="129"/>
      <c r="BB94" s="129"/>
      <c r="BC94" s="129"/>
      <c r="BD94" s="129"/>
      <c r="BE94" s="129"/>
      <c r="BF94" s="129"/>
      <c r="BG94" s="129"/>
      <c r="BH94" s="129"/>
    </row>
    <row r="95" spans="1:60" s="113" customFormat="1" ht="9" hidden="1" customHeight="1" x14ac:dyDescent="0.2">
      <c r="A95" s="437"/>
      <c r="B95" s="438"/>
      <c r="C95" s="434"/>
      <c r="D95" s="434"/>
      <c r="E95" s="435"/>
      <c r="F95" s="436"/>
      <c r="G95" s="435"/>
      <c r="H95" s="435"/>
      <c r="I95" s="439"/>
      <c r="J95" s="430"/>
      <c r="K95" s="431"/>
      <c r="L95" s="430"/>
      <c r="M95" s="431"/>
      <c r="N95" s="431"/>
      <c r="O95" s="433"/>
      <c r="P95" s="316">
        <v>5</v>
      </c>
      <c r="Q95" s="325"/>
      <c r="R95" s="312"/>
      <c r="S95" s="317"/>
      <c r="T95" s="208" t="str">
        <f t="shared" si="164"/>
        <v/>
      </c>
      <c r="U95" s="237"/>
      <c r="V95" s="237"/>
      <c r="W95" s="209" t="str">
        <f t="shared" si="138"/>
        <v/>
      </c>
      <c r="X95" s="237"/>
      <c r="Y95" s="237"/>
      <c r="Z95" s="237"/>
      <c r="AA95" s="210" t="str">
        <f t="shared" si="147"/>
        <v/>
      </c>
      <c r="AB95" s="211" t="str">
        <f t="shared" si="143"/>
        <v/>
      </c>
      <c r="AC95" s="209" t="str">
        <f t="shared" si="161"/>
        <v/>
      </c>
      <c r="AD95" s="211" t="str">
        <f t="shared" si="145"/>
        <v/>
      </c>
      <c r="AE95" s="209" t="str">
        <f>IFERROR(IF(AND(T94="Impacto",T95="Impacto"),(AE94-(+AE94*W95)),IF(T95="Impacto",(#REF!-(+#REF!*W95)),IF(T95="Probabilidad",AE94,""))),"")</f>
        <v/>
      </c>
      <c r="AF95" s="212" t="str">
        <f t="shared" ref="AF95:AF96" si="165">IFERROR(IF(OR(AND(AB95="Muy Baja",AD95="Leve"),AND(AB95="Muy Baja",AD95="Menor"),AND(AB95="Baja",AD95="Leve")),"Bajo",IF(OR(AND(AB95="Muy baja",AD95="Moderado"),AND(AB95="Baja",AD95="Menor"),AND(AB95="Baja",AD95="Moderado"),AND(AB95="Media",AD95="Leve"),AND(AB95="Media",AD95="Menor"),AND(AB95="Media",AD95="Moderado"),AND(AB95="Alta",AD95="Leve"),AND(AB95="Alta",AD95="Menor")),"Moderado",IF(OR(AND(AB95="Muy Baja",AD95="Mayor"),AND(AB95="Baja",AD95="Mayor"),AND(AB95="Media",AD95="Mayor"),AND(AB95="Alta",AD95="Moderado"),AND(AB95="Alta",AD95="Mayor"),AND(AB95="Muy Alta",AD95="Leve"),AND(AB95="Muy Alta",AD95="Menor"),AND(AB95="Muy Alta",AD95="Moderado"),AND(AB95="Muy Alta",AD95="Mayor")),"Alto",IF(OR(AND(AB95="Muy Baja",AD95="Catastrófico"),AND(AB95="Baja",AD95="Catastrófico"),AND(AB95="Media",AD95="Catastrófico"),AND(AB95="Alta",AD95="Catastrófico"),AND(AB95="Muy Alta",AD95="Catastrófico")),"Extremo","")))),"")</f>
        <v/>
      </c>
      <c r="AG95" s="237"/>
      <c r="AH95" s="319"/>
      <c r="AI95" s="319"/>
      <c r="AJ95" s="319"/>
      <c r="AK95" s="319"/>
      <c r="AL95" s="319"/>
      <c r="AM95" s="253"/>
      <c r="AN95" s="253"/>
      <c r="AO95" s="255"/>
      <c r="AP95" s="216"/>
      <c r="AQ95" s="216"/>
      <c r="AR95" s="277"/>
      <c r="AS95" s="277"/>
      <c r="AT95" s="129"/>
      <c r="AU95" s="129"/>
      <c r="AV95" s="129"/>
      <c r="AW95" s="129"/>
      <c r="AX95" s="129"/>
      <c r="AY95" s="129"/>
      <c r="AZ95" s="129"/>
      <c r="BA95" s="129"/>
      <c r="BB95" s="129"/>
      <c r="BC95" s="129"/>
      <c r="BD95" s="129"/>
      <c r="BE95" s="129"/>
      <c r="BF95" s="129"/>
      <c r="BG95" s="129"/>
      <c r="BH95" s="129"/>
    </row>
    <row r="96" spans="1:60" s="113" customFormat="1" ht="9" hidden="1" customHeight="1" x14ac:dyDescent="0.2">
      <c r="A96" s="437"/>
      <c r="B96" s="438"/>
      <c r="C96" s="434"/>
      <c r="D96" s="434"/>
      <c r="E96" s="435"/>
      <c r="F96" s="436"/>
      <c r="G96" s="435"/>
      <c r="H96" s="435"/>
      <c r="I96" s="439"/>
      <c r="J96" s="430"/>
      <c r="K96" s="431"/>
      <c r="L96" s="430"/>
      <c r="M96" s="431"/>
      <c r="N96" s="431"/>
      <c r="O96" s="433"/>
      <c r="P96" s="316">
        <v>6</v>
      </c>
      <c r="Q96" s="325"/>
      <c r="R96" s="312"/>
      <c r="S96" s="317"/>
      <c r="T96" s="208" t="str">
        <f t="shared" si="164"/>
        <v/>
      </c>
      <c r="U96" s="237"/>
      <c r="V96" s="237"/>
      <c r="W96" s="209" t="str">
        <f t="shared" si="138"/>
        <v/>
      </c>
      <c r="X96" s="237"/>
      <c r="Y96" s="237"/>
      <c r="Z96" s="237"/>
      <c r="AA96" s="210" t="str">
        <f t="shared" si="147"/>
        <v/>
      </c>
      <c r="AB96" s="211" t="str">
        <f t="shared" si="143"/>
        <v/>
      </c>
      <c r="AC96" s="209" t="str">
        <f t="shared" si="161"/>
        <v/>
      </c>
      <c r="AD96" s="211" t="str">
        <f t="shared" si="145"/>
        <v/>
      </c>
      <c r="AE96" s="209" t="str">
        <f>IFERROR(IF(AND(T95="Impacto",T96="Impacto"),(AE95-(+AE95*W96)),IF(T96="Impacto",(#REF!-(+#REF!*W96)),IF(T96="Probabilidad",AE95,""))),"")</f>
        <v/>
      </c>
      <c r="AF96" s="212" t="str">
        <f t="shared" si="165"/>
        <v/>
      </c>
      <c r="AG96" s="237"/>
      <c r="AH96" s="319"/>
      <c r="AI96" s="319"/>
      <c r="AJ96" s="319"/>
      <c r="AK96" s="319"/>
      <c r="AL96" s="319"/>
      <c r="AM96" s="253"/>
      <c r="AN96" s="253"/>
      <c r="AO96" s="255"/>
      <c r="AP96" s="216"/>
      <c r="AQ96" s="216"/>
      <c r="AR96" s="277"/>
      <c r="AS96" s="277"/>
      <c r="AT96" s="129"/>
      <c r="AU96" s="129"/>
      <c r="AV96" s="129"/>
      <c r="AW96" s="129"/>
      <c r="AX96" s="129"/>
      <c r="AY96" s="129"/>
      <c r="AZ96" s="129"/>
      <c r="BA96" s="129"/>
      <c r="BB96" s="129"/>
      <c r="BC96" s="129"/>
      <c r="BD96" s="129"/>
      <c r="BE96" s="129"/>
      <c r="BF96" s="129"/>
      <c r="BG96" s="129"/>
      <c r="BH96" s="129"/>
    </row>
    <row r="97" spans="1:60" s="271" customFormat="1" ht="156.6" customHeight="1" x14ac:dyDescent="0.2">
      <c r="A97" s="437" t="s">
        <v>1032</v>
      </c>
      <c r="B97" s="438" t="s">
        <v>286</v>
      </c>
      <c r="C97" s="434" t="s">
        <v>619</v>
      </c>
      <c r="D97" s="434" t="s">
        <v>1033</v>
      </c>
      <c r="E97" s="435" t="s">
        <v>685</v>
      </c>
      <c r="F97" s="436" t="s">
        <v>1081</v>
      </c>
      <c r="G97" s="435" t="s">
        <v>233</v>
      </c>
      <c r="H97" s="435" t="s">
        <v>1078</v>
      </c>
      <c r="I97" s="439">
        <v>468</v>
      </c>
      <c r="J97" s="430" t="str">
        <f t="shared" si="108"/>
        <v>Media</v>
      </c>
      <c r="K97" s="431">
        <f t="shared" ref="K97" si="166">IF(J97="","",IF(J97="Muy Baja",0.2,IF(J97="Baja",0.4,IF(J97="Media",0.6,IF(J97="Alta",0.8,IF(J97="Muy Alta",1,))))))</f>
        <v>0.6</v>
      </c>
      <c r="L97" s="430">
        <v>4</v>
      </c>
      <c r="M97" s="431" t="str">
        <f t="shared" ref="M97" si="167">IF(L97=1,"INSIGNIFICANTE",IF(L97=2,"Menor",IF(L97=3,"Moderado",IF(L97=4,"MAYOR",IF(L97=5,"Catastrófico",IF(L97=""," "))))))</f>
        <v>MAYOR</v>
      </c>
      <c r="N97" s="431">
        <f t="shared" ref="N97" si="168">IF(M97="","",IF(M97="Leve",0.2,IF(M97="Menor",0.4,IF(M97="Moderado",0.6,IF(M97="Mayor",0.8,IF(M97="Catastrófico",1,))))))</f>
        <v>0.8</v>
      </c>
      <c r="O97" s="433" t="str">
        <f t="shared" si="131"/>
        <v>Alto</v>
      </c>
      <c r="P97" s="261">
        <v>1</v>
      </c>
      <c r="Q97" s="328" t="s">
        <v>1082</v>
      </c>
      <c r="R97" s="272" t="s">
        <v>293</v>
      </c>
      <c r="S97" s="317" t="s">
        <v>1083</v>
      </c>
      <c r="T97" s="262" t="str">
        <f>IF(OR(U97="Preventivo",U97="Detectivo"),"Probabilidad",IF(U97="Correctivo","Impacto",""))</f>
        <v>Probabilidad</v>
      </c>
      <c r="U97" s="263" t="s">
        <v>13</v>
      </c>
      <c r="V97" s="263" t="s">
        <v>8</v>
      </c>
      <c r="W97" s="264" t="str">
        <f t="shared" si="138"/>
        <v>40%</v>
      </c>
      <c r="X97" s="263" t="s">
        <v>18</v>
      </c>
      <c r="Y97" s="263" t="s">
        <v>21</v>
      </c>
      <c r="Z97" s="263" t="s">
        <v>103</v>
      </c>
      <c r="AA97" s="265">
        <f>IFERROR(IF(T97="Probabilidad",(K97-(+K97*W97)),IF(T97="Impacto",K97,"")),"")</f>
        <v>0.36</v>
      </c>
      <c r="AB97" s="266" t="str">
        <f>IFERROR(IF(AA97="","",IF(AA97&lt;=0.2,"Muy Baja",IF(AA97&lt;=0.4,"Baja",IF(AA97&lt;=0.6,"Media",IF(AA97&lt;=0.8,"Alta","Muy Alta"))))),"")</f>
        <v>Baja</v>
      </c>
      <c r="AC97" s="264">
        <f>+AA97</f>
        <v>0.36</v>
      </c>
      <c r="AD97" s="266" t="str">
        <f>IFERROR(IF(AE97="","",IF(AE97&lt;=0.2,"Leve",IF(AE97&lt;=0.4,"Menor",IF(AE97&lt;=0.6,"Moderado",IF(AE97&lt;=0.8,"Mayor","Catastrófico"))))),"")</f>
        <v>Mayor</v>
      </c>
      <c r="AE97" s="264">
        <f>IFERROR(IF(T97="Impacto",(N97-(+N97*W97)),IF(T97="Probabilidad",N97,"")),"")</f>
        <v>0.8</v>
      </c>
      <c r="AF97" s="267" t="str">
        <f>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Alto</v>
      </c>
      <c r="AG97" s="263" t="s">
        <v>26</v>
      </c>
      <c r="AH97" s="319">
        <v>2</v>
      </c>
      <c r="AI97" s="319">
        <v>0</v>
      </c>
      <c r="AJ97" s="319">
        <v>1</v>
      </c>
      <c r="AK97" s="319">
        <v>0</v>
      </c>
      <c r="AL97" s="319">
        <v>1</v>
      </c>
      <c r="AM97" s="272"/>
      <c r="AN97" s="272"/>
      <c r="AO97" s="273"/>
      <c r="AP97" s="274"/>
      <c r="AQ97" s="274"/>
      <c r="AR97" s="276"/>
      <c r="AS97" s="276"/>
    </row>
    <row r="98" spans="1:60" s="113" customFormat="1" ht="14.25" hidden="1" customHeight="1" x14ac:dyDescent="0.2">
      <c r="A98" s="437"/>
      <c r="B98" s="438"/>
      <c r="C98" s="434"/>
      <c r="D98" s="434"/>
      <c r="E98" s="435"/>
      <c r="F98" s="436"/>
      <c r="G98" s="435"/>
      <c r="H98" s="435"/>
      <c r="I98" s="439"/>
      <c r="J98" s="430"/>
      <c r="K98" s="431"/>
      <c r="L98" s="430"/>
      <c r="M98" s="431"/>
      <c r="N98" s="431"/>
      <c r="O98" s="433"/>
      <c r="P98" s="316">
        <v>2</v>
      </c>
      <c r="Q98" s="325"/>
      <c r="R98" s="312"/>
      <c r="S98" s="317"/>
      <c r="T98" s="208" t="str">
        <f>IF(OR(U98="Preventivo",U98="Detectivo"),"Probabilidad",IF(U98="Correctivo","Impacto",""))</f>
        <v/>
      </c>
      <c r="U98" s="237"/>
      <c r="V98" s="237"/>
      <c r="W98" s="209" t="str">
        <f t="shared" si="138"/>
        <v/>
      </c>
      <c r="X98" s="237"/>
      <c r="Y98" s="237"/>
      <c r="Z98" s="237"/>
      <c r="AA98" s="210" t="str">
        <f>IFERROR(IF(AND(T97="Probabilidad",T98="Probabilidad"),(AC97-(+AC97*W98)),IF(T98="Probabilidad",(K97-(+K97*W98)),IF(T98="Impacto",AC97,""))),"")</f>
        <v/>
      </c>
      <c r="AB98" s="211" t="str">
        <f t="shared" si="143"/>
        <v/>
      </c>
      <c r="AC98" s="209" t="str">
        <f t="shared" ref="AC98:AC102" si="169">+AA98</f>
        <v/>
      </c>
      <c r="AD98" s="211" t="str">
        <f t="shared" si="145"/>
        <v/>
      </c>
      <c r="AE98" s="209" t="str">
        <f>IFERROR(IF(AND(T97="Impacto",T98="Impacto"),(AE97-(+AE97*W98)),IF(T98="Impacto",(#REF!-(+#REF!*W98)),IF(T98="Probabilidad",AE97,""))),"")</f>
        <v/>
      </c>
      <c r="AF98" s="212" t="str">
        <f t="shared" ref="AF98:AF99" si="170">IFERROR(IF(OR(AND(AB98="Muy Baja",AD98="Leve"),AND(AB98="Muy Baja",AD98="Menor"),AND(AB98="Baja",AD98="Leve")),"Bajo",IF(OR(AND(AB98="Muy baja",AD98="Moderado"),AND(AB98="Baja",AD98="Menor"),AND(AB98="Baja",AD98="Moderado"),AND(AB98="Media",AD98="Leve"),AND(AB98="Media",AD98="Menor"),AND(AB98="Media",AD98="Moderado"),AND(AB98="Alta",AD98="Leve"),AND(AB98="Alta",AD98="Menor")),"Moderado",IF(OR(AND(AB98="Muy Baja",AD98="Mayor"),AND(AB98="Baja",AD98="Mayor"),AND(AB98="Media",AD98="Mayor"),AND(AB98="Alta",AD98="Moderado"),AND(AB98="Alta",AD98="Mayor"),AND(AB98="Muy Alta",AD98="Leve"),AND(AB98="Muy Alta",AD98="Menor"),AND(AB98="Muy Alta",AD98="Moderado"),AND(AB98="Muy Alta",AD98="Mayor")),"Alto",IF(OR(AND(AB98="Muy Baja",AD98="Catastrófico"),AND(AB98="Baja",AD98="Catastrófico"),AND(AB98="Media",AD98="Catastrófico"),AND(AB98="Alta",AD98="Catastrófico"),AND(AB98="Muy Alta",AD98="Catastrófico")),"Extremo","")))),"")</f>
        <v/>
      </c>
      <c r="AG98" s="237"/>
      <c r="AH98" s="319"/>
      <c r="AI98" s="319"/>
      <c r="AJ98" s="319"/>
      <c r="AK98" s="319"/>
      <c r="AL98" s="319"/>
      <c r="AM98" s="253"/>
      <c r="AN98" s="253"/>
      <c r="AO98" s="255"/>
      <c r="AP98" s="216"/>
      <c r="AQ98" s="216"/>
      <c r="AR98" s="277"/>
      <c r="AS98" s="277"/>
      <c r="AT98" s="129"/>
      <c r="AU98" s="129"/>
      <c r="AV98" s="129"/>
      <c r="AW98" s="129"/>
      <c r="AX98" s="129"/>
      <c r="AY98" s="129"/>
      <c r="AZ98" s="129"/>
      <c r="BA98" s="129"/>
      <c r="BB98" s="129"/>
      <c r="BC98" s="129"/>
      <c r="BD98" s="129"/>
      <c r="BE98" s="129"/>
      <c r="BF98" s="129"/>
      <c r="BG98" s="129"/>
      <c r="BH98" s="129"/>
    </row>
    <row r="99" spans="1:60" s="113" customFormat="1" ht="14.25" hidden="1" customHeight="1" x14ac:dyDescent="0.2">
      <c r="A99" s="437"/>
      <c r="B99" s="438"/>
      <c r="C99" s="434"/>
      <c r="D99" s="434"/>
      <c r="E99" s="435"/>
      <c r="F99" s="436"/>
      <c r="G99" s="435"/>
      <c r="H99" s="435"/>
      <c r="I99" s="439"/>
      <c r="J99" s="430"/>
      <c r="K99" s="431"/>
      <c r="L99" s="430"/>
      <c r="M99" s="431"/>
      <c r="N99" s="431"/>
      <c r="O99" s="433"/>
      <c r="P99" s="316">
        <v>3</v>
      </c>
      <c r="Q99" s="330"/>
      <c r="R99" s="312"/>
      <c r="S99" s="317"/>
      <c r="T99" s="208" t="str">
        <f>IF(OR(U99="Preventivo",U99="Detectivo"),"Probabilidad",IF(U99="Correctivo","Impacto",""))</f>
        <v/>
      </c>
      <c r="U99" s="237"/>
      <c r="V99" s="237"/>
      <c r="W99" s="209" t="str">
        <f t="shared" si="138"/>
        <v/>
      </c>
      <c r="X99" s="237"/>
      <c r="Y99" s="237"/>
      <c r="Z99" s="237"/>
      <c r="AA99" s="210" t="str">
        <f t="shared" ref="AA99" si="171">IFERROR(IF(AND(T98="Probabilidad",T99="Probabilidad"),(AC98-(+AC98*W99)),IF(AND(T98="Impacto",T99="Probabilidad"),(AC97-(+AC97*W99)),IF(T99="Impacto",AC98,""))),"")</f>
        <v/>
      </c>
      <c r="AB99" s="211" t="str">
        <f t="shared" si="143"/>
        <v/>
      </c>
      <c r="AC99" s="209" t="str">
        <f t="shared" si="169"/>
        <v/>
      </c>
      <c r="AD99" s="211" t="str">
        <f t="shared" si="145"/>
        <v/>
      </c>
      <c r="AE99" s="209" t="str">
        <f>IFERROR(IF(AND(T98="Impacto",T99="Impacto"),(AE98-(+AE98*W99)),IF(T99="Impacto",(#REF!-(+#REF!*W99)),IF(T99="Probabilidad",AE98,""))),"")</f>
        <v/>
      </c>
      <c r="AF99" s="212" t="str">
        <f t="shared" si="170"/>
        <v/>
      </c>
      <c r="AG99" s="237"/>
      <c r="AH99" s="319"/>
      <c r="AI99" s="319"/>
      <c r="AJ99" s="319"/>
      <c r="AK99" s="319"/>
      <c r="AL99" s="319"/>
      <c r="AM99" s="253"/>
      <c r="AN99" s="253"/>
      <c r="AO99" s="255"/>
      <c r="AP99" s="216"/>
      <c r="AQ99" s="216"/>
      <c r="AR99" s="277"/>
      <c r="AS99" s="277"/>
      <c r="AT99" s="129"/>
      <c r="AU99" s="129"/>
      <c r="AV99" s="129"/>
      <c r="AW99" s="129"/>
      <c r="AX99" s="129"/>
      <c r="AY99" s="129"/>
      <c r="AZ99" s="129"/>
      <c r="BA99" s="129"/>
      <c r="BB99" s="129"/>
      <c r="BC99" s="129"/>
      <c r="BD99" s="129"/>
      <c r="BE99" s="129"/>
      <c r="BF99" s="129"/>
      <c r="BG99" s="129"/>
      <c r="BH99" s="129"/>
    </row>
    <row r="100" spans="1:60" s="113" customFormat="1" ht="14.25" hidden="1" customHeight="1" x14ac:dyDescent="0.2">
      <c r="A100" s="437"/>
      <c r="B100" s="438"/>
      <c r="C100" s="434"/>
      <c r="D100" s="434"/>
      <c r="E100" s="435"/>
      <c r="F100" s="436"/>
      <c r="G100" s="435"/>
      <c r="H100" s="435"/>
      <c r="I100" s="439"/>
      <c r="J100" s="430"/>
      <c r="K100" s="431"/>
      <c r="L100" s="430"/>
      <c r="M100" s="431"/>
      <c r="N100" s="431"/>
      <c r="O100" s="433"/>
      <c r="P100" s="316">
        <v>4</v>
      </c>
      <c r="Q100" s="325"/>
      <c r="R100" s="312"/>
      <c r="S100" s="317"/>
      <c r="T100" s="208" t="str">
        <f t="shared" ref="T100:T102" si="172">IF(OR(U100="Preventivo",U100="Detectivo"),"Probabilidad",IF(U100="Correctivo","Impacto",""))</f>
        <v/>
      </c>
      <c r="U100" s="237"/>
      <c r="V100" s="237"/>
      <c r="W100" s="209" t="str">
        <f t="shared" si="138"/>
        <v/>
      </c>
      <c r="X100" s="237"/>
      <c r="Y100" s="237"/>
      <c r="Z100" s="237"/>
      <c r="AA100" s="210" t="str">
        <f t="shared" si="147"/>
        <v/>
      </c>
      <c r="AB100" s="211" t="str">
        <f t="shared" si="143"/>
        <v/>
      </c>
      <c r="AC100" s="209" t="str">
        <f t="shared" si="169"/>
        <v/>
      </c>
      <c r="AD100" s="211" t="str">
        <f t="shared" si="145"/>
        <v/>
      </c>
      <c r="AE100" s="209" t="str">
        <f>IFERROR(IF(AND(T99="Impacto",T100="Impacto"),(AE99-(+AE99*W100)),IF(T100="Impacto",(#REF!-(+#REF!*W100)),IF(T100="Probabilidad",AE99,""))),"")</f>
        <v/>
      </c>
      <c r="AF100" s="212" t="str">
        <f>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
      </c>
      <c r="AG100" s="237"/>
      <c r="AH100" s="319"/>
      <c r="AI100" s="319"/>
      <c r="AJ100" s="319"/>
      <c r="AK100" s="319"/>
      <c r="AL100" s="319"/>
      <c r="AM100" s="253"/>
      <c r="AN100" s="253"/>
      <c r="AO100" s="255"/>
      <c r="AP100" s="216"/>
      <c r="AQ100" s="216"/>
      <c r="AR100" s="277"/>
      <c r="AS100" s="277"/>
      <c r="AT100" s="129"/>
      <c r="AU100" s="129"/>
      <c r="AV100" s="129"/>
      <c r="AW100" s="129"/>
      <c r="AX100" s="129"/>
      <c r="AY100" s="129"/>
      <c r="AZ100" s="129"/>
      <c r="BA100" s="129"/>
      <c r="BB100" s="129"/>
      <c r="BC100" s="129"/>
      <c r="BD100" s="129"/>
      <c r="BE100" s="129"/>
      <c r="BF100" s="129"/>
      <c r="BG100" s="129"/>
      <c r="BH100" s="129"/>
    </row>
    <row r="101" spans="1:60" s="113" customFormat="1" ht="14.25" hidden="1" customHeight="1" x14ac:dyDescent="0.2">
      <c r="A101" s="437"/>
      <c r="B101" s="438"/>
      <c r="C101" s="434"/>
      <c r="D101" s="434"/>
      <c r="E101" s="435"/>
      <c r="F101" s="436"/>
      <c r="G101" s="435"/>
      <c r="H101" s="435"/>
      <c r="I101" s="439"/>
      <c r="J101" s="430"/>
      <c r="K101" s="431"/>
      <c r="L101" s="430"/>
      <c r="M101" s="431"/>
      <c r="N101" s="431"/>
      <c r="O101" s="433"/>
      <c r="P101" s="316">
        <v>5</v>
      </c>
      <c r="Q101" s="325"/>
      <c r="R101" s="312"/>
      <c r="S101" s="317"/>
      <c r="T101" s="208" t="str">
        <f t="shared" si="172"/>
        <v/>
      </c>
      <c r="U101" s="237"/>
      <c r="V101" s="237"/>
      <c r="W101" s="209" t="str">
        <f t="shared" si="138"/>
        <v/>
      </c>
      <c r="X101" s="237"/>
      <c r="Y101" s="237"/>
      <c r="Z101" s="237"/>
      <c r="AA101" s="210" t="str">
        <f t="shared" si="147"/>
        <v/>
      </c>
      <c r="AB101" s="211" t="str">
        <f t="shared" si="143"/>
        <v/>
      </c>
      <c r="AC101" s="209" t="str">
        <f t="shared" si="169"/>
        <v/>
      </c>
      <c r="AD101" s="211" t="str">
        <f t="shared" si="145"/>
        <v/>
      </c>
      <c r="AE101" s="209" t="str">
        <f>IFERROR(IF(AND(T100="Impacto",T101="Impacto"),(AE100-(+AE100*W101)),IF(T101="Impacto",(#REF!-(+#REF!*W101)),IF(T101="Probabilidad",AE100,""))),"")</f>
        <v/>
      </c>
      <c r="AF101" s="212" t="str">
        <f t="shared" ref="AF101" si="173">IFERROR(IF(OR(AND(AB101="Muy Baja",AD101="Leve"),AND(AB101="Muy Baja",AD101="Menor"),AND(AB101="Baja",AD101="Leve")),"Bajo",IF(OR(AND(AB101="Muy baja",AD101="Moderado"),AND(AB101="Baja",AD101="Menor"),AND(AB101="Baja",AD101="Moderado"),AND(AB101="Media",AD101="Leve"),AND(AB101="Media",AD101="Menor"),AND(AB101="Media",AD101="Moderado"),AND(AB101="Alta",AD101="Leve"),AND(AB101="Alta",AD101="Menor")),"Moderado",IF(OR(AND(AB101="Muy Baja",AD101="Mayor"),AND(AB101="Baja",AD101="Mayor"),AND(AB101="Media",AD101="Mayor"),AND(AB101="Alta",AD101="Moderado"),AND(AB101="Alta",AD101="Mayor"),AND(AB101="Muy Alta",AD101="Leve"),AND(AB101="Muy Alta",AD101="Menor"),AND(AB101="Muy Alta",AD101="Moderado"),AND(AB101="Muy Alta",AD101="Mayor")),"Alto",IF(OR(AND(AB101="Muy Baja",AD101="Catastrófico"),AND(AB101="Baja",AD101="Catastrófico"),AND(AB101="Media",AD101="Catastrófico"),AND(AB101="Alta",AD101="Catastrófico"),AND(AB101="Muy Alta",AD101="Catastrófico")),"Extremo","")))),"")</f>
        <v/>
      </c>
      <c r="AG101" s="237"/>
      <c r="AH101" s="319"/>
      <c r="AI101" s="319"/>
      <c r="AJ101" s="319"/>
      <c r="AK101" s="319"/>
      <c r="AL101" s="319"/>
      <c r="AM101" s="253"/>
      <c r="AN101" s="253"/>
      <c r="AO101" s="255"/>
      <c r="AP101" s="216"/>
      <c r="AQ101" s="216"/>
      <c r="AR101" s="277"/>
      <c r="AS101" s="277"/>
      <c r="AT101" s="129"/>
      <c r="AU101" s="129"/>
      <c r="AV101" s="129"/>
      <c r="AW101" s="129"/>
      <c r="AX101" s="129"/>
      <c r="AY101" s="129"/>
      <c r="AZ101" s="129"/>
      <c r="BA101" s="129"/>
      <c r="BB101" s="129"/>
      <c r="BC101" s="129"/>
      <c r="BD101" s="129"/>
      <c r="BE101" s="129"/>
      <c r="BF101" s="129"/>
      <c r="BG101" s="129"/>
      <c r="BH101" s="129"/>
    </row>
    <row r="102" spans="1:60" s="113" customFormat="1" ht="14.25" hidden="1" customHeight="1" x14ac:dyDescent="0.2">
      <c r="A102" s="437"/>
      <c r="B102" s="438"/>
      <c r="C102" s="434"/>
      <c r="D102" s="434"/>
      <c r="E102" s="435"/>
      <c r="F102" s="436"/>
      <c r="G102" s="435"/>
      <c r="H102" s="435"/>
      <c r="I102" s="439"/>
      <c r="J102" s="430"/>
      <c r="K102" s="431"/>
      <c r="L102" s="430"/>
      <c r="M102" s="431"/>
      <c r="N102" s="431"/>
      <c r="O102" s="433"/>
      <c r="P102" s="316">
        <v>6</v>
      </c>
      <c r="Q102" s="325"/>
      <c r="R102" s="312"/>
      <c r="S102" s="317"/>
      <c r="T102" s="208" t="str">
        <f t="shared" si="172"/>
        <v/>
      </c>
      <c r="U102" s="237"/>
      <c r="V102" s="237"/>
      <c r="W102" s="209" t="str">
        <f t="shared" si="138"/>
        <v/>
      </c>
      <c r="X102" s="237"/>
      <c r="Y102" s="237"/>
      <c r="Z102" s="237"/>
      <c r="AA102" s="210" t="str">
        <f t="shared" si="147"/>
        <v/>
      </c>
      <c r="AB102" s="211" t="str">
        <f t="shared" si="143"/>
        <v/>
      </c>
      <c r="AC102" s="209" t="str">
        <f t="shared" si="169"/>
        <v/>
      </c>
      <c r="AD102" s="211" t="str">
        <f>IFERROR(IF(AE102="","",IF(AE102&lt;=0.2,"Leve",IF(AE102&lt;=0.4,"Menor",IF(AE102&lt;=0.6,"Moderado",IF(AE102&lt;=0.8,"Mayor","Catastrófico"))))),"")</f>
        <v/>
      </c>
      <c r="AE102" s="209" t="str">
        <f>IFERROR(IF(AND(T101="Impacto",T102="Impacto"),(AE101-(+AE101*W102)),IF(T102="Impacto",(#REF!-(+#REF!*W102)),IF(T102="Probabilidad",AE101,""))),"")</f>
        <v/>
      </c>
      <c r="AF102" s="212" t="str">
        <f>IFERROR(IF(OR(AND(AB102="Muy Baja",AD102="Leve"),AND(AB102="Muy Baja",AD102="Menor"),AND(AB102="Baja",AD102="Leve")),"Bajo",IF(OR(AND(AB102="Muy baja",AD102="Moderado"),AND(AB102="Baja",AD102="Menor"),AND(AB102="Baja",AD102="Moderado"),AND(AB102="Media",AD102="Leve"),AND(AB102="Media",AD102="Menor"),AND(AB102="Media",AD102="Moderado"),AND(AB102="Alta",AD102="Leve"),AND(AB102="Alta",AD102="Menor")),"Moderado",IF(OR(AND(AB102="Muy Baja",AD102="Mayor"),AND(AB102="Baja",AD102="Mayor"),AND(AB102="Media",AD102="Mayor"),AND(AB102="Alta",AD102="Moderado"),AND(AB102="Alta",AD102="Mayor"),AND(AB102="Muy Alta",AD102="Leve"),AND(AB102="Muy Alta",AD102="Menor"),AND(AB102="Muy Alta",AD102="Moderado"),AND(AB102="Muy Alta",AD102="Mayor")),"Alto",IF(OR(AND(AB102="Muy Baja",AD102="Catastrófico"),AND(AB102="Baja",AD102="Catastrófico"),AND(AB102="Media",AD102="Catastrófico"),AND(AB102="Alta",AD102="Catastrófico"),AND(AB102="Muy Alta",AD102="Catastrófico")),"Extremo","")))),"")</f>
        <v/>
      </c>
      <c r="AG102" s="237"/>
      <c r="AH102" s="319"/>
      <c r="AI102" s="319"/>
      <c r="AJ102" s="319"/>
      <c r="AK102" s="319"/>
      <c r="AL102" s="319"/>
      <c r="AM102" s="253"/>
      <c r="AN102" s="253"/>
      <c r="AO102" s="255"/>
      <c r="AP102" s="216"/>
      <c r="AQ102" s="216"/>
      <c r="AR102" s="277"/>
      <c r="AS102" s="277"/>
      <c r="AT102" s="129"/>
      <c r="AU102" s="129"/>
      <c r="AV102" s="129"/>
      <c r="AW102" s="129"/>
      <c r="AX102" s="129"/>
      <c r="AY102" s="129"/>
      <c r="AZ102" s="129"/>
      <c r="BA102" s="129"/>
      <c r="BB102" s="129"/>
      <c r="BC102" s="129"/>
      <c r="BD102" s="129"/>
      <c r="BE102" s="129"/>
      <c r="BF102" s="129"/>
      <c r="BG102" s="129"/>
      <c r="BH102" s="129"/>
    </row>
    <row r="103" spans="1:60" s="271" customFormat="1" ht="128.44999999999999" customHeight="1" x14ac:dyDescent="0.2">
      <c r="A103" s="437" t="s">
        <v>1046</v>
      </c>
      <c r="B103" s="438" t="s">
        <v>614</v>
      </c>
      <c r="C103" s="434" t="s">
        <v>620</v>
      </c>
      <c r="D103" s="434" t="s">
        <v>1048</v>
      </c>
      <c r="E103" s="435" t="s">
        <v>685</v>
      </c>
      <c r="F103" s="436" t="s">
        <v>1047</v>
      </c>
      <c r="G103" s="435" t="s">
        <v>233</v>
      </c>
      <c r="H103" s="435" t="s">
        <v>1078</v>
      </c>
      <c r="I103" s="439">
        <v>2</v>
      </c>
      <c r="J103" s="430" t="str">
        <f t="shared" si="108"/>
        <v>Muy Baja</v>
      </c>
      <c r="K103" s="431">
        <f t="shared" ref="K103" si="174">IF(J103="","",IF(J103="Muy Baja",0.2,IF(J103="Baja",0.4,IF(J103="Media",0.6,IF(J103="Alta",0.8,IF(J103="Muy Alta",1,))))))</f>
        <v>0.2</v>
      </c>
      <c r="L103" s="430">
        <v>5</v>
      </c>
      <c r="M103" s="431" t="str">
        <f t="shared" ref="M103" si="175">IF(L103=1,"INSIGNIFICANTE",IF(L103=2,"Menor",IF(L103=3,"Moderado",IF(L103=4,"MAYOR",IF(L103=5,"Catastrófico",IF(L103=""," "))))))</f>
        <v>Catastrófico</v>
      </c>
      <c r="N103" s="431">
        <f t="shared" ref="N103" si="176">IF(M103="","",IF(M103="Leve",0.2,IF(M103="Menor",0.4,IF(M103="Moderado",0.6,IF(M103="Mayor",0.8,IF(M103="Catastrófico",1,))))))</f>
        <v>1</v>
      </c>
      <c r="O103" s="433" t="str">
        <f t="shared" si="131"/>
        <v>Extremo</v>
      </c>
      <c r="P103" s="261">
        <v>1</v>
      </c>
      <c r="Q103" s="328" t="s">
        <v>1049</v>
      </c>
      <c r="R103" s="272" t="s">
        <v>293</v>
      </c>
      <c r="S103" s="317" t="s">
        <v>1050</v>
      </c>
      <c r="T103" s="262" t="str">
        <f>IF(OR(U103="Preventivo",U103="Detectivo"),"Probabilidad",IF(U103="Correctivo","Impacto",""))</f>
        <v>Probabilidad</v>
      </c>
      <c r="U103" s="263" t="s">
        <v>13</v>
      </c>
      <c r="V103" s="263" t="s">
        <v>8</v>
      </c>
      <c r="W103" s="264" t="str">
        <f t="shared" si="138"/>
        <v>40%</v>
      </c>
      <c r="X103" s="263" t="s">
        <v>18</v>
      </c>
      <c r="Y103" s="263" t="s">
        <v>21</v>
      </c>
      <c r="Z103" s="263" t="s">
        <v>103</v>
      </c>
      <c r="AA103" s="265">
        <f>IFERROR(IF(T103="Probabilidad",(K103-(+K103*W103)),IF(T103="Impacto",K103,"")),"")</f>
        <v>0.12</v>
      </c>
      <c r="AB103" s="266" t="str">
        <f>IFERROR(IF(AA103="","",IF(AA103&lt;=0.2,"Muy Baja",IF(AA103&lt;=0.4,"Baja",IF(AA103&lt;=0.6,"Media",IF(AA103&lt;=0.8,"Alta","Muy Alta"))))),"")</f>
        <v>Muy Baja</v>
      </c>
      <c r="AC103" s="264">
        <f>+AA103</f>
        <v>0.12</v>
      </c>
      <c r="AD103" s="266" t="str">
        <f>IFERROR(IF(AE103="","",IF(AE103&lt;=0.2,"Leve",IF(AE103&lt;=0.4,"Menor",IF(AE103&lt;=0.6,"Moderado",IF(AE103&lt;=0.8,"Mayor","Catastrófico"))))),"")</f>
        <v>Catastrófico</v>
      </c>
      <c r="AE103" s="264">
        <f>IFERROR(IF(T103="Impacto",(N103-(+N103*W103)),IF(T103="Probabilidad",N103,"")),"")</f>
        <v>1</v>
      </c>
      <c r="AF103" s="267" t="str">
        <f>IFERROR(IF(OR(AND(AB103="Muy Baja",AD103="Leve"),AND(AB103="Muy Baja",AD103="Menor"),AND(AB103="Baja",AD103="Leve")),"Bajo",IF(OR(AND(AB103="Muy baja",AD103="Moderado"),AND(AB103="Baja",AD103="Menor"),AND(AB103="Baja",AD103="Moderado"),AND(AB103="Media",AD103="Leve"),AND(AB103="Media",AD103="Menor"),AND(AB103="Media",AD103="Moderado"),AND(AB103="Alta",AD103="Leve"),AND(AB103="Alta",AD103="Menor")),"Moderado",IF(OR(AND(AB103="Muy Baja",AD103="Mayor"),AND(AB103="Baja",AD103="Mayor"),AND(AB103="Media",AD103="Mayor"),AND(AB103="Alta",AD103="Moderado"),AND(AB103="Alta",AD103="Mayor"),AND(AB103="Muy Alta",AD103="Leve"),AND(AB103="Muy Alta",AD103="Menor"),AND(AB103="Muy Alta",AD103="Moderado"),AND(AB103="Muy Alta",AD103="Mayor")),"Alto",IF(OR(AND(AB103="Muy Baja",AD103="Catastrófico"),AND(AB103="Baja",AD103="Catastrófico"),AND(AB103="Media",AD103="Catastrófico"),AND(AB103="Alta",AD103="Catastrófico"),AND(AB103="Muy Alta",AD103="Catastrófico")),"Extremo","")))),"")</f>
        <v>Extremo</v>
      </c>
      <c r="AG103" s="263" t="s">
        <v>26</v>
      </c>
      <c r="AH103" s="319">
        <v>0</v>
      </c>
      <c r="AI103" s="319">
        <v>0</v>
      </c>
      <c r="AJ103" s="319">
        <v>0</v>
      </c>
      <c r="AK103" s="319">
        <v>0</v>
      </c>
      <c r="AL103" s="319">
        <v>0</v>
      </c>
      <c r="AM103" s="272"/>
      <c r="AN103" s="272"/>
      <c r="AO103" s="273"/>
      <c r="AP103" s="274"/>
      <c r="AQ103" s="274"/>
      <c r="AR103" s="276"/>
      <c r="AS103" s="276"/>
    </row>
    <row r="104" spans="1:60" s="113" customFormat="1" ht="23.25" hidden="1" customHeight="1" x14ac:dyDescent="0.2">
      <c r="A104" s="437"/>
      <c r="B104" s="438"/>
      <c r="C104" s="434"/>
      <c r="D104" s="434"/>
      <c r="E104" s="435"/>
      <c r="F104" s="436"/>
      <c r="G104" s="435"/>
      <c r="H104" s="435"/>
      <c r="I104" s="439"/>
      <c r="J104" s="430"/>
      <c r="K104" s="431"/>
      <c r="L104" s="430"/>
      <c r="M104" s="431"/>
      <c r="N104" s="431"/>
      <c r="O104" s="433"/>
      <c r="P104" s="316">
        <v>2</v>
      </c>
      <c r="Q104" s="325"/>
      <c r="R104" s="312"/>
      <c r="S104" s="317"/>
      <c r="T104" s="208" t="str">
        <f>IF(OR(U104="Preventivo",U104="Detectivo"),"Probabilidad",IF(U104="Correctivo","Impacto",""))</f>
        <v/>
      </c>
      <c r="U104" s="237"/>
      <c r="V104" s="237"/>
      <c r="W104" s="209" t="str">
        <f t="shared" si="138"/>
        <v/>
      </c>
      <c r="X104" s="237"/>
      <c r="Y104" s="237"/>
      <c r="Z104" s="237"/>
      <c r="AA104" s="210" t="str">
        <f>IFERROR(IF(AND(T103="Probabilidad",T104="Probabilidad"),(AC103-(+AC103*W104)),IF(T104="Probabilidad",(K103-(+K103*W104)),IF(T104="Impacto",AC103,""))),"")</f>
        <v/>
      </c>
      <c r="AB104" s="211" t="str">
        <f t="shared" si="143"/>
        <v/>
      </c>
      <c r="AC104" s="209" t="str">
        <f t="shared" ref="AC104:AC108" si="177">+AA104</f>
        <v/>
      </c>
      <c r="AD104" s="211" t="str">
        <f t="shared" si="145"/>
        <v/>
      </c>
      <c r="AE104" s="209" t="str">
        <f>IFERROR(IF(AND(T103="Impacto",T104="Impacto"),(AE103-(+AE103*W104)),IF(T104="Impacto",(#REF!-(+#REF!*W104)),IF(T104="Probabilidad",AE103,""))),"")</f>
        <v/>
      </c>
      <c r="AF104" s="212" t="str">
        <f t="shared" ref="AF104:AF105" si="178">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
      </c>
      <c r="AG104" s="237"/>
      <c r="AH104" s="319"/>
      <c r="AI104" s="319"/>
      <c r="AJ104" s="319"/>
      <c r="AK104" s="319"/>
      <c r="AL104" s="319"/>
      <c r="AM104" s="253"/>
      <c r="AN104" s="253"/>
      <c r="AO104" s="255"/>
      <c r="AP104" s="216"/>
      <c r="AQ104" s="216"/>
      <c r="AR104" s="277"/>
      <c r="AS104" s="277"/>
      <c r="AT104" s="129"/>
      <c r="AU104" s="129"/>
      <c r="AV104" s="129"/>
      <c r="AW104" s="129"/>
      <c r="AX104" s="129"/>
      <c r="AY104" s="129"/>
      <c r="AZ104" s="129"/>
      <c r="BA104" s="129"/>
      <c r="BB104" s="129"/>
      <c r="BC104" s="129"/>
      <c r="BD104" s="129"/>
      <c r="BE104" s="129"/>
      <c r="BF104" s="129"/>
      <c r="BG104" s="129"/>
      <c r="BH104" s="129"/>
    </row>
    <row r="105" spans="1:60" s="113" customFormat="1" ht="23.25" hidden="1" customHeight="1" x14ac:dyDescent="0.2">
      <c r="A105" s="437"/>
      <c r="B105" s="438"/>
      <c r="C105" s="434"/>
      <c r="D105" s="434"/>
      <c r="E105" s="435"/>
      <c r="F105" s="436"/>
      <c r="G105" s="435"/>
      <c r="H105" s="435"/>
      <c r="I105" s="439"/>
      <c r="J105" s="430"/>
      <c r="K105" s="431"/>
      <c r="L105" s="430"/>
      <c r="M105" s="431"/>
      <c r="N105" s="431"/>
      <c r="O105" s="433"/>
      <c r="P105" s="316">
        <v>3</v>
      </c>
      <c r="Q105" s="330"/>
      <c r="R105" s="312"/>
      <c r="S105" s="317"/>
      <c r="T105" s="208" t="str">
        <f>IF(OR(U105="Preventivo",U105="Detectivo"),"Probabilidad",IF(U105="Correctivo","Impacto",""))</f>
        <v/>
      </c>
      <c r="U105" s="237"/>
      <c r="V105" s="237"/>
      <c r="W105" s="209" t="str">
        <f t="shared" si="138"/>
        <v/>
      </c>
      <c r="X105" s="237"/>
      <c r="Y105" s="237"/>
      <c r="Z105" s="237"/>
      <c r="AA105" s="210" t="str">
        <f t="shared" ref="AA105" si="179">IFERROR(IF(AND(T104="Probabilidad",T105="Probabilidad"),(AC104-(+AC104*W105)),IF(AND(T104="Impacto",T105="Probabilidad"),(AC103-(+AC103*W105)),IF(T105="Impacto",AC104,""))),"")</f>
        <v/>
      </c>
      <c r="AB105" s="211" t="str">
        <f t="shared" si="143"/>
        <v/>
      </c>
      <c r="AC105" s="209" t="str">
        <f t="shared" si="177"/>
        <v/>
      </c>
      <c r="AD105" s="211" t="str">
        <f t="shared" si="145"/>
        <v/>
      </c>
      <c r="AE105" s="209" t="str">
        <f>IFERROR(IF(AND(T104="Impacto",T105="Impacto"),(AE104-(+AE104*W105)),IF(T105="Impacto",(#REF!-(+#REF!*W105)),IF(T105="Probabilidad",AE104,""))),"")</f>
        <v/>
      </c>
      <c r="AF105" s="212" t="str">
        <f t="shared" si="178"/>
        <v/>
      </c>
      <c r="AG105" s="237"/>
      <c r="AH105" s="319"/>
      <c r="AI105" s="319"/>
      <c r="AJ105" s="319"/>
      <c r="AK105" s="319"/>
      <c r="AL105" s="319"/>
      <c r="AM105" s="253"/>
      <c r="AN105" s="253"/>
      <c r="AO105" s="255"/>
      <c r="AP105" s="216"/>
      <c r="AQ105" s="216"/>
      <c r="AR105" s="277"/>
      <c r="AS105" s="277"/>
      <c r="AT105" s="129"/>
      <c r="AU105" s="129"/>
      <c r="AV105" s="129"/>
      <c r="AW105" s="129"/>
      <c r="AX105" s="129"/>
      <c r="AY105" s="129"/>
      <c r="AZ105" s="129"/>
      <c r="BA105" s="129"/>
      <c r="BB105" s="129"/>
      <c r="BC105" s="129"/>
      <c r="BD105" s="129"/>
      <c r="BE105" s="129"/>
      <c r="BF105" s="129"/>
      <c r="BG105" s="129"/>
      <c r="BH105" s="129"/>
    </row>
    <row r="106" spans="1:60" s="113" customFormat="1" ht="23.25" hidden="1" customHeight="1" x14ac:dyDescent="0.2">
      <c r="A106" s="437"/>
      <c r="B106" s="438"/>
      <c r="C106" s="434"/>
      <c r="D106" s="434"/>
      <c r="E106" s="435"/>
      <c r="F106" s="436"/>
      <c r="G106" s="435"/>
      <c r="H106" s="435"/>
      <c r="I106" s="439"/>
      <c r="J106" s="430"/>
      <c r="K106" s="431"/>
      <c r="L106" s="430"/>
      <c r="M106" s="431"/>
      <c r="N106" s="431"/>
      <c r="O106" s="433"/>
      <c r="P106" s="316">
        <v>4</v>
      </c>
      <c r="Q106" s="325"/>
      <c r="R106" s="312"/>
      <c r="S106" s="317"/>
      <c r="T106" s="208" t="str">
        <f t="shared" ref="T106:T108" si="180">IF(OR(U106="Preventivo",U106="Detectivo"),"Probabilidad",IF(U106="Correctivo","Impacto",""))</f>
        <v/>
      </c>
      <c r="U106" s="237"/>
      <c r="V106" s="237"/>
      <c r="W106" s="209" t="str">
        <f t="shared" si="138"/>
        <v/>
      </c>
      <c r="X106" s="237"/>
      <c r="Y106" s="237"/>
      <c r="Z106" s="237"/>
      <c r="AA106" s="210" t="str">
        <f t="shared" si="147"/>
        <v/>
      </c>
      <c r="AB106" s="211" t="str">
        <f t="shared" si="143"/>
        <v/>
      </c>
      <c r="AC106" s="209" t="str">
        <f t="shared" si="177"/>
        <v/>
      </c>
      <c r="AD106" s="211" t="str">
        <f t="shared" si="145"/>
        <v/>
      </c>
      <c r="AE106" s="209" t="str">
        <f>IFERROR(IF(AND(T105="Impacto",T106="Impacto"),(AE105-(+AE105*W106)),IF(T106="Impacto",(#REF!-(+#REF!*W106)),IF(T106="Probabilidad",AE105,""))),"")</f>
        <v/>
      </c>
      <c r="AF106" s="212" t="str">
        <f>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
      </c>
      <c r="AG106" s="237"/>
      <c r="AH106" s="319"/>
      <c r="AI106" s="319"/>
      <c r="AJ106" s="319"/>
      <c r="AK106" s="319"/>
      <c r="AL106" s="319"/>
      <c r="AM106" s="253"/>
      <c r="AN106" s="253"/>
      <c r="AO106" s="255"/>
      <c r="AP106" s="216"/>
      <c r="AQ106" s="216"/>
      <c r="AR106" s="277"/>
      <c r="AS106" s="277"/>
      <c r="AT106" s="129"/>
      <c r="AU106" s="129"/>
      <c r="AV106" s="129"/>
      <c r="AW106" s="129"/>
      <c r="AX106" s="129"/>
      <c r="AY106" s="129"/>
      <c r="AZ106" s="129"/>
      <c r="BA106" s="129"/>
      <c r="BB106" s="129"/>
      <c r="BC106" s="129"/>
      <c r="BD106" s="129"/>
      <c r="BE106" s="129"/>
      <c r="BF106" s="129"/>
      <c r="BG106" s="129"/>
      <c r="BH106" s="129"/>
    </row>
    <row r="107" spans="1:60" s="113" customFormat="1" ht="23.25" hidden="1" customHeight="1" x14ac:dyDescent="0.2">
      <c r="A107" s="437"/>
      <c r="B107" s="438"/>
      <c r="C107" s="434"/>
      <c r="D107" s="434"/>
      <c r="E107" s="435"/>
      <c r="F107" s="436"/>
      <c r="G107" s="435"/>
      <c r="H107" s="435"/>
      <c r="I107" s="439"/>
      <c r="J107" s="430"/>
      <c r="K107" s="431"/>
      <c r="L107" s="430"/>
      <c r="M107" s="431"/>
      <c r="N107" s="431"/>
      <c r="O107" s="433"/>
      <c r="P107" s="316">
        <v>5</v>
      </c>
      <c r="Q107" s="325"/>
      <c r="R107" s="312"/>
      <c r="S107" s="317"/>
      <c r="T107" s="208" t="str">
        <f t="shared" si="180"/>
        <v/>
      </c>
      <c r="U107" s="237"/>
      <c r="V107" s="237"/>
      <c r="W107" s="209" t="str">
        <f t="shared" si="138"/>
        <v/>
      </c>
      <c r="X107" s="237"/>
      <c r="Y107" s="237"/>
      <c r="Z107" s="237"/>
      <c r="AA107" s="210" t="str">
        <f t="shared" si="147"/>
        <v/>
      </c>
      <c r="AB107" s="211" t="str">
        <f t="shared" si="143"/>
        <v/>
      </c>
      <c r="AC107" s="209" t="str">
        <f t="shared" si="177"/>
        <v/>
      </c>
      <c r="AD107" s="211" t="str">
        <f t="shared" si="145"/>
        <v/>
      </c>
      <c r="AE107" s="209" t="str">
        <f>IFERROR(IF(AND(T106="Impacto",T107="Impacto"),(AE106-(+AE106*W107)),IF(T107="Impacto",(#REF!-(+#REF!*W107)),IF(T107="Probabilidad",AE106,""))),"")</f>
        <v/>
      </c>
      <c r="AF107" s="212" t="str">
        <f t="shared" ref="AF107:AF108" si="181">IFERROR(IF(OR(AND(AB107="Muy Baja",AD107="Leve"),AND(AB107="Muy Baja",AD107="Menor"),AND(AB107="Baja",AD107="Leve")),"Bajo",IF(OR(AND(AB107="Muy baja",AD107="Moderado"),AND(AB107="Baja",AD107="Menor"),AND(AB107="Baja",AD107="Moderado"),AND(AB107="Media",AD107="Leve"),AND(AB107="Media",AD107="Menor"),AND(AB107="Media",AD107="Moderado"),AND(AB107="Alta",AD107="Leve"),AND(AB107="Alta",AD107="Menor")),"Moderado",IF(OR(AND(AB107="Muy Baja",AD107="Mayor"),AND(AB107="Baja",AD107="Mayor"),AND(AB107="Media",AD107="Mayor"),AND(AB107="Alta",AD107="Moderado"),AND(AB107="Alta",AD107="Mayor"),AND(AB107="Muy Alta",AD107="Leve"),AND(AB107="Muy Alta",AD107="Menor"),AND(AB107="Muy Alta",AD107="Moderado"),AND(AB107="Muy Alta",AD107="Mayor")),"Alto",IF(OR(AND(AB107="Muy Baja",AD107="Catastrófico"),AND(AB107="Baja",AD107="Catastrófico"),AND(AB107="Media",AD107="Catastrófico"),AND(AB107="Alta",AD107="Catastrófico"),AND(AB107="Muy Alta",AD107="Catastrófico")),"Extremo","")))),"")</f>
        <v/>
      </c>
      <c r="AG107" s="237"/>
      <c r="AH107" s="319"/>
      <c r="AI107" s="319"/>
      <c r="AJ107" s="319"/>
      <c r="AK107" s="319"/>
      <c r="AL107" s="319"/>
      <c r="AM107" s="253"/>
      <c r="AN107" s="253"/>
      <c r="AO107" s="255"/>
      <c r="AP107" s="216"/>
      <c r="AQ107" s="216"/>
      <c r="AR107" s="277"/>
      <c r="AS107" s="277"/>
      <c r="AT107" s="129"/>
      <c r="AU107" s="129"/>
      <c r="AV107" s="129"/>
      <c r="AW107" s="129"/>
      <c r="AX107" s="129"/>
      <c r="AY107" s="129"/>
      <c r="AZ107" s="129"/>
      <c r="BA107" s="129"/>
      <c r="BB107" s="129"/>
      <c r="BC107" s="129"/>
      <c r="BD107" s="129"/>
      <c r="BE107" s="129"/>
      <c r="BF107" s="129"/>
      <c r="BG107" s="129"/>
      <c r="BH107" s="129"/>
    </row>
    <row r="108" spans="1:60" s="113" customFormat="1" ht="23.25" hidden="1" customHeight="1" x14ac:dyDescent="0.2">
      <c r="A108" s="437"/>
      <c r="B108" s="438"/>
      <c r="C108" s="434"/>
      <c r="D108" s="434"/>
      <c r="E108" s="435"/>
      <c r="F108" s="436"/>
      <c r="G108" s="435"/>
      <c r="H108" s="435"/>
      <c r="I108" s="439"/>
      <c r="J108" s="430"/>
      <c r="K108" s="431"/>
      <c r="L108" s="430"/>
      <c r="M108" s="431"/>
      <c r="N108" s="431"/>
      <c r="O108" s="433"/>
      <c r="P108" s="316">
        <v>6</v>
      </c>
      <c r="Q108" s="325"/>
      <c r="R108" s="312"/>
      <c r="S108" s="317"/>
      <c r="T108" s="208" t="str">
        <f t="shared" si="180"/>
        <v/>
      </c>
      <c r="U108" s="237"/>
      <c r="V108" s="237"/>
      <c r="W108" s="209" t="str">
        <f t="shared" si="138"/>
        <v/>
      </c>
      <c r="X108" s="237"/>
      <c r="Y108" s="237"/>
      <c r="Z108" s="237"/>
      <c r="AA108" s="210" t="str">
        <f t="shared" si="147"/>
        <v/>
      </c>
      <c r="AB108" s="211" t="str">
        <f t="shared" si="143"/>
        <v/>
      </c>
      <c r="AC108" s="209" t="str">
        <f t="shared" si="177"/>
        <v/>
      </c>
      <c r="AD108" s="211" t="str">
        <f t="shared" si="145"/>
        <v/>
      </c>
      <c r="AE108" s="209" t="str">
        <f>IFERROR(IF(AND(T107="Impacto",T108="Impacto"),(AE107-(+AE107*W108)),IF(T108="Impacto",(#REF!-(+#REF!*W108)),IF(T108="Probabilidad",AE107,""))),"")</f>
        <v/>
      </c>
      <c r="AF108" s="212" t="str">
        <f t="shared" si="181"/>
        <v/>
      </c>
      <c r="AG108" s="237"/>
      <c r="AH108" s="319"/>
      <c r="AI108" s="319"/>
      <c r="AJ108" s="319"/>
      <c r="AK108" s="319"/>
      <c r="AL108" s="319"/>
      <c r="AM108" s="253"/>
      <c r="AN108" s="253"/>
      <c r="AO108" s="255"/>
      <c r="AP108" s="216"/>
      <c r="AQ108" s="216"/>
      <c r="AR108" s="277"/>
      <c r="AS108" s="277"/>
      <c r="AT108" s="129"/>
      <c r="AU108" s="129"/>
      <c r="AV108" s="129"/>
      <c r="AW108" s="129"/>
      <c r="AX108" s="129"/>
      <c r="AY108" s="129"/>
      <c r="AZ108" s="129"/>
      <c r="BA108" s="129"/>
      <c r="BB108" s="129"/>
      <c r="BC108" s="129"/>
      <c r="BD108" s="129"/>
      <c r="BE108" s="129"/>
      <c r="BF108" s="129"/>
      <c r="BG108" s="129"/>
      <c r="BH108" s="129"/>
    </row>
    <row r="109" spans="1:60" s="113" customFormat="1" ht="99" customHeight="1" x14ac:dyDescent="0.2">
      <c r="A109" s="115"/>
      <c r="B109" s="130"/>
      <c r="C109" s="130"/>
      <c r="D109" s="115"/>
      <c r="E109" s="115"/>
      <c r="F109" s="130"/>
      <c r="G109" s="114"/>
      <c r="H109" s="114"/>
      <c r="Q109" s="331"/>
      <c r="R109" s="114"/>
      <c r="S109" s="114"/>
    </row>
    <row r="110" spans="1:60" s="113" customFormat="1" ht="12.75" x14ac:dyDescent="0.2">
      <c r="A110" s="115"/>
      <c r="Q110" s="331"/>
      <c r="R110" s="114"/>
      <c r="S110" s="114"/>
    </row>
    <row r="111" spans="1:60" s="113" customFormat="1" ht="12.75" x14ac:dyDescent="0.2">
      <c r="A111" s="115"/>
      <c r="B111" s="130"/>
      <c r="C111" s="130"/>
      <c r="D111" s="115"/>
      <c r="E111" s="115"/>
      <c r="G111" s="114"/>
      <c r="H111" s="114"/>
      <c r="Q111" s="331"/>
      <c r="R111" s="114"/>
      <c r="S111" s="114"/>
    </row>
    <row r="112" spans="1:60" s="113" customFormat="1" ht="12.75" x14ac:dyDescent="0.2">
      <c r="A112" s="115"/>
      <c r="B112" s="130"/>
      <c r="C112" s="130"/>
      <c r="D112" s="115"/>
      <c r="E112" s="115"/>
      <c r="G112" s="114"/>
      <c r="H112" s="114"/>
      <c r="Q112" s="331"/>
      <c r="R112" s="114"/>
      <c r="S112" s="114"/>
    </row>
    <row r="113" spans="1:19" s="113" customFormat="1" ht="12.75" x14ac:dyDescent="0.2">
      <c r="A113" s="115"/>
      <c r="B113" s="130"/>
      <c r="C113" s="130"/>
      <c r="D113" s="115"/>
      <c r="E113" s="115"/>
      <c r="G113" s="114"/>
      <c r="H113" s="114"/>
      <c r="Q113" s="331"/>
      <c r="R113" s="114"/>
      <c r="S113" s="114"/>
    </row>
    <row r="114" spans="1:19" s="113" customFormat="1" ht="12.75" x14ac:dyDescent="0.2">
      <c r="A114" s="115"/>
      <c r="B114" s="130"/>
      <c r="C114" s="130"/>
      <c r="D114" s="115"/>
      <c r="E114" s="115"/>
      <c r="G114" s="114"/>
      <c r="H114" s="114"/>
      <c r="Q114" s="331"/>
      <c r="R114" s="114"/>
      <c r="S114" s="114"/>
    </row>
    <row r="115" spans="1:19" s="113" customFormat="1" ht="12.75" x14ac:dyDescent="0.2">
      <c r="A115" s="115"/>
      <c r="B115" s="130"/>
      <c r="C115" s="130"/>
      <c r="D115" s="115"/>
      <c r="E115" s="115"/>
      <c r="G115" s="114"/>
      <c r="H115" s="114"/>
      <c r="Q115" s="331"/>
      <c r="R115" s="114"/>
      <c r="S115" s="114"/>
    </row>
    <row r="116" spans="1:19" s="113" customFormat="1" ht="12.75" x14ac:dyDescent="0.2">
      <c r="A116" s="115"/>
      <c r="B116" s="130"/>
      <c r="C116" s="130"/>
      <c r="D116" s="115"/>
      <c r="E116" s="115"/>
      <c r="G116" s="114"/>
      <c r="H116" s="114"/>
      <c r="Q116" s="331"/>
      <c r="R116" s="114"/>
      <c r="S116" s="114"/>
    </row>
    <row r="117" spans="1:19" s="113" customFormat="1" ht="12.75" x14ac:dyDescent="0.2">
      <c r="A117" s="115"/>
      <c r="B117" s="130"/>
      <c r="C117" s="130"/>
      <c r="D117" s="115"/>
      <c r="E117" s="115"/>
      <c r="G117" s="114"/>
      <c r="H117" s="114"/>
      <c r="Q117" s="331"/>
      <c r="R117" s="114"/>
      <c r="S117" s="114"/>
    </row>
    <row r="118" spans="1:19" s="113" customFormat="1" ht="12.75" x14ac:dyDescent="0.2">
      <c r="A118" s="115"/>
      <c r="B118" s="130"/>
      <c r="C118" s="130"/>
      <c r="D118" s="115"/>
      <c r="E118" s="115"/>
      <c r="G118" s="114"/>
      <c r="H118" s="114"/>
      <c r="Q118" s="331"/>
      <c r="R118" s="114"/>
      <c r="S118" s="114"/>
    </row>
    <row r="119" spans="1:19" s="113" customFormat="1" ht="12.75" x14ac:dyDescent="0.2">
      <c r="A119" s="115"/>
      <c r="B119" s="130"/>
      <c r="C119" s="130"/>
      <c r="D119" s="115"/>
      <c r="E119" s="115"/>
      <c r="G119" s="114"/>
      <c r="H119" s="114"/>
      <c r="Q119" s="331"/>
      <c r="R119" s="114"/>
      <c r="S119" s="114"/>
    </row>
    <row r="120" spans="1:19" s="113" customFormat="1" ht="12.75" x14ac:dyDescent="0.2">
      <c r="A120" s="115"/>
      <c r="B120" s="130"/>
      <c r="C120" s="130"/>
      <c r="D120" s="115"/>
      <c r="E120" s="115"/>
      <c r="G120" s="114"/>
      <c r="H120" s="114"/>
      <c r="Q120" s="331"/>
      <c r="R120" s="114"/>
      <c r="S120" s="114"/>
    </row>
    <row r="121" spans="1:19" s="113" customFormat="1" ht="12.75" x14ac:dyDescent="0.2">
      <c r="A121" s="115"/>
      <c r="B121" s="130"/>
      <c r="C121" s="130"/>
      <c r="D121" s="115"/>
      <c r="E121" s="115"/>
      <c r="G121" s="114"/>
      <c r="H121" s="114"/>
      <c r="Q121" s="331"/>
      <c r="R121" s="114"/>
      <c r="S121" s="114"/>
    </row>
    <row r="122" spans="1:19" s="113" customFormat="1" ht="12.75" x14ac:dyDescent="0.2">
      <c r="A122" s="115"/>
      <c r="B122" s="130"/>
      <c r="C122" s="130"/>
      <c r="D122" s="115"/>
      <c r="E122" s="115"/>
      <c r="G122" s="114"/>
      <c r="H122" s="114"/>
      <c r="Q122" s="331"/>
      <c r="R122" s="114"/>
      <c r="S122" s="114"/>
    </row>
    <row r="123" spans="1:19" s="113" customFormat="1" ht="12.75" x14ac:dyDescent="0.2">
      <c r="A123" s="115"/>
      <c r="B123" s="130"/>
      <c r="C123" s="130"/>
      <c r="D123" s="115"/>
      <c r="E123" s="115"/>
      <c r="G123" s="114"/>
      <c r="H123" s="114"/>
      <c r="Q123" s="331"/>
      <c r="R123" s="114"/>
      <c r="S123" s="114"/>
    </row>
    <row r="124" spans="1:19" s="113" customFormat="1" ht="12.75" x14ac:dyDescent="0.2">
      <c r="A124" s="115"/>
      <c r="B124" s="130"/>
      <c r="C124" s="130"/>
      <c r="D124" s="115"/>
      <c r="E124" s="115"/>
      <c r="G124" s="114"/>
      <c r="H124" s="114"/>
      <c r="Q124" s="331"/>
      <c r="R124" s="114"/>
      <c r="S124" s="114"/>
    </row>
    <row r="125" spans="1:19" s="113" customFormat="1" ht="12.75" x14ac:dyDescent="0.2">
      <c r="A125" s="115"/>
      <c r="B125" s="130"/>
      <c r="C125" s="130"/>
      <c r="D125" s="115"/>
      <c r="E125" s="115"/>
      <c r="G125" s="114"/>
      <c r="H125" s="114"/>
      <c r="Q125" s="331"/>
      <c r="R125" s="114"/>
      <c r="S125" s="114"/>
    </row>
    <row r="126" spans="1:19" s="113" customFormat="1" ht="12.75" x14ac:dyDescent="0.2">
      <c r="A126" s="115"/>
      <c r="B126" s="130"/>
      <c r="C126" s="130"/>
      <c r="D126" s="115"/>
      <c r="E126" s="115"/>
      <c r="G126" s="114"/>
      <c r="H126" s="114"/>
      <c r="Q126" s="331"/>
      <c r="R126" s="114"/>
      <c r="S126" s="114"/>
    </row>
    <row r="127" spans="1:19" s="113" customFormat="1" ht="12.75" x14ac:dyDescent="0.2">
      <c r="A127" s="115"/>
      <c r="B127" s="130"/>
      <c r="C127" s="130"/>
      <c r="D127" s="115"/>
      <c r="E127" s="115"/>
      <c r="G127" s="114"/>
      <c r="H127" s="114"/>
      <c r="Q127" s="331"/>
      <c r="R127" s="114"/>
      <c r="S127" s="114"/>
    </row>
    <row r="128" spans="1:19" s="113" customFormat="1" ht="12.75" x14ac:dyDescent="0.2">
      <c r="A128" s="115"/>
      <c r="B128" s="130"/>
      <c r="C128" s="130"/>
      <c r="D128" s="115"/>
      <c r="E128" s="115"/>
      <c r="G128" s="114"/>
      <c r="H128" s="114"/>
      <c r="Q128" s="331"/>
      <c r="R128" s="114"/>
      <c r="S128" s="114"/>
    </row>
    <row r="129" spans="1:19" s="113" customFormat="1" ht="12.75" x14ac:dyDescent="0.2">
      <c r="A129" s="115"/>
      <c r="B129" s="130"/>
      <c r="C129" s="130"/>
      <c r="D129" s="115"/>
      <c r="E129" s="115"/>
      <c r="G129" s="114"/>
      <c r="H129" s="114"/>
      <c r="Q129" s="331"/>
      <c r="R129" s="114"/>
      <c r="S129" s="114"/>
    </row>
    <row r="130" spans="1:19" s="113" customFormat="1" ht="12.75" x14ac:dyDescent="0.2">
      <c r="A130" s="115"/>
      <c r="B130" s="130"/>
      <c r="C130" s="130"/>
      <c r="D130" s="115"/>
      <c r="E130" s="115"/>
      <c r="G130" s="114"/>
      <c r="H130" s="114"/>
      <c r="Q130" s="331"/>
      <c r="R130" s="114"/>
      <c r="S130" s="114"/>
    </row>
    <row r="131" spans="1:19" s="113" customFormat="1" ht="12.75" x14ac:dyDescent="0.2">
      <c r="A131" s="115"/>
      <c r="B131" s="130"/>
      <c r="C131" s="130"/>
      <c r="D131" s="115"/>
      <c r="E131" s="115"/>
      <c r="G131" s="114"/>
      <c r="H131" s="114"/>
      <c r="Q131" s="331"/>
      <c r="R131" s="114"/>
      <c r="S131" s="114"/>
    </row>
    <row r="132" spans="1:19" s="113" customFormat="1" ht="12.75" x14ac:dyDescent="0.2">
      <c r="A132" s="115"/>
      <c r="B132" s="130"/>
      <c r="C132" s="130"/>
      <c r="D132" s="115"/>
      <c r="E132" s="115"/>
      <c r="G132" s="114"/>
      <c r="H132" s="114"/>
      <c r="Q132" s="331"/>
      <c r="R132" s="114"/>
      <c r="S132" s="114"/>
    </row>
    <row r="133" spans="1:19" s="113" customFormat="1" ht="12.75" x14ac:dyDescent="0.2">
      <c r="A133" s="115"/>
      <c r="B133" s="130"/>
      <c r="C133" s="130"/>
      <c r="D133" s="115"/>
      <c r="E133" s="115"/>
      <c r="G133" s="114"/>
      <c r="H133" s="114"/>
      <c r="Q133" s="331"/>
      <c r="R133" s="114"/>
      <c r="S133" s="114"/>
    </row>
    <row r="134" spans="1:19" s="113" customFormat="1" ht="12.75" x14ac:dyDescent="0.2">
      <c r="A134" s="115"/>
      <c r="B134" s="130"/>
      <c r="C134" s="130"/>
      <c r="D134" s="115"/>
      <c r="E134" s="115"/>
      <c r="G134" s="114"/>
      <c r="H134" s="114"/>
      <c r="Q134" s="331"/>
      <c r="R134" s="114"/>
      <c r="S134" s="114"/>
    </row>
    <row r="135" spans="1:19" s="113" customFormat="1" ht="12.75" x14ac:dyDescent="0.2">
      <c r="A135" s="115"/>
      <c r="B135" s="130"/>
      <c r="C135" s="130"/>
      <c r="D135" s="115"/>
      <c r="E135" s="115"/>
      <c r="G135" s="114"/>
      <c r="H135" s="114"/>
      <c r="Q135" s="331"/>
      <c r="R135" s="114"/>
      <c r="S135" s="114"/>
    </row>
    <row r="136" spans="1:19" s="113" customFormat="1" ht="12.75" x14ac:dyDescent="0.2">
      <c r="A136" s="115"/>
      <c r="B136" s="130"/>
      <c r="C136" s="130"/>
      <c r="D136" s="115"/>
      <c r="E136" s="115"/>
      <c r="G136" s="114"/>
      <c r="H136" s="114"/>
      <c r="Q136" s="331"/>
      <c r="R136" s="114"/>
      <c r="S136" s="114"/>
    </row>
    <row r="137" spans="1:19" s="113" customFormat="1" ht="12.75" x14ac:dyDescent="0.2">
      <c r="A137" s="115"/>
      <c r="B137" s="130"/>
      <c r="C137" s="130"/>
      <c r="D137" s="115"/>
      <c r="E137" s="115"/>
      <c r="G137" s="114"/>
      <c r="H137" s="114"/>
      <c r="Q137" s="331"/>
      <c r="R137" s="114"/>
      <c r="S137" s="114"/>
    </row>
    <row r="138" spans="1:19" s="113" customFormat="1" ht="12.75" x14ac:dyDescent="0.2">
      <c r="A138" s="115"/>
      <c r="B138" s="130"/>
      <c r="C138" s="130"/>
      <c r="D138" s="115"/>
      <c r="E138" s="115"/>
      <c r="G138" s="114"/>
      <c r="H138" s="114"/>
      <c r="Q138" s="331"/>
      <c r="R138" s="114"/>
      <c r="S138" s="114"/>
    </row>
    <row r="139" spans="1:19" s="113" customFormat="1" ht="12.75" x14ac:dyDescent="0.2">
      <c r="A139" s="115"/>
      <c r="B139" s="130"/>
      <c r="C139" s="130"/>
      <c r="D139" s="115"/>
      <c r="E139" s="115"/>
      <c r="G139" s="114"/>
      <c r="H139" s="114"/>
      <c r="Q139" s="331"/>
      <c r="R139" s="114"/>
      <c r="S139" s="114"/>
    </row>
    <row r="140" spans="1:19" s="113" customFormat="1" ht="12.75" x14ac:dyDescent="0.2">
      <c r="A140" s="115"/>
      <c r="B140" s="130"/>
      <c r="C140" s="130"/>
      <c r="D140" s="115"/>
      <c r="E140" s="115"/>
      <c r="G140" s="114"/>
      <c r="H140" s="114"/>
      <c r="Q140" s="331"/>
      <c r="R140" s="114"/>
      <c r="S140" s="114"/>
    </row>
    <row r="141" spans="1:19" s="113" customFormat="1" ht="12.75" x14ac:dyDescent="0.2">
      <c r="A141" s="115"/>
      <c r="B141" s="130"/>
      <c r="C141" s="130"/>
      <c r="D141" s="115"/>
      <c r="E141" s="115"/>
      <c r="G141" s="114"/>
      <c r="H141" s="114"/>
      <c r="Q141" s="331"/>
      <c r="R141" s="114"/>
      <c r="S141" s="114"/>
    </row>
    <row r="142" spans="1:19" s="113" customFormat="1" ht="12.75" x14ac:dyDescent="0.2">
      <c r="A142" s="115"/>
      <c r="B142" s="130"/>
      <c r="C142" s="130"/>
      <c r="D142" s="115"/>
      <c r="E142" s="115"/>
      <c r="G142" s="114"/>
      <c r="H142" s="114"/>
      <c r="Q142" s="331"/>
      <c r="R142" s="114"/>
      <c r="S142" s="114"/>
    </row>
    <row r="143" spans="1:19" s="113" customFormat="1" ht="12.75" x14ac:dyDescent="0.2">
      <c r="A143" s="115"/>
      <c r="B143" s="130"/>
      <c r="C143" s="130"/>
      <c r="D143" s="115"/>
      <c r="E143" s="115"/>
      <c r="G143" s="114"/>
      <c r="H143" s="114"/>
      <c r="Q143" s="331"/>
      <c r="R143" s="114"/>
      <c r="S143" s="114"/>
    </row>
    <row r="144" spans="1:19" s="113" customFormat="1" ht="12.75" x14ac:dyDescent="0.2">
      <c r="A144" s="115"/>
      <c r="B144" s="130"/>
      <c r="C144" s="130"/>
      <c r="D144" s="115"/>
      <c r="E144" s="115"/>
      <c r="G144" s="114"/>
      <c r="H144" s="114"/>
      <c r="Q144" s="331"/>
      <c r="R144" s="114"/>
      <c r="S144" s="114"/>
    </row>
    <row r="145" spans="1:19" s="113" customFormat="1" ht="12.75" x14ac:dyDescent="0.2">
      <c r="A145" s="115"/>
      <c r="B145" s="130"/>
      <c r="C145" s="130"/>
      <c r="D145" s="115"/>
      <c r="E145" s="115"/>
      <c r="G145" s="114"/>
      <c r="H145" s="114"/>
      <c r="Q145" s="331"/>
      <c r="R145" s="114"/>
      <c r="S145" s="114"/>
    </row>
    <row r="146" spans="1:19" s="113" customFormat="1" ht="12.75" x14ac:dyDescent="0.2">
      <c r="A146" s="115"/>
      <c r="B146" s="130"/>
      <c r="C146" s="130"/>
      <c r="D146" s="115"/>
      <c r="E146" s="115"/>
      <c r="G146" s="114"/>
      <c r="H146" s="114"/>
      <c r="Q146" s="331"/>
      <c r="R146" s="114"/>
      <c r="S146" s="114"/>
    </row>
    <row r="147" spans="1:19" s="113" customFormat="1" ht="12.75" x14ac:dyDescent="0.2">
      <c r="A147" s="115"/>
      <c r="B147" s="130"/>
      <c r="C147" s="130"/>
      <c r="D147" s="115"/>
      <c r="E147" s="115"/>
      <c r="G147" s="114"/>
      <c r="H147" s="114"/>
      <c r="Q147" s="331"/>
      <c r="R147" s="114"/>
      <c r="S147" s="114"/>
    </row>
    <row r="148" spans="1:19" s="113" customFormat="1" ht="12.75" x14ac:dyDescent="0.2">
      <c r="A148" s="115"/>
      <c r="B148" s="130"/>
      <c r="C148" s="130"/>
      <c r="D148" s="115"/>
      <c r="E148" s="115"/>
      <c r="G148" s="114"/>
      <c r="H148" s="114"/>
      <c r="Q148" s="331"/>
      <c r="R148" s="114"/>
      <c r="S148" s="114"/>
    </row>
    <row r="149" spans="1:19" s="113" customFormat="1" ht="12.75" x14ac:dyDescent="0.2">
      <c r="A149" s="115"/>
      <c r="B149" s="130"/>
      <c r="C149" s="130"/>
      <c r="D149" s="115"/>
      <c r="E149" s="115"/>
      <c r="G149" s="114"/>
      <c r="H149" s="114"/>
      <c r="Q149" s="331"/>
      <c r="R149" s="114"/>
      <c r="S149" s="114"/>
    </row>
    <row r="150" spans="1:19" s="113" customFormat="1" ht="12.75" x14ac:dyDescent="0.2">
      <c r="A150" s="115"/>
      <c r="B150" s="130"/>
      <c r="C150" s="130"/>
      <c r="D150" s="115"/>
      <c r="E150" s="115"/>
      <c r="G150" s="114"/>
      <c r="H150" s="114"/>
      <c r="Q150" s="331"/>
      <c r="R150" s="114"/>
      <c r="S150" s="114"/>
    </row>
    <row r="151" spans="1:19" s="113" customFormat="1" ht="12.75" x14ac:dyDescent="0.2">
      <c r="A151" s="115"/>
      <c r="B151" s="130"/>
      <c r="C151" s="130"/>
      <c r="D151" s="115"/>
      <c r="E151" s="115"/>
      <c r="G151" s="114"/>
      <c r="H151" s="114"/>
      <c r="Q151" s="331"/>
      <c r="R151" s="114"/>
      <c r="S151" s="114"/>
    </row>
    <row r="152" spans="1:19" s="113" customFormat="1" ht="12.75" x14ac:dyDescent="0.2">
      <c r="A152" s="115"/>
      <c r="B152" s="130"/>
      <c r="C152" s="130"/>
      <c r="D152" s="115"/>
      <c r="E152" s="115"/>
      <c r="G152" s="114"/>
      <c r="H152" s="114"/>
      <c r="Q152" s="331"/>
      <c r="R152" s="114"/>
      <c r="S152" s="114"/>
    </row>
    <row r="153" spans="1:19" s="113" customFormat="1" ht="12.75" x14ac:dyDescent="0.2">
      <c r="A153" s="115"/>
      <c r="B153" s="130"/>
      <c r="C153" s="130"/>
      <c r="D153" s="115"/>
      <c r="E153" s="115"/>
      <c r="G153" s="114"/>
      <c r="H153" s="114"/>
      <c r="Q153" s="331"/>
      <c r="R153" s="114"/>
      <c r="S153" s="114"/>
    </row>
    <row r="154" spans="1:19" s="113" customFormat="1" ht="12.75" x14ac:dyDescent="0.2">
      <c r="A154" s="115"/>
      <c r="B154" s="130"/>
      <c r="C154" s="130"/>
      <c r="D154" s="115"/>
      <c r="E154" s="115"/>
      <c r="G154" s="114"/>
      <c r="H154" s="114"/>
      <c r="Q154" s="331"/>
      <c r="R154" s="114"/>
      <c r="S154" s="114"/>
    </row>
    <row r="155" spans="1:19" s="113" customFormat="1" ht="12.75" x14ac:dyDescent="0.2">
      <c r="A155" s="115"/>
      <c r="B155" s="130"/>
      <c r="C155" s="130"/>
      <c r="D155" s="115"/>
      <c r="E155" s="115"/>
      <c r="G155" s="114"/>
      <c r="H155" s="114"/>
      <c r="Q155" s="331"/>
      <c r="R155" s="114"/>
      <c r="S155" s="114"/>
    </row>
    <row r="156" spans="1:19" s="113" customFormat="1" ht="12.75" x14ac:dyDescent="0.2">
      <c r="A156" s="115"/>
      <c r="B156" s="130"/>
      <c r="C156" s="130"/>
      <c r="D156" s="115"/>
      <c r="E156" s="115"/>
      <c r="G156" s="114"/>
      <c r="H156" s="114"/>
      <c r="Q156" s="331"/>
      <c r="R156" s="114"/>
      <c r="S156" s="114"/>
    </row>
    <row r="157" spans="1:19" s="113" customFormat="1" ht="12.75" x14ac:dyDescent="0.2">
      <c r="A157" s="115"/>
      <c r="B157" s="130"/>
      <c r="C157" s="130"/>
      <c r="D157" s="115"/>
      <c r="E157" s="115"/>
      <c r="G157" s="114"/>
      <c r="H157" s="114"/>
      <c r="Q157" s="331"/>
      <c r="R157" s="114"/>
      <c r="S157" s="114"/>
    </row>
    <row r="158" spans="1:19" s="113" customFormat="1" ht="12.75" x14ac:dyDescent="0.2">
      <c r="A158" s="115"/>
      <c r="B158" s="130"/>
      <c r="C158" s="130"/>
      <c r="D158" s="115"/>
      <c r="E158" s="115"/>
      <c r="G158" s="114"/>
      <c r="H158" s="114"/>
      <c r="Q158" s="331"/>
      <c r="R158" s="114"/>
      <c r="S158" s="114"/>
    </row>
    <row r="159" spans="1:19" s="113" customFormat="1" ht="12.75" x14ac:dyDescent="0.2">
      <c r="A159" s="115"/>
      <c r="B159" s="130"/>
      <c r="C159" s="130"/>
      <c r="D159" s="115"/>
      <c r="E159" s="115"/>
      <c r="G159" s="114"/>
      <c r="H159" s="114"/>
      <c r="Q159" s="331"/>
      <c r="R159" s="114"/>
      <c r="S159" s="114"/>
    </row>
    <row r="160" spans="1:19" s="113" customFormat="1" ht="12.75" x14ac:dyDescent="0.2">
      <c r="A160" s="115"/>
      <c r="B160" s="130"/>
      <c r="C160" s="130"/>
      <c r="D160" s="115"/>
      <c r="E160" s="115"/>
      <c r="G160" s="114"/>
      <c r="H160" s="114"/>
      <c r="Q160" s="331"/>
      <c r="R160" s="114"/>
      <c r="S160" s="114"/>
    </row>
    <row r="161" spans="1:19" s="113" customFormat="1" ht="12.75" x14ac:dyDescent="0.2">
      <c r="A161" s="115"/>
      <c r="B161" s="130"/>
      <c r="C161" s="130"/>
      <c r="D161" s="115"/>
      <c r="E161" s="115"/>
      <c r="G161" s="114"/>
      <c r="H161" s="114"/>
      <c r="Q161" s="331"/>
      <c r="R161" s="114"/>
      <c r="S161" s="114"/>
    </row>
    <row r="162" spans="1:19" s="113" customFormat="1" ht="12.75" x14ac:dyDescent="0.2">
      <c r="A162" s="115"/>
      <c r="B162" s="130"/>
      <c r="C162" s="130"/>
      <c r="D162" s="115"/>
      <c r="E162" s="115"/>
      <c r="G162" s="114"/>
      <c r="H162" s="114"/>
      <c r="Q162" s="331"/>
      <c r="R162" s="114"/>
      <c r="S162" s="114"/>
    </row>
    <row r="163" spans="1:19" s="113" customFormat="1" ht="12.75" x14ac:dyDescent="0.2">
      <c r="A163" s="115"/>
      <c r="B163" s="130"/>
      <c r="C163" s="130"/>
      <c r="D163" s="115"/>
      <c r="E163" s="115"/>
      <c r="G163" s="114"/>
      <c r="H163" s="114"/>
      <c r="Q163" s="331"/>
      <c r="R163" s="114"/>
      <c r="S163" s="114"/>
    </row>
    <row r="164" spans="1:19" s="113" customFormat="1" ht="12.75" x14ac:dyDescent="0.2">
      <c r="A164" s="115"/>
      <c r="B164" s="130"/>
      <c r="C164" s="130"/>
      <c r="D164" s="115"/>
      <c r="E164" s="115"/>
      <c r="G164" s="114"/>
      <c r="H164" s="114"/>
      <c r="Q164" s="331"/>
      <c r="R164" s="114"/>
      <c r="S164" s="114"/>
    </row>
    <row r="165" spans="1:19" s="113" customFormat="1" ht="12.75" x14ac:dyDescent="0.2">
      <c r="A165" s="115"/>
      <c r="B165" s="130"/>
      <c r="C165" s="130"/>
      <c r="D165" s="115"/>
      <c r="E165" s="115"/>
      <c r="G165" s="114"/>
      <c r="H165" s="114"/>
      <c r="Q165" s="331"/>
      <c r="R165" s="114"/>
      <c r="S165" s="114"/>
    </row>
    <row r="166" spans="1:19" s="113" customFormat="1" ht="12.75" x14ac:dyDescent="0.2">
      <c r="A166" s="115"/>
      <c r="B166" s="130"/>
      <c r="C166" s="130"/>
      <c r="D166" s="115"/>
      <c r="E166" s="115"/>
      <c r="G166" s="114"/>
      <c r="H166" s="114"/>
      <c r="Q166" s="331"/>
      <c r="R166" s="114"/>
      <c r="S166" s="114"/>
    </row>
    <row r="167" spans="1:19" s="113" customFormat="1" ht="12.75" x14ac:dyDescent="0.2">
      <c r="A167" s="115"/>
      <c r="B167" s="130"/>
      <c r="C167" s="130"/>
      <c r="D167" s="115"/>
      <c r="E167" s="115"/>
      <c r="G167" s="114"/>
      <c r="H167" s="114"/>
      <c r="Q167" s="331"/>
      <c r="R167" s="114"/>
      <c r="S167" s="114"/>
    </row>
    <row r="168" spans="1:19" s="113" customFormat="1" ht="12.75" x14ac:dyDescent="0.2">
      <c r="A168" s="115"/>
      <c r="B168" s="130"/>
      <c r="C168" s="130"/>
      <c r="D168" s="115"/>
      <c r="E168" s="115"/>
      <c r="G168" s="114"/>
      <c r="H168" s="114"/>
      <c r="Q168" s="331"/>
      <c r="R168" s="114"/>
      <c r="S168" s="114"/>
    </row>
    <row r="169" spans="1:19" s="113" customFormat="1" ht="12.75" x14ac:dyDescent="0.2">
      <c r="A169" s="115"/>
      <c r="B169" s="130"/>
      <c r="C169" s="130"/>
      <c r="D169" s="115"/>
      <c r="E169" s="115"/>
      <c r="G169" s="114"/>
      <c r="H169" s="114"/>
      <c r="Q169" s="331"/>
      <c r="R169" s="114"/>
      <c r="S169" s="114"/>
    </row>
    <row r="170" spans="1:19" s="113" customFormat="1" ht="12.75" x14ac:dyDescent="0.2">
      <c r="A170" s="115"/>
      <c r="B170" s="130"/>
      <c r="C170" s="130"/>
      <c r="D170" s="115"/>
      <c r="E170" s="115"/>
      <c r="G170" s="114"/>
      <c r="H170" s="114"/>
      <c r="Q170" s="331"/>
      <c r="R170" s="114"/>
      <c r="S170" s="114"/>
    </row>
    <row r="171" spans="1:19" s="113" customFormat="1" ht="12.75" x14ac:dyDescent="0.2">
      <c r="A171" s="115"/>
      <c r="B171" s="130"/>
      <c r="C171" s="130"/>
      <c r="D171" s="115"/>
      <c r="E171" s="115"/>
      <c r="G171" s="114"/>
      <c r="H171" s="114"/>
      <c r="Q171" s="331"/>
      <c r="R171" s="114"/>
      <c r="S171" s="114"/>
    </row>
    <row r="172" spans="1:19" s="113" customFormat="1" ht="12.75" x14ac:dyDescent="0.2">
      <c r="A172" s="115"/>
      <c r="B172" s="130"/>
      <c r="C172" s="130"/>
      <c r="D172" s="115"/>
      <c r="E172" s="115"/>
      <c r="G172" s="114"/>
      <c r="H172" s="114"/>
      <c r="Q172" s="331"/>
      <c r="R172" s="114"/>
      <c r="S172" s="114"/>
    </row>
    <row r="173" spans="1:19" s="113" customFormat="1" ht="12.75" x14ac:dyDescent="0.2">
      <c r="A173" s="115"/>
      <c r="B173" s="130"/>
      <c r="C173" s="130"/>
      <c r="D173" s="115"/>
      <c r="E173" s="115"/>
      <c r="G173" s="114"/>
      <c r="H173" s="114"/>
      <c r="Q173" s="331"/>
      <c r="R173" s="114"/>
      <c r="S173" s="114"/>
    </row>
    <row r="174" spans="1:19" s="113" customFormat="1" ht="12.75" x14ac:dyDescent="0.2">
      <c r="A174" s="115"/>
      <c r="B174" s="130"/>
      <c r="C174" s="130"/>
      <c r="D174" s="115"/>
      <c r="E174" s="115"/>
      <c r="G174" s="114"/>
      <c r="H174" s="114"/>
      <c r="Q174" s="331"/>
      <c r="R174" s="114"/>
      <c r="S174" s="114"/>
    </row>
    <row r="175" spans="1:19" s="113" customFormat="1" ht="12.75" x14ac:dyDescent="0.2">
      <c r="A175" s="115"/>
      <c r="B175" s="130"/>
      <c r="C175" s="130"/>
      <c r="D175" s="115"/>
      <c r="E175" s="115"/>
      <c r="G175" s="114"/>
      <c r="H175" s="114"/>
      <c r="Q175" s="331"/>
      <c r="R175" s="114"/>
      <c r="S175" s="114"/>
    </row>
    <row r="176" spans="1:19" s="113" customFormat="1" ht="12.75" x14ac:dyDescent="0.2">
      <c r="A176" s="115"/>
      <c r="B176" s="130"/>
      <c r="C176" s="130"/>
      <c r="D176" s="115"/>
      <c r="E176" s="115"/>
      <c r="G176" s="114"/>
      <c r="H176" s="114"/>
      <c r="Q176" s="331"/>
      <c r="R176" s="114"/>
      <c r="S176" s="114"/>
    </row>
    <row r="177" spans="1:19" s="113" customFormat="1" ht="12.75" x14ac:dyDescent="0.2">
      <c r="A177" s="115"/>
      <c r="B177" s="130"/>
      <c r="C177" s="130"/>
      <c r="D177" s="115"/>
      <c r="E177" s="115"/>
      <c r="G177" s="114"/>
      <c r="H177" s="114"/>
      <c r="Q177" s="331"/>
      <c r="R177" s="114"/>
      <c r="S177" s="114"/>
    </row>
    <row r="178" spans="1:19" s="113" customFormat="1" ht="12.75" x14ac:dyDescent="0.2">
      <c r="A178" s="115"/>
      <c r="B178" s="130"/>
      <c r="C178" s="130"/>
      <c r="D178" s="115"/>
      <c r="E178" s="115"/>
      <c r="G178" s="114"/>
      <c r="H178" s="114"/>
      <c r="Q178" s="331"/>
      <c r="R178" s="114"/>
      <c r="S178" s="114"/>
    </row>
    <row r="179" spans="1:19" s="113" customFormat="1" ht="12.75" x14ac:dyDescent="0.2">
      <c r="A179" s="115"/>
      <c r="B179" s="130"/>
      <c r="C179" s="130"/>
      <c r="D179" s="115"/>
      <c r="E179" s="115"/>
      <c r="G179" s="114"/>
      <c r="H179" s="114"/>
      <c r="Q179" s="331"/>
      <c r="R179" s="114"/>
      <c r="S179" s="114"/>
    </row>
    <row r="180" spans="1:19" s="113" customFormat="1" ht="12.75" x14ac:dyDescent="0.2">
      <c r="A180" s="115"/>
      <c r="B180" s="130"/>
      <c r="C180" s="130"/>
      <c r="D180" s="115"/>
      <c r="E180" s="115"/>
      <c r="G180" s="114"/>
      <c r="H180" s="114"/>
      <c r="Q180" s="331"/>
      <c r="R180" s="114"/>
      <c r="S180" s="114"/>
    </row>
    <row r="181" spans="1:19" s="113" customFormat="1" ht="12.75" x14ac:dyDescent="0.2">
      <c r="A181" s="115"/>
      <c r="B181" s="130"/>
      <c r="C181" s="130"/>
      <c r="D181" s="115"/>
      <c r="E181" s="115"/>
      <c r="G181" s="114"/>
      <c r="H181" s="114"/>
      <c r="Q181" s="331"/>
      <c r="R181" s="114"/>
      <c r="S181" s="114"/>
    </row>
    <row r="182" spans="1:19" s="113" customFormat="1" ht="12.75" x14ac:dyDescent="0.2">
      <c r="A182" s="115"/>
      <c r="B182" s="130"/>
      <c r="C182" s="130"/>
      <c r="D182" s="115"/>
      <c r="E182" s="115"/>
      <c r="G182" s="114"/>
      <c r="H182" s="114"/>
      <c r="Q182" s="331"/>
      <c r="R182" s="114"/>
      <c r="S182" s="114"/>
    </row>
    <row r="183" spans="1:19" s="113" customFormat="1" ht="12.75" x14ac:dyDescent="0.2">
      <c r="A183" s="115"/>
      <c r="B183" s="130"/>
      <c r="C183" s="130"/>
      <c r="D183" s="115"/>
      <c r="E183" s="115"/>
      <c r="G183" s="114"/>
      <c r="H183" s="114"/>
      <c r="Q183" s="331"/>
      <c r="R183" s="114"/>
      <c r="S183" s="114"/>
    </row>
    <row r="184" spans="1:19" s="113" customFormat="1" ht="12.75" x14ac:dyDescent="0.2">
      <c r="A184" s="115"/>
      <c r="B184" s="130"/>
      <c r="C184" s="130"/>
      <c r="D184" s="115"/>
      <c r="E184" s="115"/>
      <c r="G184" s="114"/>
      <c r="H184" s="114"/>
      <c r="Q184" s="331"/>
      <c r="R184" s="114"/>
      <c r="S184" s="114"/>
    </row>
    <row r="185" spans="1:19" s="113" customFormat="1" ht="12.75" x14ac:dyDescent="0.2">
      <c r="A185" s="115"/>
      <c r="B185" s="130"/>
      <c r="C185" s="130"/>
      <c r="D185" s="115"/>
      <c r="E185" s="115"/>
      <c r="G185" s="114"/>
      <c r="H185" s="114"/>
      <c r="Q185" s="331"/>
      <c r="R185" s="114"/>
      <c r="S185" s="114"/>
    </row>
    <row r="186" spans="1:19" s="113" customFormat="1" ht="12.75" x14ac:dyDescent="0.2">
      <c r="A186" s="115"/>
      <c r="B186" s="130"/>
      <c r="C186" s="130"/>
      <c r="D186" s="115"/>
      <c r="E186" s="115"/>
      <c r="G186" s="114"/>
      <c r="H186" s="114"/>
      <c r="Q186" s="331"/>
      <c r="R186" s="114"/>
      <c r="S186" s="114"/>
    </row>
    <row r="187" spans="1:19" s="113" customFormat="1" ht="12.75" x14ac:dyDescent="0.2">
      <c r="A187" s="115"/>
      <c r="B187" s="130"/>
      <c r="C187" s="130"/>
      <c r="D187" s="115"/>
      <c r="E187" s="115"/>
      <c r="G187" s="114"/>
      <c r="H187" s="114"/>
      <c r="Q187" s="331"/>
      <c r="R187" s="114"/>
      <c r="S187" s="114"/>
    </row>
    <row r="188" spans="1:19" s="113" customFormat="1" ht="12.75" x14ac:dyDescent="0.2">
      <c r="A188" s="115"/>
      <c r="B188" s="130"/>
      <c r="C188" s="130"/>
      <c r="D188" s="115"/>
      <c r="E188" s="115"/>
      <c r="G188" s="114"/>
      <c r="H188" s="114"/>
      <c r="Q188" s="331"/>
      <c r="R188" s="114"/>
      <c r="S188" s="114"/>
    </row>
    <row r="189" spans="1:19" s="113" customFormat="1" ht="12.75" x14ac:dyDescent="0.2">
      <c r="A189" s="115"/>
      <c r="B189" s="130"/>
      <c r="C189" s="130"/>
      <c r="D189" s="115"/>
      <c r="E189" s="115"/>
      <c r="G189" s="114"/>
      <c r="H189" s="114"/>
      <c r="Q189" s="331"/>
      <c r="R189" s="114"/>
      <c r="S189" s="114"/>
    </row>
    <row r="190" spans="1:19" s="113" customFormat="1" ht="12.75" x14ac:dyDescent="0.2">
      <c r="A190" s="115"/>
      <c r="B190" s="130"/>
      <c r="C190" s="130"/>
      <c r="D190" s="115"/>
      <c r="E190" s="115"/>
      <c r="G190" s="114"/>
      <c r="H190" s="114"/>
      <c r="Q190" s="331"/>
      <c r="R190" s="114"/>
      <c r="S190" s="114"/>
    </row>
    <row r="191" spans="1:19" s="113" customFormat="1" ht="12.75" x14ac:dyDescent="0.2">
      <c r="A191" s="115"/>
      <c r="B191" s="130"/>
      <c r="C191" s="130"/>
      <c r="D191" s="115"/>
      <c r="E191" s="115"/>
      <c r="G191" s="114"/>
      <c r="H191" s="114"/>
      <c r="Q191" s="331"/>
      <c r="R191" s="114"/>
      <c r="S191" s="114"/>
    </row>
    <row r="192" spans="1:19" s="113" customFormat="1" ht="12.75" x14ac:dyDescent="0.2">
      <c r="A192" s="115"/>
      <c r="B192" s="130"/>
      <c r="C192" s="130"/>
      <c r="D192" s="115"/>
      <c r="E192" s="115"/>
      <c r="G192" s="114"/>
      <c r="H192" s="114"/>
      <c r="Q192" s="331"/>
      <c r="R192" s="114"/>
      <c r="S192" s="114"/>
    </row>
    <row r="193" spans="1:19" s="113" customFormat="1" ht="12.75" x14ac:dyDescent="0.2">
      <c r="A193" s="115"/>
      <c r="B193" s="130"/>
      <c r="C193" s="130"/>
      <c r="D193" s="115"/>
      <c r="E193" s="115"/>
      <c r="G193" s="114"/>
      <c r="H193" s="114"/>
      <c r="Q193" s="331"/>
      <c r="R193" s="114"/>
      <c r="S193" s="114"/>
    </row>
    <row r="194" spans="1:19" s="113" customFormat="1" ht="12.75" x14ac:dyDescent="0.2">
      <c r="A194" s="115"/>
      <c r="B194" s="130"/>
      <c r="C194" s="130"/>
      <c r="D194" s="115"/>
      <c r="E194" s="115"/>
      <c r="G194" s="114"/>
      <c r="H194" s="114"/>
      <c r="Q194" s="331"/>
      <c r="R194" s="114"/>
      <c r="S194" s="114"/>
    </row>
    <row r="195" spans="1:19" s="113" customFormat="1" ht="12.75" x14ac:dyDescent="0.2">
      <c r="A195" s="115"/>
      <c r="B195" s="130"/>
      <c r="C195" s="130"/>
      <c r="D195" s="115"/>
      <c r="E195" s="115"/>
      <c r="G195" s="114"/>
      <c r="H195" s="114"/>
      <c r="Q195" s="331"/>
      <c r="R195" s="114"/>
      <c r="S195" s="114"/>
    </row>
    <row r="196" spans="1:19" s="113" customFormat="1" ht="12.75" x14ac:dyDescent="0.2">
      <c r="A196" s="115"/>
      <c r="B196" s="130"/>
      <c r="C196" s="130"/>
      <c r="D196" s="115"/>
      <c r="E196" s="115"/>
      <c r="G196" s="114"/>
      <c r="H196" s="114"/>
      <c r="Q196" s="331"/>
      <c r="R196" s="114"/>
      <c r="S196" s="114"/>
    </row>
    <row r="197" spans="1:19" s="113" customFormat="1" ht="12.75" x14ac:dyDescent="0.2">
      <c r="A197" s="115"/>
      <c r="B197" s="130"/>
      <c r="C197" s="130"/>
      <c r="D197" s="115"/>
      <c r="E197" s="115"/>
      <c r="G197" s="114"/>
      <c r="H197" s="114"/>
      <c r="Q197" s="331"/>
      <c r="R197" s="114"/>
      <c r="S197" s="114"/>
    </row>
    <row r="198" spans="1:19" s="113" customFormat="1" ht="12.75" x14ac:dyDescent="0.2">
      <c r="A198" s="115"/>
      <c r="B198" s="130"/>
      <c r="C198" s="130"/>
      <c r="D198" s="115"/>
      <c r="E198" s="115"/>
      <c r="G198" s="114"/>
      <c r="H198" s="114"/>
      <c r="Q198" s="331"/>
      <c r="R198" s="114"/>
      <c r="S198" s="114"/>
    </row>
    <row r="199" spans="1:19" s="113" customFormat="1" ht="12.75" x14ac:dyDescent="0.2">
      <c r="A199" s="115"/>
      <c r="B199" s="130"/>
      <c r="C199" s="130"/>
      <c r="D199" s="115"/>
      <c r="E199" s="115"/>
      <c r="G199" s="114"/>
      <c r="H199" s="114"/>
      <c r="Q199" s="331"/>
      <c r="R199" s="114"/>
      <c r="S199" s="114"/>
    </row>
    <row r="200" spans="1:19" s="113" customFormat="1" ht="12.75" x14ac:dyDescent="0.2">
      <c r="A200" s="115"/>
      <c r="B200" s="130"/>
      <c r="C200" s="130"/>
      <c r="D200" s="115"/>
      <c r="E200" s="115"/>
      <c r="G200" s="114"/>
      <c r="H200" s="114"/>
      <c r="Q200" s="331"/>
      <c r="R200" s="114"/>
      <c r="S200" s="114"/>
    </row>
    <row r="201" spans="1:19" s="113" customFormat="1" ht="12.75" x14ac:dyDescent="0.2">
      <c r="A201" s="115"/>
      <c r="B201" s="130"/>
      <c r="C201" s="130"/>
      <c r="D201" s="115"/>
      <c r="E201" s="115"/>
      <c r="G201" s="114"/>
      <c r="H201" s="114"/>
      <c r="Q201" s="331"/>
      <c r="R201" s="114"/>
      <c r="S201" s="114"/>
    </row>
    <row r="202" spans="1:19" s="113" customFormat="1" ht="12.75" x14ac:dyDescent="0.2">
      <c r="A202" s="115"/>
      <c r="B202" s="130"/>
      <c r="C202" s="130"/>
      <c r="D202" s="115"/>
      <c r="E202" s="115"/>
      <c r="G202" s="114"/>
      <c r="H202" s="114"/>
      <c r="Q202" s="331"/>
      <c r="R202" s="114"/>
      <c r="S202" s="114"/>
    </row>
    <row r="203" spans="1:19" s="113" customFormat="1" ht="12.75" x14ac:dyDescent="0.2">
      <c r="A203" s="115"/>
      <c r="B203" s="130"/>
      <c r="C203" s="130"/>
      <c r="D203" s="115"/>
      <c r="E203" s="115"/>
      <c r="G203" s="114"/>
      <c r="H203" s="114"/>
      <c r="Q203" s="331"/>
      <c r="R203" s="114"/>
      <c r="S203" s="114"/>
    </row>
    <row r="204" spans="1:19" s="113" customFormat="1" ht="12.75" x14ac:dyDescent="0.2">
      <c r="A204" s="115"/>
      <c r="B204" s="130"/>
      <c r="C204" s="130"/>
      <c r="D204" s="115"/>
      <c r="E204" s="115"/>
      <c r="G204" s="114"/>
      <c r="H204" s="114"/>
      <c r="Q204" s="331"/>
      <c r="R204" s="114"/>
      <c r="S204" s="114"/>
    </row>
    <row r="205" spans="1:19" s="113" customFormat="1" ht="12.75" x14ac:dyDescent="0.2">
      <c r="A205" s="115"/>
      <c r="B205" s="130"/>
      <c r="C205" s="130"/>
      <c r="D205" s="115"/>
      <c r="E205" s="115"/>
      <c r="G205" s="114"/>
      <c r="H205" s="114"/>
      <c r="Q205" s="331"/>
      <c r="R205" s="114"/>
      <c r="S205" s="114"/>
    </row>
    <row r="206" spans="1:19" s="113" customFormat="1" ht="12.75" x14ac:dyDescent="0.2">
      <c r="A206" s="115"/>
      <c r="B206" s="130"/>
      <c r="C206" s="130"/>
      <c r="D206" s="115"/>
      <c r="E206" s="115"/>
      <c r="G206" s="114"/>
      <c r="H206" s="114"/>
      <c r="Q206" s="331"/>
      <c r="R206" s="114"/>
      <c r="S206" s="114"/>
    </row>
    <row r="207" spans="1:19" s="113" customFormat="1" ht="12.75" x14ac:dyDescent="0.2">
      <c r="A207" s="115"/>
      <c r="B207" s="130"/>
      <c r="C207" s="130"/>
      <c r="D207" s="115"/>
      <c r="E207" s="115"/>
      <c r="G207" s="114"/>
      <c r="H207" s="114"/>
      <c r="Q207" s="331"/>
      <c r="R207" s="114"/>
      <c r="S207" s="114"/>
    </row>
    <row r="208" spans="1:19" s="113" customFormat="1" ht="12.75" x14ac:dyDescent="0.2">
      <c r="A208" s="115"/>
      <c r="B208" s="130"/>
      <c r="C208" s="130"/>
      <c r="D208" s="115"/>
      <c r="E208" s="115"/>
      <c r="G208" s="114"/>
      <c r="H208" s="114"/>
      <c r="Q208" s="331"/>
      <c r="R208" s="114"/>
      <c r="S208" s="114"/>
    </row>
    <row r="209" spans="1:19" s="113" customFormat="1" ht="12.75" x14ac:dyDescent="0.2">
      <c r="A209" s="115"/>
      <c r="B209" s="130"/>
      <c r="C209" s="130"/>
      <c r="D209" s="115"/>
      <c r="E209" s="115"/>
      <c r="G209" s="114"/>
      <c r="H209" s="114"/>
      <c r="Q209" s="331"/>
      <c r="R209" s="114"/>
      <c r="S209" s="114"/>
    </row>
    <row r="210" spans="1:19" s="113" customFormat="1" ht="12.75" x14ac:dyDescent="0.2">
      <c r="A210" s="115"/>
      <c r="B210" s="130"/>
      <c r="C210" s="130"/>
      <c r="D210" s="115"/>
      <c r="E210" s="115"/>
      <c r="G210" s="114"/>
      <c r="H210" s="114"/>
      <c r="Q210" s="331"/>
      <c r="R210" s="114"/>
      <c r="S210" s="114"/>
    </row>
    <row r="211" spans="1:19" s="113" customFormat="1" ht="12.75" x14ac:dyDescent="0.2">
      <c r="A211" s="115"/>
      <c r="B211" s="130"/>
      <c r="C211" s="130"/>
      <c r="D211" s="115"/>
      <c r="E211" s="115"/>
      <c r="G211" s="114"/>
      <c r="H211" s="114"/>
      <c r="Q211" s="331"/>
      <c r="R211" s="114"/>
      <c r="S211" s="114"/>
    </row>
    <row r="212" spans="1:19" s="113" customFormat="1" ht="12.75" x14ac:dyDescent="0.2">
      <c r="A212" s="115"/>
      <c r="B212" s="130"/>
      <c r="C212" s="130"/>
      <c r="D212" s="115"/>
      <c r="E212" s="115"/>
      <c r="G212" s="114"/>
      <c r="H212" s="114"/>
      <c r="Q212" s="331"/>
      <c r="R212" s="114"/>
      <c r="S212" s="114"/>
    </row>
    <row r="213" spans="1:19" s="113" customFormat="1" ht="12.75" x14ac:dyDescent="0.2">
      <c r="A213" s="115"/>
      <c r="B213" s="130"/>
      <c r="C213" s="130"/>
      <c r="D213" s="115"/>
      <c r="E213" s="115"/>
      <c r="G213" s="114"/>
      <c r="H213" s="114"/>
      <c r="Q213" s="331"/>
      <c r="R213" s="114"/>
      <c r="S213" s="114"/>
    </row>
    <row r="214" spans="1:19" s="113" customFormat="1" ht="12.75" x14ac:dyDescent="0.2">
      <c r="A214" s="115"/>
      <c r="B214" s="130"/>
      <c r="C214" s="130"/>
      <c r="D214" s="115"/>
      <c r="E214" s="115"/>
      <c r="G214" s="114"/>
      <c r="H214" s="114"/>
      <c r="Q214" s="331"/>
      <c r="R214" s="114"/>
      <c r="S214" s="114"/>
    </row>
  </sheetData>
  <autoFilter ref="A1:AS10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autoFilter>
  <mergeCells count="309">
    <mergeCell ref="M49:M54"/>
    <mergeCell ref="N49:N54"/>
    <mergeCell ref="O49:O54"/>
    <mergeCell ref="A55:A60"/>
    <mergeCell ref="B55:B60"/>
    <mergeCell ref="C55:C60"/>
    <mergeCell ref="A49:A54"/>
    <mergeCell ref="B49:B54"/>
    <mergeCell ref="C49:C54"/>
    <mergeCell ref="D49:D54"/>
    <mergeCell ref="E49:E54"/>
    <mergeCell ref="F49:F54"/>
    <mergeCell ref="G49:G54"/>
    <mergeCell ref="H49:H54"/>
    <mergeCell ref="I49:I54"/>
    <mergeCell ref="AS3:AS6"/>
    <mergeCell ref="S3:S6"/>
    <mergeCell ref="L7:L12"/>
    <mergeCell ref="M7:M12"/>
    <mergeCell ref="O7:O12"/>
    <mergeCell ref="K7:K12"/>
    <mergeCell ref="AH3:AH6"/>
    <mergeCell ref="AI3:AI6"/>
    <mergeCell ref="R3:R6"/>
    <mergeCell ref="T3:T6"/>
    <mergeCell ref="U3:Z3"/>
    <mergeCell ref="AA3:AA6"/>
    <mergeCell ref="AB3:AB6"/>
    <mergeCell ref="AC3:AC6"/>
    <mergeCell ref="L3:L6"/>
    <mergeCell ref="M3:M6"/>
    <mergeCell ref="O3:O6"/>
    <mergeCell ref="M103:M108"/>
    <mergeCell ref="O103:O108"/>
    <mergeCell ref="E103:E108"/>
    <mergeCell ref="F103:F108"/>
    <mergeCell ref="G103:G108"/>
    <mergeCell ref="H103:H108"/>
    <mergeCell ref="I103:I108"/>
    <mergeCell ref="J103:J108"/>
    <mergeCell ref="D55:D60"/>
    <mergeCell ref="E55:E60"/>
    <mergeCell ref="F55:F60"/>
    <mergeCell ref="G55:G60"/>
    <mergeCell ref="H55:H60"/>
    <mergeCell ref="I55:I60"/>
    <mergeCell ref="J55:J60"/>
    <mergeCell ref="K55:K60"/>
    <mergeCell ref="L55:L60"/>
    <mergeCell ref="M55:M60"/>
    <mergeCell ref="N55:N60"/>
    <mergeCell ref="O55:O60"/>
    <mergeCell ref="E91:E96"/>
    <mergeCell ref="F91:F96"/>
    <mergeCell ref="G91:G96"/>
    <mergeCell ref="H91:H96"/>
    <mergeCell ref="A103:A108"/>
    <mergeCell ref="B103:B108"/>
    <mergeCell ref="C103:C108"/>
    <mergeCell ref="D103:D108"/>
    <mergeCell ref="F97:F102"/>
    <mergeCell ref="G97:G102"/>
    <mergeCell ref="H97:H102"/>
    <mergeCell ref="I97:I102"/>
    <mergeCell ref="J97:J102"/>
    <mergeCell ref="A97:A102"/>
    <mergeCell ref="B97:B102"/>
    <mergeCell ref="C97:C102"/>
    <mergeCell ref="D97:D102"/>
    <mergeCell ref="E97:E102"/>
    <mergeCell ref="L97:L102"/>
    <mergeCell ref="M97:M102"/>
    <mergeCell ref="O97:O102"/>
    <mergeCell ref="K97:K102"/>
    <mergeCell ref="F79:F84"/>
    <mergeCell ref="G79:G84"/>
    <mergeCell ref="H79:H84"/>
    <mergeCell ref="I79:I84"/>
    <mergeCell ref="J79:J84"/>
    <mergeCell ref="L85:L90"/>
    <mergeCell ref="M85:M90"/>
    <mergeCell ref="O85:O90"/>
    <mergeCell ref="K85:K90"/>
    <mergeCell ref="K91:K96"/>
    <mergeCell ref="O79:O84"/>
    <mergeCell ref="L91:L96"/>
    <mergeCell ref="M91:M96"/>
    <mergeCell ref="O91:O96"/>
    <mergeCell ref="A91:A96"/>
    <mergeCell ref="B91:B96"/>
    <mergeCell ref="C91:C96"/>
    <mergeCell ref="D91:D96"/>
    <mergeCell ref="F85:F90"/>
    <mergeCell ref="G85:G90"/>
    <mergeCell ref="H85:H90"/>
    <mergeCell ref="I85:I90"/>
    <mergeCell ref="J85:J90"/>
    <mergeCell ref="A85:A90"/>
    <mergeCell ref="B85:B90"/>
    <mergeCell ref="C85:C90"/>
    <mergeCell ref="D85:D90"/>
    <mergeCell ref="E85:E90"/>
    <mergeCell ref="I91:I96"/>
    <mergeCell ref="J91:J96"/>
    <mergeCell ref="F67:F72"/>
    <mergeCell ref="G67:G72"/>
    <mergeCell ref="H67:H72"/>
    <mergeCell ref="I67:I72"/>
    <mergeCell ref="J67:J72"/>
    <mergeCell ref="L73:L78"/>
    <mergeCell ref="M73:M78"/>
    <mergeCell ref="O73:O78"/>
    <mergeCell ref="E73:E78"/>
    <mergeCell ref="F73:F78"/>
    <mergeCell ref="G73:G78"/>
    <mergeCell ref="H73:H78"/>
    <mergeCell ref="I73:I78"/>
    <mergeCell ref="J73:J78"/>
    <mergeCell ref="O67:O72"/>
    <mergeCell ref="A67:A72"/>
    <mergeCell ref="B67:B72"/>
    <mergeCell ref="C67:C72"/>
    <mergeCell ref="D67:D72"/>
    <mergeCell ref="E67:E72"/>
    <mergeCell ref="A79:A84"/>
    <mergeCell ref="B79:B84"/>
    <mergeCell ref="C79:C84"/>
    <mergeCell ref="D79:D84"/>
    <mergeCell ref="A73:A78"/>
    <mergeCell ref="B73:B78"/>
    <mergeCell ref="C73:C78"/>
    <mergeCell ref="D73:D78"/>
    <mergeCell ref="E79:E84"/>
    <mergeCell ref="A61:A66"/>
    <mergeCell ref="B61:B66"/>
    <mergeCell ref="C61:C66"/>
    <mergeCell ref="D61:D66"/>
    <mergeCell ref="F7:F12"/>
    <mergeCell ref="G7:G12"/>
    <mergeCell ref="H7:H12"/>
    <mergeCell ref="I7:I12"/>
    <mergeCell ref="J7:J12"/>
    <mergeCell ref="A7:A12"/>
    <mergeCell ref="B7:B12"/>
    <mergeCell ref="C7:C12"/>
    <mergeCell ref="D7:D12"/>
    <mergeCell ref="E7:E12"/>
    <mergeCell ref="C25:C30"/>
    <mergeCell ref="D25:D30"/>
    <mergeCell ref="E25:E30"/>
    <mergeCell ref="F25:F30"/>
    <mergeCell ref="D43:D48"/>
    <mergeCell ref="E43:E48"/>
    <mergeCell ref="F43:F48"/>
    <mergeCell ref="G43:G48"/>
    <mergeCell ref="H43:H48"/>
    <mergeCell ref="I43:I48"/>
    <mergeCell ref="O61:O66"/>
    <mergeCell ref="E61:E66"/>
    <mergeCell ref="F61:F66"/>
    <mergeCell ref="AP3:AP6"/>
    <mergeCell ref="AQ3:AQ6"/>
    <mergeCell ref="U4:U6"/>
    <mergeCell ref="V4:V6"/>
    <mergeCell ref="W4:W6"/>
    <mergeCell ref="X4:X6"/>
    <mergeCell ref="Y4:Y6"/>
    <mergeCell ref="Z4:Z6"/>
    <mergeCell ref="AJ3:AJ6"/>
    <mergeCell ref="AK3:AK6"/>
    <mergeCell ref="AL3:AL6"/>
    <mergeCell ref="AM3:AM6"/>
    <mergeCell ref="AN3:AN6"/>
    <mergeCell ref="AO3:AO6"/>
    <mergeCell ref="AD3:AD6"/>
    <mergeCell ref="AE3:AE6"/>
    <mergeCell ref="AF3:AF6"/>
    <mergeCell ref="AG3:AG6"/>
    <mergeCell ref="J49:J54"/>
    <mergeCell ref="K49:K54"/>
    <mergeCell ref="L49:L54"/>
    <mergeCell ref="A2:I2"/>
    <mergeCell ref="J2:O2"/>
    <mergeCell ref="P2:Z2"/>
    <mergeCell ref="AA2:AG2"/>
    <mergeCell ref="AH2:AL2"/>
    <mergeCell ref="AM2:AQ2"/>
    <mergeCell ref="A1:AS1"/>
    <mergeCell ref="AR2:AS2"/>
    <mergeCell ref="N7:N12"/>
    <mergeCell ref="P3:P6"/>
    <mergeCell ref="Q3:Q6"/>
    <mergeCell ref="G3:G6"/>
    <mergeCell ref="H3:H6"/>
    <mergeCell ref="I3:I6"/>
    <mergeCell ref="J3:J6"/>
    <mergeCell ref="K3:K6"/>
    <mergeCell ref="A3:A6"/>
    <mergeCell ref="B3:B6"/>
    <mergeCell ref="C3:C6"/>
    <mergeCell ref="D3:E4"/>
    <mergeCell ref="F3:F6"/>
    <mergeCell ref="D5:D6"/>
    <mergeCell ref="E5:E6"/>
    <mergeCell ref="AR3:AR6"/>
    <mergeCell ref="N61:N66"/>
    <mergeCell ref="N67:N72"/>
    <mergeCell ref="N73:N78"/>
    <mergeCell ref="N79:N84"/>
    <mergeCell ref="N85:N90"/>
    <mergeCell ref="N91:N96"/>
    <mergeCell ref="N97:N102"/>
    <mergeCell ref="N103:N108"/>
    <mergeCell ref="G61:G66"/>
    <mergeCell ref="H61:H66"/>
    <mergeCell ref="I61:I66"/>
    <mergeCell ref="J61:J66"/>
    <mergeCell ref="L67:L72"/>
    <mergeCell ref="M67:M72"/>
    <mergeCell ref="K67:K72"/>
    <mergeCell ref="K73:K78"/>
    <mergeCell ref="K79:K84"/>
    <mergeCell ref="L79:L84"/>
    <mergeCell ref="M79:M84"/>
    <mergeCell ref="K61:K66"/>
    <mergeCell ref="L61:L66"/>
    <mergeCell ref="M61:M66"/>
    <mergeCell ref="K103:K108"/>
    <mergeCell ref="L103:L108"/>
    <mergeCell ref="N25:N30"/>
    <mergeCell ref="O25:O30"/>
    <mergeCell ref="A19:A24"/>
    <mergeCell ref="B19:B24"/>
    <mergeCell ref="C19:C24"/>
    <mergeCell ref="D19:D24"/>
    <mergeCell ref="E19:E24"/>
    <mergeCell ref="F19:F24"/>
    <mergeCell ref="G19:G24"/>
    <mergeCell ref="H19:H24"/>
    <mergeCell ref="I19:I24"/>
    <mergeCell ref="J19:J24"/>
    <mergeCell ref="K19:K24"/>
    <mergeCell ref="L19:L24"/>
    <mergeCell ref="M19:M24"/>
    <mergeCell ref="N19:N24"/>
    <mergeCell ref="O19:O24"/>
    <mergeCell ref="A25:A30"/>
    <mergeCell ref="B25:B30"/>
    <mergeCell ref="J25:J30"/>
    <mergeCell ref="K25:K30"/>
    <mergeCell ref="L25:L30"/>
    <mergeCell ref="G25:G30"/>
    <mergeCell ref="H25:H30"/>
    <mergeCell ref="M13:M18"/>
    <mergeCell ref="N13:N18"/>
    <mergeCell ref="O13:O18"/>
    <mergeCell ref="A13:A18"/>
    <mergeCell ref="B13:B18"/>
    <mergeCell ref="C13:C18"/>
    <mergeCell ref="D13:D18"/>
    <mergeCell ref="E13:E18"/>
    <mergeCell ref="F13:F18"/>
    <mergeCell ref="G13:G18"/>
    <mergeCell ref="H13:H18"/>
    <mergeCell ref="I13:I18"/>
    <mergeCell ref="J13:J18"/>
    <mergeCell ref="K13:K18"/>
    <mergeCell ref="L13:L18"/>
    <mergeCell ref="I25:I30"/>
    <mergeCell ref="J43:J48"/>
    <mergeCell ref="K43:K48"/>
    <mergeCell ref="L43:L48"/>
    <mergeCell ref="J31:J36"/>
    <mergeCell ref="K31:K36"/>
    <mergeCell ref="L31:L36"/>
    <mergeCell ref="M43:M48"/>
    <mergeCell ref="M31:M36"/>
    <mergeCell ref="M25:M30"/>
    <mergeCell ref="N43:N48"/>
    <mergeCell ref="O43:O48"/>
    <mergeCell ref="A37:A42"/>
    <mergeCell ref="B37:B42"/>
    <mergeCell ref="C37:C42"/>
    <mergeCell ref="D37:D42"/>
    <mergeCell ref="E37:E42"/>
    <mergeCell ref="F37:F42"/>
    <mergeCell ref="G37:G42"/>
    <mergeCell ref="H37:H42"/>
    <mergeCell ref="I37:I42"/>
    <mergeCell ref="J37:J42"/>
    <mergeCell ref="K37:K42"/>
    <mergeCell ref="L37:L42"/>
    <mergeCell ref="M37:M42"/>
    <mergeCell ref="N37:N42"/>
    <mergeCell ref="O37:O42"/>
    <mergeCell ref="A43:A48"/>
    <mergeCell ref="B43:B48"/>
    <mergeCell ref="C43:C48"/>
    <mergeCell ref="N31:N36"/>
    <mergeCell ref="O31:O36"/>
    <mergeCell ref="A31:A36"/>
    <mergeCell ref="B31:B36"/>
    <mergeCell ref="C31:C36"/>
    <mergeCell ref="D31:D36"/>
    <mergeCell ref="E31:E36"/>
    <mergeCell ref="F31:F36"/>
    <mergeCell ref="G31:G36"/>
    <mergeCell ref="H31:H36"/>
    <mergeCell ref="I31:I36"/>
  </mergeCells>
  <conditionalFormatting sqref="AB79:AB84">
    <cfRule type="cellIs" dxfId="529" priority="748" operator="equal">
      <formula>"Muy Alta"</formula>
    </cfRule>
    <cfRule type="cellIs" dxfId="528" priority="749" operator="equal">
      <formula>"Alta"</formula>
    </cfRule>
    <cfRule type="cellIs" dxfId="527" priority="750" operator="equal">
      <formula>"Media"</formula>
    </cfRule>
    <cfRule type="cellIs" dxfId="526" priority="751" operator="equal">
      <formula>"Baja"</formula>
    </cfRule>
    <cfRule type="cellIs" dxfId="525" priority="752" operator="equal">
      <formula>"Muy Baja"</formula>
    </cfRule>
  </conditionalFormatting>
  <conditionalFormatting sqref="AD79:AD84">
    <cfRule type="cellIs" dxfId="524" priority="743" operator="equal">
      <formula>"Catastrófico"</formula>
    </cfRule>
    <cfRule type="cellIs" dxfId="523" priority="744" operator="equal">
      <formula>"Mayor"</formula>
    </cfRule>
    <cfRule type="cellIs" dxfId="522" priority="745" operator="equal">
      <formula>"Moderado"</formula>
    </cfRule>
    <cfRule type="cellIs" dxfId="521" priority="746" operator="equal">
      <formula>"Menor"</formula>
    </cfRule>
    <cfRule type="cellIs" dxfId="520" priority="747" operator="equal">
      <formula>"Leve"</formula>
    </cfRule>
  </conditionalFormatting>
  <conditionalFormatting sqref="AF79:AF84">
    <cfRule type="cellIs" dxfId="519" priority="739" operator="equal">
      <formula>"Extremo"</formula>
    </cfRule>
    <cfRule type="cellIs" dxfId="518" priority="740" operator="equal">
      <formula>"Alto"</formula>
    </cfRule>
    <cfRule type="cellIs" dxfId="517" priority="741" operator="equal">
      <formula>"Moderado"</formula>
    </cfRule>
    <cfRule type="cellIs" dxfId="516" priority="742" operator="equal">
      <formula>"Bajo"</formula>
    </cfRule>
  </conditionalFormatting>
  <conditionalFormatting sqref="AB85:AB90">
    <cfRule type="cellIs" dxfId="515" priority="730" operator="equal">
      <formula>"Muy Alta"</formula>
    </cfRule>
    <cfRule type="cellIs" dxfId="514" priority="731" operator="equal">
      <formula>"Alta"</formula>
    </cfRule>
    <cfRule type="cellIs" dxfId="513" priority="732" operator="equal">
      <formula>"Media"</formula>
    </cfRule>
    <cfRule type="cellIs" dxfId="512" priority="733" operator="equal">
      <formula>"Baja"</formula>
    </cfRule>
    <cfRule type="cellIs" dxfId="511" priority="734" operator="equal">
      <formula>"Muy Baja"</formula>
    </cfRule>
  </conditionalFormatting>
  <conditionalFormatting sqref="AD85:AD90">
    <cfRule type="cellIs" dxfId="510" priority="725" operator="equal">
      <formula>"Catastrófico"</formula>
    </cfRule>
    <cfRule type="cellIs" dxfId="509" priority="726" operator="equal">
      <formula>"Mayor"</formula>
    </cfRule>
    <cfRule type="cellIs" dxfId="508" priority="727" operator="equal">
      <formula>"Moderado"</formula>
    </cfRule>
    <cfRule type="cellIs" dxfId="507" priority="728" operator="equal">
      <formula>"Menor"</formula>
    </cfRule>
    <cfRule type="cellIs" dxfId="506" priority="729" operator="equal">
      <formula>"Leve"</formula>
    </cfRule>
  </conditionalFormatting>
  <conditionalFormatting sqref="AF85:AF90">
    <cfRule type="cellIs" dxfId="505" priority="721" operator="equal">
      <formula>"Extremo"</formula>
    </cfRule>
    <cfRule type="cellIs" dxfId="504" priority="722" operator="equal">
      <formula>"Alto"</formula>
    </cfRule>
    <cfRule type="cellIs" dxfId="503" priority="723" operator="equal">
      <formula>"Moderado"</formula>
    </cfRule>
    <cfRule type="cellIs" dxfId="502" priority="724" operator="equal">
      <formula>"Bajo"</formula>
    </cfRule>
  </conditionalFormatting>
  <conditionalFormatting sqref="AB91:AB96">
    <cfRule type="cellIs" dxfId="501" priority="712" operator="equal">
      <formula>"Muy Alta"</formula>
    </cfRule>
    <cfRule type="cellIs" dxfId="500" priority="713" operator="equal">
      <formula>"Alta"</formula>
    </cfRule>
    <cfRule type="cellIs" dxfId="499" priority="714" operator="equal">
      <formula>"Media"</formula>
    </cfRule>
    <cfRule type="cellIs" dxfId="498" priority="715" operator="equal">
      <formula>"Baja"</formula>
    </cfRule>
    <cfRule type="cellIs" dxfId="497" priority="716" operator="equal">
      <formula>"Muy Baja"</formula>
    </cfRule>
  </conditionalFormatting>
  <conditionalFormatting sqref="AD91:AD96">
    <cfRule type="cellIs" dxfId="496" priority="707" operator="equal">
      <formula>"Catastrófico"</formula>
    </cfRule>
    <cfRule type="cellIs" dxfId="495" priority="708" operator="equal">
      <formula>"Mayor"</formula>
    </cfRule>
    <cfRule type="cellIs" dxfId="494" priority="709" operator="equal">
      <formula>"Moderado"</formula>
    </cfRule>
    <cfRule type="cellIs" dxfId="493" priority="710" operator="equal">
      <formula>"Menor"</formula>
    </cfRule>
    <cfRule type="cellIs" dxfId="492" priority="711" operator="equal">
      <formula>"Leve"</formula>
    </cfRule>
  </conditionalFormatting>
  <conditionalFormatting sqref="AF91:AF96">
    <cfRule type="cellIs" dxfId="491" priority="703" operator="equal">
      <formula>"Extremo"</formula>
    </cfRule>
    <cfRule type="cellIs" dxfId="490" priority="704" operator="equal">
      <formula>"Alto"</formula>
    </cfRule>
    <cfRule type="cellIs" dxfId="489" priority="705" operator="equal">
      <formula>"Moderado"</formula>
    </cfRule>
    <cfRule type="cellIs" dxfId="488" priority="706" operator="equal">
      <formula>"Bajo"</formula>
    </cfRule>
  </conditionalFormatting>
  <conditionalFormatting sqref="AB97:AB102">
    <cfRule type="cellIs" dxfId="487" priority="694" operator="equal">
      <formula>"Muy Alta"</formula>
    </cfRule>
    <cfRule type="cellIs" dxfId="486" priority="695" operator="equal">
      <formula>"Alta"</formula>
    </cfRule>
    <cfRule type="cellIs" dxfId="485" priority="696" operator="equal">
      <formula>"Media"</formula>
    </cfRule>
    <cfRule type="cellIs" dxfId="484" priority="697" operator="equal">
      <formula>"Baja"</formula>
    </cfRule>
    <cfRule type="cellIs" dxfId="483" priority="698" operator="equal">
      <formula>"Muy Baja"</formula>
    </cfRule>
  </conditionalFormatting>
  <conditionalFormatting sqref="AD97:AD102">
    <cfRule type="cellIs" dxfId="482" priority="689" operator="equal">
      <formula>"Catastrófico"</formula>
    </cfRule>
    <cfRule type="cellIs" dxfId="481" priority="690" operator="equal">
      <formula>"Mayor"</formula>
    </cfRule>
    <cfRule type="cellIs" dxfId="480" priority="691" operator="equal">
      <formula>"Moderado"</formula>
    </cfRule>
    <cfRule type="cellIs" dxfId="479" priority="692" operator="equal">
      <formula>"Menor"</formula>
    </cfRule>
    <cfRule type="cellIs" dxfId="478" priority="693" operator="equal">
      <formula>"Leve"</formula>
    </cfRule>
  </conditionalFormatting>
  <conditionalFormatting sqref="AF97:AF102">
    <cfRule type="cellIs" dxfId="477" priority="685" operator="equal">
      <formula>"Extremo"</formula>
    </cfRule>
    <cfRule type="cellIs" dxfId="476" priority="686" operator="equal">
      <formula>"Alto"</formula>
    </cfRule>
    <cfRule type="cellIs" dxfId="475" priority="687" operator="equal">
      <formula>"Moderado"</formula>
    </cfRule>
    <cfRule type="cellIs" dxfId="474" priority="688" operator="equal">
      <formula>"Bajo"</formula>
    </cfRule>
  </conditionalFormatting>
  <conditionalFormatting sqref="AB103:AB108">
    <cfRule type="cellIs" dxfId="473" priority="676" operator="equal">
      <formula>"Muy Alta"</formula>
    </cfRule>
    <cfRule type="cellIs" dxfId="472" priority="677" operator="equal">
      <formula>"Alta"</formula>
    </cfRule>
    <cfRule type="cellIs" dxfId="471" priority="678" operator="equal">
      <formula>"Media"</formula>
    </cfRule>
    <cfRule type="cellIs" dxfId="470" priority="679" operator="equal">
      <formula>"Baja"</formula>
    </cfRule>
    <cfRule type="cellIs" dxfId="469" priority="680" operator="equal">
      <formula>"Muy Baja"</formula>
    </cfRule>
  </conditionalFormatting>
  <conditionalFormatting sqref="AD103:AD108">
    <cfRule type="cellIs" dxfId="468" priority="671" operator="equal">
      <formula>"Catastrófico"</formula>
    </cfRule>
    <cfRule type="cellIs" dxfId="467" priority="672" operator="equal">
      <formula>"Mayor"</formula>
    </cfRule>
    <cfRule type="cellIs" dxfId="466" priority="673" operator="equal">
      <formula>"Moderado"</formula>
    </cfRule>
    <cfRule type="cellIs" dxfId="465" priority="674" operator="equal">
      <formula>"Menor"</formula>
    </cfRule>
    <cfRule type="cellIs" dxfId="464" priority="675" operator="equal">
      <formula>"Leve"</formula>
    </cfRule>
  </conditionalFormatting>
  <conditionalFormatting sqref="AF103:AF108">
    <cfRule type="cellIs" dxfId="463" priority="667" operator="equal">
      <formula>"Extremo"</formula>
    </cfRule>
    <cfRule type="cellIs" dxfId="462" priority="668" operator="equal">
      <formula>"Alto"</formula>
    </cfRule>
    <cfRule type="cellIs" dxfId="461" priority="669" operator="equal">
      <formula>"Moderado"</formula>
    </cfRule>
    <cfRule type="cellIs" dxfId="460" priority="670" operator="equal">
      <formula>"Bajo"</formula>
    </cfRule>
  </conditionalFormatting>
  <conditionalFormatting sqref="AB73:AB78">
    <cfRule type="cellIs" dxfId="459" priority="584" operator="equal">
      <formula>"Muy Alta"</formula>
    </cfRule>
    <cfRule type="cellIs" dxfId="458" priority="585" operator="equal">
      <formula>"Alta"</formula>
    </cfRule>
    <cfRule type="cellIs" dxfId="457" priority="586" operator="equal">
      <formula>"Media"</formula>
    </cfRule>
    <cfRule type="cellIs" dxfId="456" priority="587" operator="equal">
      <formula>"Baja"</formula>
    </cfRule>
    <cfRule type="cellIs" dxfId="455" priority="588" operator="equal">
      <formula>"Muy Baja"</formula>
    </cfRule>
  </conditionalFormatting>
  <conditionalFormatting sqref="AD73:AD78">
    <cfRule type="cellIs" dxfId="454" priority="579" operator="equal">
      <formula>"Catastrófico"</formula>
    </cfRule>
    <cfRule type="cellIs" dxfId="453" priority="580" operator="equal">
      <formula>"Mayor"</formula>
    </cfRule>
    <cfRule type="cellIs" dxfId="452" priority="581" operator="equal">
      <formula>"Moderado"</formula>
    </cfRule>
    <cfRule type="cellIs" dxfId="451" priority="582" operator="equal">
      <formula>"Menor"</formula>
    </cfRule>
    <cfRule type="cellIs" dxfId="450" priority="583" operator="equal">
      <formula>"Leve"</formula>
    </cfRule>
  </conditionalFormatting>
  <conditionalFormatting sqref="AF73:AF78">
    <cfRule type="cellIs" dxfId="449" priority="575" operator="equal">
      <formula>"Extremo"</formula>
    </cfRule>
    <cfRule type="cellIs" dxfId="448" priority="576" operator="equal">
      <formula>"Alto"</formula>
    </cfRule>
    <cfRule type="cellIs" dxfId="447" priority="577" operator="equal">
      <formula>"Moderado"</formula>
    </cfRule>
    <cfRule type="cellIs" dxfId="446" priority="578" operator="equal">
      <formula>"Bajo"</formula>
    </cfRule>
  </conditionalFormatting>
  <conditionalFormatting sqref="AB67:AB72">
    <cfRule type="cellIs" dxfId="445" priority="537" operator="equal">
      <formula>"Muy Alta"</formula>
    </cfRule>
    <cfRule type="cellIs" dxfId="444" priority="538" operator="equal">
      <formula>"Alta"</formula>
    </cfRule>
    <cfRule type="cellIs" dxfId="443" priority="539" operator="equal">
      <formula>"Media"</formula>
    </cfRule>
    <cfRule type="cellIs" dxfId="442" priority="540" operator="equal">
      <formula>"Baja"</formula>
    </cfRule>
    <cfRule type="cellIs" dxfId="441" priority="541" operator="equal">
      <formula>"Muy Baja"</formula>
    </cfRule>
  </conditionalFormatting>
  <conditionalFormatting sqref="AD67:AD72">
    <cfRule type="cellIs" dxfId="440" priority="532" operator="equal">
      <formula>"Catastrófico"</formula>
    </cfRule>
    <cfRule type="cellIs" dxfId="439" priority="533" operator="equal">
      <formula>"Mayor"</formula>
    </cfRule>
    <cfRule type="cellIs" dxfId="438" priority="534" operator="equal">
      <formula>"Moderado"</formula>
    </cfRule>
    <cfRule type="cellIs" dxfId="437" priority="535" operator="equal">
      <formula>"Menor"</formula>
    </cfRule>
    <cfRule type="cellIs" dxfId="436" priority="536" operator="equal">
      <formula>"Leve"</formula>
    </cfRule>
  </conditionalFormatting>
  <conditionalFormatting sqref="AF67:AF72">
    <cfRule type="cellIs" dxfId="435" priority="528" operator="equal">
      <formula>"Extremo"</formula>
    </cfRule>
    <cfRule type="cellIs" dxfId="434" priority="529" operator="equal">
      <formula>"Alto"</formula>
    </cfRule>
    <cfRule type="cellIs" dxfId="433" priority="530" operator="equal">
      <formula>"Moderado"</formula>
    </cfRule>
    <cfRule type="cellIs" dxfId="432" priority="531" operator="equal">
      <formula>"Bajo"</formula>
    </cfRule>
  </conditionalFormatting>
  <conditionalFormatting sqref="AB61:AB66">
    <cfRule type="cellIs" dxfId="431" priority="490" operator="equal">
      <formula>"Muy Alta"</formula>
    </cfRule>
    <cfRule type="cellIs" dxfId="430" priority="491" operator="equal">
      <formula>"Alta"</formula>
    </cfRule>
    <cfRule type="cellIs" dxfId="429" priority="492" operator="equal">
      <formula>"Media"</formula>
    </cfRule>
    <cfRule type="cellIs" dxfId="428" priority="493" operator="equal">
      <formula>"Baja"</formula>
    </cfRule>
    <cfRule type="cellIs" dxfId="427" priority="494" operator="equal">
      <formula>"Muy Baja"</formula>
    </cfRule>
  </conditionalFormatting>
  <conditionalFormatting sqref="AD61:AD66">
    <cfRule type="cellIs" dxfId="426" priority="485" operator="equal">
      <formula>"Catastrófico"</formula>
    </cfRule>
    <cfRule type="cellIs" dxfId="425" priority="486" operator="equal">
      <formula>"Mayor"</formula>
    </cfRule>
    <cfRule type="cellIs" dxfId="424" priority="487" operator="equal">
      <formula>"Moderado"</formula>
    </cfRule>
    <cfRule type="cellIs" dxfId="423" priority="488" operator="equal">
      <formula>"Menor"</formula>
    </cfRule>
    <cfRule type="cellIs" dxfId="422" priority="489" operator="equal">
      <formula>"Leve"</formula>
    </cfRule>
  </conditionalFormatting>
  <conditionalFormatting sqref="AF61:AF66">
    <cfRule type="cellIs" dxfId="421" priority="481" operator="equal">
      <formula>"Extremo"</formula>
    </cfRule>
    <cfRule type="cellIs" dxfId="420" priority="482" operator="equal">
      <formula>"Alto"</formula>
    </cfRule>
    <cfRule type="cellIs" dxfId="419" priority="483" operator="equal">
      <formula>"Moderado"</formula>
    </cfRule>
    <cfRule type="cellIs" dxfId="418" priority="484" operator="equal">
      <formula>"Bajo"</formula>
    </cfRule>
  </conditionalFormatting>
  <conditionalFormatting sqref="J7 J61 J67 J73 J79 J85 J91 J97 J103">
    <cfRule type="cellIs" dxfId="417" priority="457" operator="equal">
      <formula>"Muy Alta"</formula>
    </cfRule>
    <cfRule type="cellIs" dxfId="416" priority="458" operator="equal">
      <formula>"Alta"</formula>
    </cfRule>
    <cfRule type="cellIs" dxfId="415" priority="459" operator="equal">
      <formula>"Media"</formula>
    </cfRule>
    <cfRule type="cellIs" dxfId="414" priority="460" operator="equal">
      <formula>"Baja"</formula>
    </cfRule>
    <cfRule type="cellIs" dxfId="413" priority="461" operator="equal">
      <formula>"Muy Baja"</formula>
    </cfRule>
  </conditionalFormatting>
  <conditionalFormatting sqref="L7 L61 L73 L79 L85 L91 L97 L103 L67">
    <cfRule type="cellIs" dxfId="412" priority="452" operator="equal">
      <formula>"Catastrófico"</formula>
    </cfRule>
    <cfRule type="cellIs" dxfId="411" priority="453" operator="equal">
      <formula>"Mayor"</formula>
    </cfRule>
    <cfRule type="cellIs" dxfId="410" priority="454" operator="equal">
      <formula>"Moderado"</formula>
    </cfRule>
    <cfRule type="cellIs" dxfId="409" priority="455" operator="equal">
      <formula>"Menor"</formula>
    </cfRule>
    <cfRule type="cellIs" dxfId="408" priority="456" operator="equal">
      <formula>"Leve"</formula>
    </cfRule>
  </conditionalFormatting>
  <conditionalFormatting sqref="O7 O61 O67 O73 O79 O85 O91 O97 O103">
    <cfRule type="cellIs" dxfId="407" priority="448" operator="equal">
      <formula>"Extremo"</formula>
    </cfRule>
    <cfRule type="cellIs" dxfId="406" priority="449" operator="equal">
      <formula>"Alto"</formula>
    </cfRule>
    <cfRule type="cellIs" dxfId="405" priority="450" operator="equal">
      <formula>"Moderado"</formula>
    </cfRule>
    <cfRule type="cellIs" dxfId="404" priority="451" operator="equal">
      <formula>"Bajo"</formula>
    </cfRule>
  </conditionalFormatting>
  <conditionalFormatting sqref="AB7:AB12">
    <cfRule type="cellIs" dxfId="403" priority="443" operator="equal">
      <formula>"Muy Alta"</formula>
    </cfRule>
    <cfRule type="cellIs" dxfId="402" priority="444" operator="equal">
      <formula>"Alta"</formula>
    </cfRule>
    <cfRule type="cellIs" dxfId="401" priority="445" operator="equal">
      <formula>"Media"</formula>
    </cfRule>
    <cfRule type="cellIs" dxfId="400" priority="446" operator="equal">
      <formula>"Baja"</formula>
    </cfRule>
    <cfRule type="cellIs" dxfId="399" priority="447" operator="equal">
      <formula>"Muy Baja"</formula>
    </cfRule>
  </conditionalFormatting>
  <conditionalFormatting sqref="AD7:AD12">
    <cfRule type="cellIs" dxfId="398" priority="438" operator="equal">
      <formula>"Catastrófico"</formula>
    </cfRule>
    <cfRule type="cellIs" dxfId="397" priority="439" operator="equal">
      <formula>"Mayor"</formula>
    </cfRule>
    <cfRule type="cellIs" dxfId="396" priority="440" operator="equal">
      <formula>"Moderado"</formula>
    </cfRule>
    <cfRule type="cellIs" dxfId="395" priority="441" operator="equal">
      <formula>"Menor"</formula>
    </cfRule>
    <cfRule type="cellIs" dxfId="394" priority="442" operator="equal">
      <formula>"Leve"</formula>
    </cfRule>
  </conditionalFormatting>
  <conditionalFormatting sqref="AF7:AF12">
    <cfRule type="cellIs" dxfId="393" priority="434" operator="equal">
      <formula>"Extremo"</formula>
    </cfRule>
    <cfRule type="cellIs" dxfId="392" priority="435" operator="equal">
      <formula>"Alto"</formula>
    </cfRule>
    <cfRule type="cellIs" dxfId="391" priority="436" operator="equal">
      <formula>"Moderado"</formula>
    </cfRule>
    <cfRule type="cellIs" dxfId="390" priority="437" operator="equal">
      <formula>"Bajo"</formula>
    </cfRule>
  </conditionalFormatting>
  <conditionalFormatting sqref="B67 B73 B79 B85 B91 B97 B103 B7 B61">
    <cfRule type="cellIs" dxfId="389" priority="415" operator="equal">
      <formula>#REF!</formula>
    </cfRule>
    <cfRule type="cellIs" dxfId="388" priority="416" operator="equal">
      <formula>#REF!</formula>
    </cfRule>
    <cfRule type="cellIs" dxfId="387" priority="417" operator="equal">
      <formula>#REF!</formula>
    </cfRule>
    <cfRule type="cellIs" dxfId="386" priority="418" operator="equal">
      <formula>#REF!</formula>
    </cfRule>
    <cfRule type="cellIs" dxfId="385" priority="419" operator="equal">
      <formula>#REF!</formula>
    </cfRule>
    <cfRule type="cellIs" dxfId="384" priority="420" operator="equal">
      <formula>#REF!</formula>
    </cfRule>
    <cfRule type="cellIs" dxfId="383" priority="421" operator="equal">
      <formula>#REF!</formula>
    </cfRule>
    <cfRule type="cellIs" dxfId="382" priority="422" operator="equal">
      <formula>#REF!</formula>
    </cfRule>
    <cfRule type="cellIs" dxfId="381" priority="423" operator="equal">
      <formula>#REF!</formula>
    </cfRule>
    <cfRule type="cellIs" dxfId="380" priority="424" operator="equal">
      <formula>#REF!</formula>
    </cfRule>
    <cfRule type="cellIs" dxfId="379" priority="425" operator="equal">
      <formula>#REF!</formula>
    </cfRule>
    <cfRule type="cellIs" dxfId="378" priority="426" operator="equal">
      <formula>#REF!</formula>
    </cfRule>
    <cfRule type="cellIs" dxfId="377" priority="427" operator="equal">
      <formula>#REF!</formula>
    </cfRule>
    <cfRule type="cellIs" dxfId="376" priority="428" operator="equal">
      <formula>#REF!</formula>
    </cfRule>
    <cfRule type="cellIs" dxfId="375" priority="429" operator="equal">
      <formula>#REF!</formula>
    </cfRule>
    <cfRule type="cellIs" dxfId="374" priority="430" operator="equal">
      <formula>#REF!</formula>
    </cfRule>
    <cfRule type="cellIs" dxfId="373" priority="431" operator="equal">
      <formula>#REF!</formula>
    </cfRule>
    <cfRule type="cellIs" dxfId="372" priority="432" operator="equal">
      <formula>#REF!</formula>
    </cfRule>
  </conditionalFormatting>
  <conditionalFormatting sqref="AB25:AB30">
    <cfRule type="cellIs" dxfId="371" priority="364" operator="equal">
      <formula>"Muy Alta"</formula>
    </cfRule>
    <cfRule type="cellIs" dxfId="370" priority="365" operator="equal">
      <formula>"Alta"</formula>
    </cfRule>
    <cfRule type="cellIs" dxfId="369" priority="366" operator="equal">
      <formula>"Media"</formula>
    </cfRule>
    <cfRule type="cellIs" dxfId="368" priority="367" operator="equal">
      <formula>"Baja"</formula>
    </cfRule>
    <cfRule type="cellIs" dxfId="367" priority="368" operator="equal">
      <formula>"Muy Baja"</formula>
    </cfRule>
  </conditionalFormatting>
  <conditionalFormatting sqref="AD25:AD30">
    <cfRule type="cellIs" dxfId="366" priority="359" operator="equal">
      <formula>"Catastrófico"</formula>
    </cfRule>
    <cfRule type="cellIs" dxfId="365" priority="360" operator="equal">
      <formula>"Mayor"</formula>
    </cfRule>
    <cfRule type="cellIs" dxfId="364" priority="361" operator="equal">
      <formula>"Moderado"</formula>
    </cfRule>
    <cfRule type="cellIs" dxfId="363" priority="362" operator="equal">
      <formula>"Menor"</formula>
    </cfRule>
    <cfRule type="cellIs" dxfId="362" priority="363" operator="equal">
      <formula>"Leve"</formula>
    </cfRule>
  </conditionalFormatting>
  <conditionalFormatting sqref="AF25:AF30">
    <cfRule type="cellIs" dxfId="361" priority="355" operator="equal">
      <formula>"Extremo"</formula>
    </cfRule>
    <cfRule type="cellIs" dxfId="360" priority="356" operator="equal">
      <formula>"Alto"</formula>
    </cfRule>
    <cfRule type="cellIs" dxfId="359" priority="357" operator="equal">
      <formula>"Moderado"</formula>
    </cfRule>
    <cfRule type="cellIs" dxfId="358" priority="358" operator="equal">
      <formula>"Bajo"</formula>
    </cfRule>
  </conditionalFormatting>
  <conditionalFormatting sqref="J25">
    <cfRule type="cellIs" dxfId="357" priority="350" operator="equal">
      <formula>"Muy Alta"</formula>
    </cfRule>
    <cfRule type="cellIs" dxfId="356" priority="351" operator="equal">
      <formula>"Alta"</formula>
    </cfRule>
    <cfRule type="cellIs" dxfId="355" priority="352" operator="equal">
      <formula>"Media"</formula>
    </cfRule>
    <cfRule type="cellIs" dxfId="354" priority="353" operator="equal">
      <formula>"Baja"</formula>
    </cfRule>
    <cfRule type="cellIs" dxfId="353" priority="354" operator="equal">
      <formula>"Muy Baja"</formula>
    </cfRule>
  </conditionalFormatting>
  <conditionalFormatting sqref="L25">
    <cfRule type="cellIs" dxfId="352" priority="345" operator="equal">
      <formula>"Catastrófico"</formula>
    </cfRule>
    <cfRule type="cellIs" dxfId="351" priority="346" operator="equal">
      <formula>"Mayor"</formula>
    </cfRule>
    <cfRule type="cellIs" dxfId="350" priority="347" operator="equal">
      <formula>"Moderado"</formula>
    </cfRule>
    <cfRule type="cellIs" dxfId="349" priority="348" operator="equal">
      <formula>"Menor"</formula>
    </cfRule>
    <cfRule type="cellIs" dxfId="348" priority="349" operator="equal">
      <formula>"Leve"</formula>
    </cfRule>
  </conditionalFormatting>
  <conditionalFormatting sqref="O25">
    <cfRule type="cellIs" dxfId="347" priority="341" operator="equal">
      <formula>"Extremo"</formula>
    </cfRule>
    <cfRule type="cellIs" dxfId="346" priority="342" operator="equal">
      <formula>"Alto"</formula>
    </cfRule>
    <cfRule type="cellIs" dxfId="345" priority="343" operator="equal">
      <formula>"Moderado"</formula>
    </cfRule>
    <cfRule type="cellIs" dxfId="344" priority="344" operator="equal">
      <formula>"Bajo"</formula>
    </cfRule>
  </conditionalFormatting>
  <conditionalFormatting sqref="B25">
    <cfRule type="cellIs" dxfId="343" priority="323" operator="equal">
      <formula>#REF!</formula>
    </cfRule>
    <cfRule type="cellIs" dxfId="342" priority="324" operator="equal">
      <formula>#REF!</formula>
    </cfRule>
    <cfRule type="cellIs" dxfId="341" priority="325" operator="equal">
      <formula>#REF!</formula>
    </cfRule>
    <cfRule type="cellIs" dxfId="340" priority="326" operator="equal">
      <formula>#REF!</formula>
    </cfRule>
    <cfRule type="cellIs" dxfId="339" priority="327" operator="equal">
      <formula>#REF!</formula>
    </cfRule>
    <cfRule type="cellIs" dxfId="338" priority="328" operator="equal">
      <formula>#REF!</formula>
    </cfRule>
    <cfRule type="cellIs" dxfId="337" priority="329" operator="equal">
      <formula>#REF!</formula>
    </cfRule>
    <cfRule type="cellIs" dxfId="336" priority="330" operator="equal">
      <formula>#REF!</formula>
    </cfRule>
    <cfRule type="cellIs" dxfId="335" priority="331" operator="equal">
      <formula>#REF!</formula>
    </cfRule>
    <cfRule type="cellIs" dxfId="334" priority="332" operator="equal">
      <formula>#REF!</formula>
    </cfRule>
    <cfRule type="cellIs" dxfId="333" priority="333" operator="equal">
      <formula>#REF!</formula>
    </cfRule>
    <cfRule type="cellIs" dxfId="332" priority="334" operator="equal">
      <formula>#REF!</formula>
    </cfRule>
    <cfRule type="cellIs" dxfId="331" priority="335" operator="equal">
      <formula>#REF!</formula>
    </cfRule>
    <cfRule type="cellIs" dxfId="330" priority="336" operator="equal">
      <formula>#REF!</formula>
    </cfRule>
    <cfRule type="cellIs" dxfId="329" priority="337" operator="equal">
      <formula>#REF!</formula>
    </cfRule>
    <cfRule type="cellIs" dxfId="328" priority="338" operator="equal">
      <formula>#REF!</formula>
    </cfRule>
    <cfRule type="cellIs" dxfId="327" priority="339" operator="equal">
      <formula>#REF!</formula>
    </cfRule>
    <cfRule type="cellIs" dxfId="326" priority="340" operator="equal">
      <formula>#REF!</formula>
    </cfRule>
  </conditionalFormatting>
  <conditionalFormatting sqref="AB19:AB24">
    <cfRule type="cellIs" dxfId="325" priority="318" operator="equal">
      <formula>"Muy Alta"</formula>
    </cfRule>
    <cfRule type="cellIs" dxfId="324" priority="319" operator="equal">
      <formula>"Alta"</formula>
    </cfRule>
    <cfRule type="cellIs" dxfId="323" priority="320" operator="equal">
      <formula>"Media"</formula>
    </cfRule>
    <cfRule type="cellIs" dxfId="322" priority="321" operator="equal">
      <formula>"Baja"</formula>
    </cfRule>
    <cfRule type="cellIs" dxfId="321" priority="322" operator="equal">
      <formula>"Muy Baja"</formula>
    </cfRule>
  </conditionalFormatting>
  <conditionalFormatting sqref="AD19:AD24">
    <cfRule type="cellIs" dxfId="320" priority="313" operator="equal">
      <formula>"Catastrófico"</formula>
    </cfRule>
    <cfRule type="cellIs" dxfId="319" priority="314" operator="equal">
      <formula>"Mayor"</formula>
    </cfRule>
    <cfRule type="cellIs" dxfId="318" priority="315" operator="equal">
      <formula>"Moderado"</formula>
    </cfRule>
    <cfRule type="cellIs" dxfId="317" priority="316" operator="equal">
      <formula>"Menor"</formula>
    </cfRule>
    <cfRule type="cellIs" dxfId="316" priority="317" operator="equal">
      <formula>"Leve"</formula>
    </cfRule>
  </conditionalFormatting>
  <conditionalFormatting sqref="AF19:AF24">
    <cfRule type="cellIs" dxfId="315" priority="309" operator="equal">
      <formula>"Extremo"</formula>
    </cfRule>
    <cfRule type="cellIs" dxfId="314" priority="310" operator="equal">
      <formula>"Alto"</formula>
    </cfRule>
    <cfRule type="cellIs" dxfId="313" priority="311" operator="equal">
      <formula>"Moderado"</formula>
    </cfRule>
    <cfRule type="cellIs" dxfId="312" priority="312" operator="equal">
      <formula>"Bajo"</formula>
    </cfRule>
  </conditionalFormatting>
  <conditionalFormatting sqref="J19">
    <cfRule type="cellIs" dxfId="311" priority="304" operator="equal">
      <formula>"Muy Alta"</formula>
    </cfRule>
    <cfRule type="cellIs" dxfId="310" priority="305" operator="equal">
      <formula>"Alta"</formula>
    </cfRule>
    <cfRule type="cellIs" dxfId="309" priority="306" operator="equal">
      <formula>"Media"</formula>
    </cfRule>
    <cfRule type="cellIs" dxfId="308" priority="307" operator="equal">
      <formula>"Baja"</formula>
    </cfRule>
    <cfRule type="cellIs" dxfId="307" priority="308" operator="equal">
      <formula>"Muy Baja"</formula>
    </cfRule>
  </conditionalFormatting>
  <conditionalFormatting sqref="L19">
    <cfRule type="cellIs" dxfId="306" priority="299" operator="equal">
      <formula>"Catastrófico"</formula>
    </cfRule>
    <cfRule type="cellIs" dxfId="305" priority="300" operator="equal">
      <formula>"Mayor"</formula>
    </cfRule>
    <cfRule type="cellIs" dxfId="304" priority="301" operator="equal">
      <formula>"Moderado"</formula>
    </cfRule>
    <cfRule type="cellIs" dxfId="303" priority="302" operator="equal">
      <formula>"Menor"</formula>
    </cfRule>
    <cfRule type="cellIs" dxfId="302" priority="303" operator="equal">
      <formula>"Leve"</formula>
    </cfRule>
  </conditionalFormatting>
  <conditionalFormatting sqref="O19">
    <cfRule type="cellIs" dxfId="301" priority="295" operator="equal">
      <formula>"Extremo"</formula>
    </cfRule>
    <cfRule type="cellIs" dxfId="300" priority="296" operator="equal">
      <formula>"Alto"</formula>
    </cfRule>
    <cfRule type="cellIs" dxfId="299" priority="297" operator="equal">
      <formula>"Moderado"</formula>
    </cfRule>
    <cfRule type="cellIs" dxfId="298" priority="298" operator="equal">
      <formula>"Bajo"</formula>
    </cfRule>
  </conditionalFormatting>
  <conditionalFormatting sqref="B19">
    <cfRule type="cellIs" dxfId="297" priority="277" operator="equal">
      <formula>#REF!</formula>
    </cfRule>
    <cfRule type="cellIs" dxfId="296" priority="278" operator="equal">
      <formula>#REF!</formula>
    </cfRule>
    <cfRule type="cellIs" dxfId="295" priority="279" operator="equal">
      <formula>#REF!</formula>
    </cfRule>
    <cfRule type="cellIs" dxfId="294" priority="280" operator="equal">
      <formula>#REF!</formula>
    </cfRule>
    <cfRule type="cellIs" dxfId="293" priority="281" operator="equal">
      <formula>#REF!</formula>
    </cfRule>
    <cfRule type="cellIs" dxfId="292" priority="282" operator="equal">
      <formula>#REF!</formula>
    </cfRule>
    <cfRule type="cellIs" dxfId="291" priority="283" operator="equal">
      <formula>#REF!</formula>
    </cfRule>
    <cfRule type="cellIs" dxfId="290" priority="284" operator="equal">
      <formula>#REF!</formula>
    </cfRule>
    <cfRule type="cellIs" dxfId="289" priority="285" operator="equal">
      <formula>#REF!</formula>
    </cfRule>
    <cfRule type="cellIs" dxfId="288" priority="286" operator="equal">
      <formula>#REF!</formula>
    </cfRule>
    <cfRule type="cellIs" dxfId="287" priority="287" operator="equal">
      <formula>#REF!</formula>
    </cfRule>
    <cfRule type="cellIs" dxfId="286" priority="288" operator="equal">
      <formula>#REF!</formula>
    </cfRule>
    <cfRule type="cellIs" dxfId="285" priority="289" operator="equal">
      <formula>#REF!</formula>
    </cfRule>
    <cfRule type="cellIs" dxfId="284" priority="290" operator="equal">
      <formula>#REF!</formula>
    </cfRule>
    <cfRule type="cellIs" dxfId="283" priority="291" operator="equal">
      <formula>#REF!</formula>
    </cfRule>
    <cfRule type="cellIs" dxfId="282" priority="292" operator="equal">
      <formula>#REF!</formula>
    </cfRule>
    <cfRule type="cellIs" dxfId="281" priority="293" operator="equal">
      <formula>#REF!</formula>
    </cfRule>
    <cfRule type="cellIs" dxfId="280" priority="294" operator="equal">
      <formula>#REF!</formula>
    </cfRule>
  </conditionalFormatting>
  <conditionalFormatting sqref="AB13:AB18">
    <cfRule type="cellIs" dxfId="279" priority="272" operator="equal">
      <formula>"Muy Alta"</formula>
    </cfRule>
    <cfRule type="cellIs" dxfId="278" priority="273" operator="equal">
      <formula>"Alta"</formula>
    </cfRule>
    <cfRule type="cellIs" dxfId="277" priority="274" operator="equal">
      <formula>"Media"</formula>
    </cfRule>
    <cfRule type="cellIs" dxfId="276" priority="275" operator="equal">
      <formula>"Baja"</formula>
    </cfRule>
    <cfRule type="cellIs" dxfId="275" priority="276" operator="equal">
      <formula>"Muy Baja"</formula>
    </cfRule>
  </conditionalFormatting>
  <conditionalFormatting sqref="AD13:AD18">
    <cfRule type="cellIs" dxfId="274" priority="267" operator="equal">
      <formula>"Catastrófico"</formula>
    </cfRule>
    <cfRule type="cellIs" dxfId="273" priority="268" operator="equal">
      <formula>"Mayor"</formula>
    </cfRule>
    <cfRule type="cellIs" dxfId="272" priority="269" operator="equal">
      <formula>"Moderado"</formula>
    </cfRule>
    <cfRule type="cellIs" dxfId="271" priority="270" operator="equal">
      <formula>"Menor"</formula>
    </cfRule>
    <cfRule type="cellIs" dxfId="270" priority="271" operator="equal">
      <formula>"Leve"</formula>
    </cfRule>
  </conditionalFormatting>
  <conditionalFormatting sqref="AF13:AF18">
    <cfRule type="cellIs" dxfId="269" priority="263" operator="equal">
      <formula>"Extremo"</formula>
    </cfRule>
    <cfRule type="cellIs" dxfId="268" priority="264" operator="equal">
      <formula>"Alto"</formula>
    </cfRule>
    <cfRule type="cellIs" dxfId="267" priority="265" operator="equal">
      <formula>"Moderado"</formula>
    </cfRule>
    <cfRule type="cellIs" dxfId="266" priority="266" operator="equal">
      <formula>"Bajo"</formula>
    </cfRule>
  </conditionalFormatting>
  <conditionalFormatting sqref="J13">
    <cfRule type="cellIs" dxfId="265" priority="258" operator="equal">
      <formula>"Muy Alta"</formula>
    </cfRule>
    <cfRule type="cellIs" dxfId="264" priority="259" operator="equal">
      <formula>"Alta"</formula>
    </cfRule>
    <cfRule type="cellIs" dxfId="263" priority="260" operator="equal">
      <formula>"Media"</formula>
    </cfRule>
    <cfRule type="cellIs" dxfId="262" priority="261" operator="equal">
      <formula>"Baja"</formula>
    </cfRule>
    <cfRule type="cellIs" dxfId="261" priority="262" operator="equal">
      <formula>"Muy Baja"</formula>
    </cfRule>
  </conditionalFormatting>
  <conditionalFormatting sqref="L13">
    <cfRule type="cellIs" dxfId="260" priority="253" operator="equal">
      <formula>"Catastrófico"</formula>
    </cfRule>
    <cfRule type="cellIs" dxfId="259" priority="254" operator="equal">
      <formula>"Mayor"</formula>
    </cfRule>
    <cfRule type="cellIs" dxfId="258" priority="255" operator="equal">
      <formula>"Moderado"</formula>
    </cfRule>
    <cfRule type="cellIs" dxfId="257" priority="256" operator="equal">
      <formula>"Menor"</formula>
    </cfRule>
    <cfRule type="cellIs" dxfId="256" priority="257" operator="equal">
      <formula>"Leve"</formula>
    </cfRule>
  </conditionalFormatting>
  <conditionalFormatting sqref="O13">
    <cfRule type="cellIs" dxfId="255" priority="249" operator="equal">
      <formula>"Extremo"</formula>
    </cfRule>
    <cfRule type="cellIs" dxfId="254" priority="250" operator="equal">
      <formula>"Alto"</formula>
    </cfRule>
    <cfRule type="cellIs" dxfId="253" priority="251" operator="equal">
      <formula>"Moderado"</formula>
    </cfRule>
    <cfRule type="cellIs" dxfId="252" priority="252" operator="equal">
      <formula>"Bajo"</formula>
    </cfRule>
  </conditionalFormatting>
  <conditionalFormatting sqref="B13">
    <cfRule type="cellIs" dxfId="251" priority="231" operator="equal">
      <formula>#REF!</formula>
    </cfRule>
    <cfRule type="cellIs" dxfId="250" priority="232" operator="equal">
      <formula>#REF!</formula>
    </cfRule>
    <cfRule type="cellIs" dxfId="249" priority="233" operator="equal">
      <formula>#REF!</formula>
    </cfRule>
    <cfRule type="cellIs" dxfId="248" priority="234" operator="equal">
      <formula>#REF!</formula>
    </cfRule>
    <cfRule type="cellIs" dxfId="247" priority="235" operator="equal">
      <formula>#REF!</formula>
    </cfRule>
    <cfRule type="cellIs" dxfId="246" priority="236" operator="equal">
      <formula>#REF!</formula>
    </cfRule>
    <cfRule type="cellIs" dxfId="245" priority="237" operator="equal">
      <formula>#REF!</formula>
    </cfRule>
    <cfRule type="cellIs" dxfId="244" priority="238" operator="equal">
      <formula>#REF!</formula>
    </cfRule>
    <cfRule type="cellIs" dxfId="243" priority="239" operator="equal">
      <formula>#REF!</formula>
    </cfRule>
    <cfRule type="cellIs" dxfId="242" priority="240" operator="equal">
      <formula>#REF!</formula>
    </cfRule>
    <cfRule type="cellIs" dxfId="241" priority="241" operator="equal">
      <formula>#REF!</formula>
    </cfRule>
    <cfRule type="cellIs" dxfId="240" priority="242" operator="equal">
      <formula>#REF!</formula>
    </cfRule>
    <cfRule type="cellIs" dxfId="239" priority="243" operator="equal">
      <formula>#REF!</formula>
    </cfRule>
    <cfRule type="cellIs" dxfId="238" priority="244" operator="equal">
      <formula>#REF!</formula>
    </cfRule>
    <cfRule type="cellIs" dxfId="237" priority="245" operator="equal">
      <formula>#REF!</formula>
    </cfRule>
    <cfRule type="cellIs" dxfId="236" priority="246" operator="equal">
      <formula>#REF!</formula>
    </cfRule>
    <cfRule type="cellIs" dxfId="235" priority="247" operator="equal">
      <formula>#REF!</formula>
    </cfRule>
    <cfRule type="cellIs" dxfId="234" priority="248" operator="equal">
      <formula>#REF!</formula>
    </cfRule>
  </conditionalFormatting>
  <conditionalFormatting sqref="AB43:AB48">
    <cfRule type="cellIs" dxfId="233" priority="226" operator="equal">
      <formula>"Muy Alta"</formula>
    </cfRule>
    <cfRule type="cellIs" dxfId="232" priority="227" operator="equal">
      <formula>"Alta"</formula>
    </cfRule>
    <cfRule type="cellIs" dxfId="231" priority="228" operator="equal">
      <formula>"Media"</formula>
    </cfRule>
    <cfRule type="cellIs" dxfId="230" priority="229" operator="equal">
      <formula>"Baja"</formula>
    </cfRule>
    <cfRule type="cellIs" dxfId="229" priority="230" operator="equal">
      <formula>"Muy Baja"</formula>
    </cfRule>
  </conditionalFormatting>
  <conditionalFormatting sqref="AD43:AD48">
    <cfRule type="cellIs" dxfId="228" priority="221" operator="equal">
      <formula>"Catastrófico"</formula>
    </cfRule>
    <cfRule type="cellIs" dxfId="227" priority="222" operator="equal">
      <formula>"Mayor"</formula>
    </cfRule>
    <cfRule type="cellIs" dxfId="226" priority="223" operator="equal">
      <formula>"Moderado"</formula>
    </cfRule>
    <cfRule type="cellIs" dxfId="225" priority="224" operator="equal">
      <formula>"Menor"</formula>
    </cfRule>
    <cfRule type="cellIs" dxfId="224" priority="225" operator="equal">
      <formula>"Leve"</formula>
    </cfRule>
  </conditionalFormatting>
  <conditionalFormatting sqref="AF43:AF48">
    <cfRule type="cellIs" dxfId="223" priority="217" operator="equal">
      <formula>"Extremo"</formula>
    </cfRule>
    <cfRule type="cellIs" dxfId="222" priority="218" operator="equal">
      <formula>"Alto"</formula>
    </cfRule>
    <cfRule type="cellIs" dxfId="221" priority="219" operator="equal">
      <formula>"Moderado"</formula>
    </cfRule>
    <cfRule type="cellIs" dxfId="220" priority="220" operator="equal">
      <formula>"Bajo"</formula>
    </cfRule>
  </conditionalFormatting>
  <conditionalFormatting sqref="J43">
    <cfRule type="cellIs" dxfId="219" priority="212" operator="equal">
      <formula>"Muy Alta"</formula>
    </cfRule>
    <cfRule type="cellIs" dxfId="218" priority="213" operator="equal">
      <formula>"Alta"</formula>
    </cfRule>
    <cfRule type="cellIs" dxfId="217" priority="214" operator="equal">
      <formula>"Media"</formula>
    </cfRule>
    <cfRule type="cellIs" dxfId="216" priority="215" operator="equal">
      <formula>"Baja"</formula>
    </cfRule>
    <cfRule type="cellIs" dxfId="215" priority="216" operator="equal">
      <formula>"Muy Baja"</formula>
    </cfRule>
  </conditionalFormatting>
  <conditionalFormatting sqref="L43">
    <cfRule type="cellIs" dxfId="214" priority="207" operator="equal">
      <formula>"Catastrófico"</formula>
    </cfRule>
    <cfRule type="cellIs" dxfId="213" priority="208" operator="equal">
      <formula>"Mayor"</formula>
    </cfRule>
    <cfRule type="cellIs" dxfId="212" priority="209" operator="equal">
      <formula>"Moderado"</formula>
    </cfRule>
    <cfRule type="cellIs" dxfId="211" priority="210" operator="equal">
      <formula>"Menor"</formula>
    </cfRule>
    <cfRule type="cellIs" dxfId="210" priority="211" operator="equal">
      <formula>"Leve"</formula>
    </cfRule>
  </conditionalFormatting>
  <conditionalFormatting sqref="O43">
    <cfRule type="cellIs" dxfId="209" priority="203" operator="equal">
      <formula>"Extremo"</formula>
    </cfRule>
    <cfRule type="cellIs" dxfId="208" priority="204" operator="equal">
      <formula>"Alto"</formula>
    </cfRule>
    <cfRule type="cellIs" dxfId="207" priority="205" operator="equal">
      <formula>"Moderado"</formula>
    </cfRule>
    <cfRule type="cellIs" dxfId="206" priority="206" operator="equal">
      <formula>"Bajo"</formula>
    </cfRule>
  </conditionalFormatting>
  <conditionalFormatting sqref="B43">
    <cfRule type="cellIs" dxfId="205" priority="185" operator="equal">
      <formula>#REF!</formula>
    </cfRule>
    <cfRule type="cellIs" dxfId="204" priority="186" operator="equal">
      <formula>#REF!</formula>
    </cfRule>
    <cfRule type="cellIs" dxfId="203" priority="187" operator="equal">
      <formula>#REF!</formula>
    </cfRule>
    <cfRule type="cellIs" dxfId="202" priority="188" operator="equal">
      <formula>#REF!</formula>
    </cfRule>
    <cfRule type="cellIs" dxfId="201" priority="189" operator="equal">
      <formula>#REF!</formula>
    </cfRule>
    <cfRule type="cellIs" dxfId="200" priority="190" operator="equal">
      <formula>#REF!</formula>
    </cfRule>
    <cfRule type="cellIs" dxfId="199" priority="191" operator="equal">
      <formula>#REF!</formula>
    </cfRule>
    <cfRule type="cellIs" dxfId="198" priority="192" operator="equal">
      <formula>#REF!</formula>
    </cfRule>
    <cfRule type="cellIs" dxfId="197" priority="193" operator="equal">
      <formula>#REF!</formula>
    </cfRule>
    <cfRule type="cellIs" dxfId="196" priority="194" operator="equal">
      <formula>#REF!</formula>
    </cfRule>
    <cfRule type="cellIs" dxfId="195" priority="195" operator="equal">
      <formula>#REF!</formula>
    </cfRule>
    <cfRule type="cellIs" dxfId="194" priority="196" operator="equal">
      <formula>#REF!</formula>
    </cfRule>
    <cfRule type="cellIs" dxfId="193" priority="197" operator="equal">
      <formula>#REF!</formula>
    </cfRule>
    <cfRule type="cellIs" dxfId="192" priority="198" operator="equal">
      <formula>#REF!</formula>
    </cfRule>
    <cfRule type="cellIs" dxfId="191" priority="199" operator="equal">
      <formula>#REF!</formula>
    </cfRule>
    <cfRule type="cellIs" dxfId="190" priority="200" operator="equal">
      <formula>#REF!</formula>
    </cfRule>
    <cfRule type="cellIs" dxfId="189" priority="201" operator="equal">
      <formula>#REF!</formula>
    </cfRule>
    <cfRule type="cellIs" dxfId="188" priority="202" operator="equal">
      <formula>#REF!</formula>
    </cfRule>
  </conditionalFormatting>
  <conditionalFormatting sqref="AB37:AB42">
    <cfRule type="cellIs" dxfId="187" priority="180" operator="equal">
      <formula>"Muy Alta"</formula>
    </cfRule>
    <cfRule type="cellIs" dxfId="186" priority="181" operator="equal">
      <formula>"Alta"</formula>
    </cfRule>
    <cfRule type="cellIs" dxfId="185" priority="182" operator="equal">
      <formula>"Media"</formula>
    </cfRule>
    <cfRule type="cellIs" dxfId="184" priority="183" operator="equal">
      <formula>"Baja"</formula>
    </cfRule>
    <cfRule type="cellIs" dxfId="183" priority="184" operator="equal">
      <formula>"Muy Baja"</formula>
    </cfRule>
  </conditionalFormatting>
  <conditionalFormatting sqref="AD37:AD42">
    <cfRule type="cellIs" dxfId="182" priority="175" operator="equal">
      <formula>"Catastrófico"</formula>
    </cfRule>
    <cfRule type="cellIs" dxfId="181" priority="176" operator="equal">
      <formula>"Mayor"</formula>
    </cfRule>
    <cfRule type="cellIs" dxfId="180" priority="177" operator="equal">
      <formula>"Moderado"</formula>
    </cfRule>
    <cfRule type="cellIs" dxfId="179" priority="178" operator="equal">
      <formula>"Menor"</formula>
    </cfRule>
    <cfRule type="cellIs" dxfId="178" priority="179" operator="equal">
      <formula>"Leve"</formula>
    </cfRule>
  </conditionalFormatting>
  <conditionalFormatting sqref="AF37:AF42">
    <cfRule type="cellIs" dxfId="177" priority="171" operator="equal">
      <formula>"Extremo"</formula>
    </cfRule>
    <cfRule type="cellIs" dxfId="176" priority="172" operator="equal">
      <formula>"Alto"</formula>
    </cfRule>
    <cfRule type="cellIs" dxfId="175" priority="173" operator="equal">
      <formula>"Moderado"</formula>
    </cfRule>
    <cfRule type="cellIs" dxfId="174" priority="174" operator="equal">
      <formula>"Bajo"</formula>
    </cfRule>
  </conditionalFormatting>
  <conditionalFormatting sqref="J37">
    <cfRule type="cellIs" dxfId="173" priority="166" operator="equal">
      <formula>"Muy Alta"</formula>
    </cfRule>
    <cfRule type="cellIs" dxfId="172" priority="167" operator="equal">
      <formula>"Alta"</formula>
    </cfRule>
    <cfRule type="cellIs" dxfId="171" priority="168" operator="equal">
      <formula>"Media"</formula>
    </cfRule>
    <cfRule type="cellIs" dxfId="170" priority="169" operator="equal">
      <formula>"Baja"</formula>
    </cfRule>
    <cfRule type="cellIs" dxfId="169" priority="170" operator="equal">
      <formula>"Muy Baja"</formula>
    </cfRule>
  </conditionalFormatting>
  <conditionalFormatting sqref="L37">
    <cfRule type="cellIs" dxfId="168" priority="161" operator="equal">
      <formula>"Catastrófico"</formula>
    </cfRule>
    <cfRule type="cellIs" dxfId="167" priority="162" operator="equal">
      <formula>"Mayor"</formula>
    </cfRule>
    <cfRule type="cellIs" dxfId="166" priority="163" operator="equal">
      <formula>"Moderado"</formula>
    </cfRule>
    <cfRule type="cellIs" dxfId="165" priority="164" operator="equal">
      <formula>"Menor"</formula>
    </cfRule>
    <cfRule type="cellIs" dxfId="164" priority="165" operator="equal">
      <formula>"Leve"</formula>
    </cfRule>
  </conditionalFormatting>
  <conditionalFormatting sqref="O37">
    <cfRule type="cellIs" dxfId="163" priority="157" operator="equal">
      <formula>"Extremo"</formula>
    </cfRule>
    <cfRule type="cellIs" dxfId="162" priority="158" operator="equal">
      <formula>"Alto"</formula>
    </cfRule>
    <cfRule type="cellIs" dxfId="161" priority="159" operator="equal">
      <formula>"Moderado"</formula>
    </cfRule>
    <cfRule type="cellIs" dxfId="160" priority="160" operator="equal">
      <formula>"Bajo"</formula>
    </cfRule>
  </conditionalFormatting>
  <conditionalFormatting sqref="B37">
    <cfRule type="cellIs" dxfId="159" priority="139" operator="equal">
      <formula>#REF!</formula>
    </cfRule>
    <cfRule type="cellIs" dxfId="158" priority="140" operator="equal">
      <formula>#REF!</formula>
    </cfRule>
    <cfRule type="cellIs" dxfId="157" priority="141" operator="equal">
      <formula>#REF!</formula>
    </cfRule>
    <cfRule type="cellIs" dxfId="156" priority="142" operator="equal">
      <formula>#REF!</formula>
    </cfRule>
    <cfRule type="cellIs" dxfId="155" priority="143" operator="equal">
      <formula>#REF!</formula>
    </cfRule>
    <cfRule type="cellIs" dxfId="154" priority="144" operator="equal">
      <formula>#REF!</formula>
    </cfRule>
    <cfRule type="cellIs" dxfId="153" priority="145" operator="equal">
      <formula>#REF!</formula>
    </cfRule>
    <cfRule type="cellIs" dxfId="152" priority="146" operator="equal">
      <formula>#REF!</formula>
    </cfRule>
    <cfRule type="cellIs" dxfId="151" priority="147" operator="equal">
      <formula>#REF!</formula>
    </cfRule>
    <cfRule type="cellIs" dxfId="150" priority="148" operator="equal">
      <formula>#REF!</formula>
    </cfRule>
    <cfRule type="cellIs" dxfId="149" priority="149" operator="equal">
      <formula>#REF!</formula>
    </cfRule>
    <cfRule type="cellIs" dxfId="148" priority="150" operator="equal">
      <formula>#REF!</formula>
    </cfRule>
    <cfRule type="cellIs" dxfId="147" priority="151" operator="equal">
      <formula>#REF!</formula>
    </cfRule>
    <cfRule type="cellIs" dxfId="146" priority="152" operator="equal">
      <formula>#REF!</formula>
    </cfRule>
    <cfRule type="cellIs" dxfId="145" priority="153" operator="equal">
      <formula>#REF!</formula>
    </cfRule>
    <cfRule type="cellIs" dxfId="144" priority="154" operator="equal">
      <formula>#REF!</formula>
    </cfRule>
    <cfRule type="cellIs" dxfId="143" priority="155" operator="equal">
      <formula>#REF!</formula>
    </cfRule>
    <cfRule type="cellIs" dxfId="142" priority="156" operator="equal">
      <formula>#REF!</formula>
    </cfRule>
  </conditionalFormatting>
  <conditionalFormatting sqref="AB31:AB36">
    <cfRule type="cellIs" dxfId="141" priority="134" operator="equal">
      <formula>"Muy Alta"</formula>
    </cfRule>
    <cfRule type="cellIs" dxfId="140" priority="135" operator="equal">
      <formula>"Alta"</formula>
    </cfRule>
    <cfRule type="cellIs" dxfId="139" priority="136" operator="equal">
      <formula>"Media"</formula>
    </cfRule>
    <cfRule type="cellIs" dxfId="138" priority="137" operator="equal">
      <formula>"Baja"</formula>
    </cfRule>
    <cfRule type="cellIs" dxfId="137" priority="138" operator="equal">
      <formula>"Muy Baja"</formula>
    </cfRule>
  </conditionalFormatting>
  <conditionalFormatting sqref="AD31:AD36">
    <cfRule type="cellIs" dxfId="136" priority="129" operator="equal">
      <formula>"Catastrófico"</formula>
    </cfRule>
    <cfRule type="cellIs" dxfId="135" priority="130" operator="equal">
      <formula>"Mayor"</formula>
    </cfRule>
    <cfRule type="cellIs" dxfId="134" priority="131" operator="equal">
      <formula>"Moderado"</formula>
    </cfRule>
    <cfRule type="cellIs" dxfId="133" priority="132" operator="equal">
      <formula>"Menor"</formula>
    </cfRule>
    <cfRule type="cellIs" dxfId="132" priority="133" operator="equal">
      <formula>"Leve"</formula>
    </cfRule>
  </conditionalFormatting>
  <conditionalFormatting sqref="AF31:AF36">
    <cfRule type="cellIs" dxfId="131" priority="125" operator="equal">
      <formula>"Extremo"</formula>
    </cfRule>
    <cfRule type="cellIs" dxfId="130" priority="126" operator="equal">
      <formula>"Alto"</formula>
    </cfRule>
    <cfRule type="cellIs" dxfId="129" priority="127" operator="equal">
      <formula>"Moderado"</formula>
    </cfRule>
    <cfRule type="cellIs" dxfId="128" priority="128" operator="equal">
      <formula>"Bajo"</formula>
    </cfRule>
  </conditionalFormatting>
  <conditionalFormatting sqref="J31">
    <cfRule type="cellIs" dxfId="127" priority="120" operator="equal">
      <formula>"Muy Alta"</formula>
    </cfRule>
    <cfRule type="cellIs" dxfId="126" priority="121" operator="equal">
      <formula>"Alta"</formula>
    </cfRule>
    <cfRule type="cellIs" dxfId="125" priority="122" operator="equal">
      <formula>"Media"</formula>
    </cfRule>
    <cfRule type="cellIs" dxfId="124" priority="123" operator="equal">
      <formula>"Baja"</formula>
    </cfRule>
    <cfRule type="cellIs" dxfId="123" priority="124" operator="equal">
      <formula>"Muy Baja"</formula>
    </cfRule>
  </conditionalFormatting>
  <conditionalFormatting sqref="L31">
    <cfRule type="cellIs" dxfId="122" priority="115" operator="equal">
      <formula>"Catastrófico"</formula>
    </cfRule>
    <cfRule type="cellIs" dxfId="121" priority="116" operator="equal">
      <formula>"Mayor"</formula>
    </cfRule>
    <cfRule type="cellIs" dxfId="120" priority="117" operator="equal">
      <formula>"Moderado"</formula>
    </cfRule>
    <cfRule type="cellIs" dxfId="119" priority="118" operator="equal">
      <formula>"Menor"</formula>
    </cfRule>
    <cfRule type="cellIs" dxfId="118" priority="119" operator="equal">
      <formula>"Leve"</formula>
    </cfRule>
  </conditionalFormatting>
  <conditionalFormatting sqref="O31">
    <cfRule type="cellIs" dxfId="117" priority="111" operator="equal">
      <formula>"Extremo"</formula>
    </cfRule>
    <cfRule type="cellIs" dxfId="116" priority="112" operator="equal">
      <formula>"Alto"</formula>
    </cfRule>
    <cfRule type="cellIs" dxfId="115" priority="113" operator="equal">
      <formula>"Moderado"</formula>
    </cfRule>
    <cfRule type="cellIs" dxfId="114" priority="114" operator="equal">
      <formula>"Bajo"</formula>
    </cfRule>
  </conditionalFormatting>
  <conditionalFormatting sqref="B31">
    <cfRule type="cellIs" dxfId="113" priority="93" operator="equal">
      <formula>#REF!</formula>
    </cfRule>
    <cfRule type="cellIs" dxfId="112" priority="94" operator="equal">
      <formula>#REF!</formula>
    </cfRule>
    <cfRule type="cellIs" dxfId="111" priority="95" operator="equal">
      <formula>#REF!</formula>
    </cfRule>
    <cfRule type="cellIs" dxfId="110" priority="96" operator="equal">
      <formula>#REF!</formula>
    </cfRule>
    <cfRule type="cellIs" dxfId="109" priority="97" operator="equal">
      <formula>#REF!</formula>
    </cfRule>
    <cfRule type="cellIs" dxfId="108" priority="98" operator="equal">
      <formula>#REF!</formula>
    </cfRule>
    <cfRule type="cellIs" dxfId="107" priority="99" operator="equal">
      <formula>#REF!</formula>
    </cfRule>
    <cfRule type="cellIs" dxfId="106" priority="100" operator="equal">
      <formula>#REF!</formula>
    </cfRule>
    <cfRule type="cellIs" dxfId="105" priority="101" operator="equal">
      <formula>#REF!</formula>
    </cfRule>
    <cfRule type="cellIs" dxfId="104" priority="102" operator="equal">
      <formula>#REF!</formula>
    </cfRule>
    <cfRule type="cellIs" dxfId="103" priority="103" operator="equal">
      <formula>#REF!</formula>
    </cfRule>
    <cfRule type="cellIs" dxfId="102" priority="104" operator="equal">
      <formula>#REF!</formula>
    </cfRule>
    <cfRule type="cellIs" dxfId="101" priority="105" operator="equal">
      <formula>#REF!</formula>
    </cfRule>
    <cfRule type="cellIs" dxfId="100" priority="106" operator="equal">
      <formula>#REF!</formula>
    </cfRule>
    <cfRule type="cellIs" dxfId="99" priority="107" operator="equal">
      <formula>#REF!</formula>
    </cfRule>
    <cfRule type="cellIs" dxfId="98" priority="108" operator="equal">
      <formula>#REF!</formula>
    </cfRule>
    <cfRule type="cellIs" dxfId="97" priority="109" operator="equal">
      <formula>#REF!</formula>
    </cfRule>
    <cfRule type="cellIs" dxfId="96" priority="110" operator="equal">
      <formula>#REF!</formula>
    </cfRule>
  </conditionalFormatting>
  <conditionalFormatting sqref="AB55:AB60">
    <cfRule type="cellIs" dxfId="95" priority="88" operator="equal">
      <formula>"Muy Alta"</formula>
    </cfRule>
    <cfRule type="cellIs" dxfId="94" priority="89" operator="equal">
      <formula>"Alta"</formula>
    </cfRule>
    <cfRule type="cellIs" dxfId="93" priority="90" operator="equal">
      <formula>"Media"</formula>
    </cfRule>
    <cfRule type="cellIs" dxfId="92" priority="91" operator="equal">
      <formula>"Baja"</formula>
    </cfRule>
    <cfRule type="cellIs" dxfId="91" priority="92" operator="equal">
      <formula>"Muy Baja"</formula>
    </cfRule>
  </conditionalFormatting>
  <conditionalFormatting sqref="AD55:AD60">
    <cfRule type="cellIs" dxfId="90" priority="83" operator="equal">
      <formula>"Catastrófico"</formula>
    </cfRule>
    <cfRule type="cellIs" dxfId="89" priority="84" operator="equal">
      <formula>"Mayor"</formula>
    </cfRule>
    <cfRule type="cellIs" dxfId="88" priority="85" operator="equal">
      <formula>"Moderado"</formula>
    </cfRule>
    <cfRule type="cellIs" dxfId="87" priority="86" operator="equal">
      <formula>"Menor"</formula>
    </cfRule>
    <cfRule type="cellIs" dxfId="86" priority="87" operator="equal">
      <formula>"Leve"</formula>
    </cfRule>
  </conditionalFormatting>
  <conditionalFormatting sqref="AF55:AF60">
    <cfRule type="cellIs" dxfId="85" priority="79" operator="equal">
      <formula>"Extremo"</formula>
    </cfRule>
    <cfRule type="cellIs" dxfId="84" priority="80" operator="equal">
      <formula>"Alto"</formula>
    </cfRule>
    <cfRule type="cellIs" dxfId="83" priority="81" operator="equal">
      <formula>"Moderado"</formula>
    </cfRule>
    <cfRule type="cellIs" dxfId="82" priority="82" operator="equal">
      <formula>"Bajo"</formula>
    </cfRule>
  </conditionalFormatting>
  <conditionalFormatting sqref="J55">
    <cfRule type="cellIs" dxfId="81" priority="74" operator="equal">
      <formula>"Muy Alta"</formula>
    </cfRule>
    <cfRule type="cellIs" dxfId="80" priority="75" operator="equal">
      <formula>"Alta"</formula>
    </cfRule>
    <cfRule type="cellIs" dxfId="79" priority="76" operator="equal">
      <formula>"Media"</formula>
    </cfRule>
    <cfRule type="cellIs" dxfId="78" priority="77" operator="equal">
      <formula>"Baja"</formula>
    </cfRule>
    <cfRule type="cellIs" dxfId="77" priority="78" operator="equal">
      <formula>"Muy Baja"</formula>
    </cfRule>
  </conditionalFormatting>
  <conditionalFormatting sqref="L55">
    <cfRule type="cellIs" dxfId="76" priority="69" operator="equal">
      <formula>"Catastrófico"</formula>
    </cfRule>
    <cfRule type="cellIs" dxfId="75" priority="70" operator="equal">
      <formula>"Mayor"</formula>
    </cfRule>
    <cfRule type="cellIs" dxfId="74" priority="71" operator="equal">
      <formula>"Moderado"</formula>
    </cfRule>
    <cfRule type="cellIs" dxfId="73" priority="72" operator="equal">
      <formula>"Menor"</formula>
    </cfRule>
    <cfRule type="cellIs" dxfId="72" priority="73" operator="equal">
      <formula>"Leve"</formula>
    </cfRule>
  </conditionalFormatting>
  <conditionalFormatting sqref="O55">
    <cfRule type="cellIs" dxfId="71" priority="65" operator="equal">
      <formula>"Extremo"</formula>
    </cfRule>
    <cfRule type="cellIs" dxfId="70" priority="66" operator="equal">
      <formula>"Alto"</formula>
    </cfRule>
    <cfRule type="cellIs" dxfId="69" priority="67" operator="equal">
      <formula>"Moderado"</formula>
    </cfRule>
    <cfRule type="cellIs" dxfId="68" priority="68" operator="equal">
      <formula>"Bajo"</formula>
    </cfRule>
  </conditionalFormatting>
  <conditionalFormatting sqref="B55">
    <cfRule type="cellIs" dxfId="67" priority="47" operator="equal">
      <formula>#REF!</formula>
    </cfRule>
    <cfRule type="cellIs" dxfId="66" priority="48" operator="equal">
      <formula>#REF!</formula>
    </cfRule>
    <cfRule type="cellIs" dxfId="65" priority="49" operator="equal">
      <formula>#REF!</formula>
    </cfRule>
    <cfRule type="cellIs" dxfId="64" priority="50" operator="equal">
      <formula>#REF!</formula>
    </cfRule>
    <cfRule type="cellIs" dxfId="63" priority="51" operator="equal">
      <formula>#REF!</formula>
    </cfRule>
    <cfRule type="cellIs" dxfId="62" priority="52" operator="equal">
      <formula>#REF!</formula>
    </cfRule>
    <cfRule type="cellIs" dxfId="61" priority="53" operator="equal">
      <formula>#REF!</formula>
    </cfRule>
    <cfRule type="cellIs" dxfId="60" priority="54" operator="equal">
      <formula>#REF!</formula>
    </cfRule>
    <cfRule type="cellIs" dxfId="59" priority="55" operator="equal">
      <formula>#REF!</formula>
    </cfRule>
    <cfRule type="cellIs" dxfId="58" priority="56" operator="equal">
      <formula>#REF!</formula>
    </cfRule>
    <cfRule type="cellIs" dxfId="57" priority="57" operator="equal">
      <formula>#REF!</formula>
    </cfRule>
    <cfRule type="cellIs" dxfId="56" priority="58" operator="equal">
      <formula>#REF!</formula>
    </cfRule>
    <cfRule type="cellIs" dxfId="55" priority="59" operator="equal">
      <formula>#REF!</formula>
    </cfRule>
    <cfRule type="cellIs" dxfId="54" priority="60" operator="equal">
      <formula>#REF!</formula>
    </cfRule>
    <cfRule type="cellIs" dxfId="53" priority="61" operator="equal">
      <formula>#REF!</formula>
    </cfRule>
    <cfRule type="cellIs" dxfId="52" priority="62" operator="equal">
      <formula>#REF!</formula>
    </cfRule>
    <cfRule type="cellIs" dxfId="51" priority="63" operator="equal">
      <formula>#REF!</formula>
    </cfRule>
    <cfRule type="cellIs" dxfId="50" priority="64" operator="equal">
      <formula>#REF!</formula>
    </cfRule>
  </conditionalFormatting>
  <conditionalFormatting sqref="AB49:AB54">
    <cfRule type="cellIs" dxfId="49" priority="42" operator="equal">
      <formula>"Muy Alta"</formula>
    </cfRule>
    <cfRule type="cellIs" dxfId="48" priority="43" operator="equal">
      <formula>"Alta"</formula>
    </cfRule>
    <cfRule type="cellIs" dxfId="47" priority="44" operator="equal">
      <formula>"Media"</formula>
    </cfRule>
    <cfRule type="cellIs" dxfId="46" priority="45" operator="equal">
      <formula>"Baja"</formula>
    </cfRule>
    <cfRule type="cellIs" dxfId="45" priority="46" operator="equal">
      <formula>"Muy Baja"</formula>
    </cfRule>
  </conditionalFormatting>
  <conditionalFormatting sqref="AD49:AD54">
    <cfRule type="cellIs" dxfId="44" priority="37" operator="equal">
      <formula>"Catastrófico"</formula>
    </cfRule>
    <cfRule type="cellIs" dxfId="43" priority="38" operator="equal">
      <formula>"Mayor"</formula>
    </cfRule>
    <cfRule type="cellIs" dxfId="42" priority="39" operator="equal">
      <formula>"Moderado"</formula>
    </cfRule>
    <cfRule type="cellIs" dxfId="41" priority="40" operator="equal">
      <formula>"Menor"</formula>
    </cfRule>
    <cfRule type="cellIs" dxfId="40" priority="41" operator="equal">
      <formula>"Leve"</formula>
    </cfRule>
  </conditionalFormatting>
  <conditionalFormatting sqref="AF49:AF54">
    <cfRule type="cellIs" dxfId="39" priority="33" operator="equal">
      <formula>"Extremo"</formula>
    </cfRule>
    <cfRule type="cellIs" dxfId="38" priority="34" operator="equal">
      <formula>"Alto"</formula>
    </cfRule>
    <cfRule type="cellIs" dxfId="37" priority="35" operator="equal">
      <formula>"Moderado"</formula>
    </cfRule>
    <cfRule type="cellIs" dxfId="36" priority="36" operator="equal">
      <formula>"Bajo"</formula>
    </cfRule>
  </conditionalFormatting>
  <conditionalFormatting sqref="J49">
    <cfRule type="cellIs" dxfId="35" priority="28" operator="equal">
      <formula>"Muy Alta"</formula>
    </cfRule>
    <cfRule type="cellIs" dxfId="34" priority="29" operator="equal">
      <formula>"Alta"</formula>
    </cfRule>
    <cfRule type="cellIs" dxfId="33" priority="30" operator="equal">
      <formula>"Media"</formula>
    </cfRule>
    <cfRule type="cellIs" dxfId="32" priority="31" operator="equal">
      <formula>"Baja"</formula>
    </cfRule>
    <cfRule type="cellIs" dxfId="31" priority="32" operator="equal">
      <formula>"Muy Baja"</formula>
    </cfRule>
  </conditionalFormatting>
  <conditionalFormatting sqref="L49">
    <cfRule type="cellIs" dxfId="30" priority="23" operator="equal">
      <formula>"Catastrófico"</formula>
    </cfRule>
    <cfRule type="cellIs" dxfId="29" priority="24" operator="equal">
      <formula>"Mayor"</formula>
    </cfRule>
    <cfRule type="cellIs" dxfId="28" priority="25" operator="equal">
      <formula>"Moderado"</formula>
    </cfRule>
    <cfRule type="cellIs" dxfId="27" priority="26" operator="equal">
      <formula>"Menor"</formula>
    </cfRule>
    <cfRule type="cellIs" dxfId="26" priority="27" operator="equal">
      <formula>"Leve"</formula>
    </cfRule>
  </conditionalFormatting>
  <conditionalFormatting sqref="O49">
    <cfRule type="cellIs" dxfId="25" priority="19" operator="equal">
      <formula>"Extremo"</formula>
    </cfRule>
    <cfRule type="cellIs" dxfId="24" priority="20" operator="equal">
      <formula>"Alto"</formula>
    </cfRule>
    <cfRule type="cellIs" dxfId="23" priority="21" operator="equal">
      <formula>"Moderado"</formula>
    </cfRule>
    <cfRule type="cellIs" dxfId="22" priority="22" operator="equal">
      <formula>"Bajo"</formula>
    </cfRule>
  </conditionalFormatting>
  <conditionalFormatting sqref="B49">
    <cfRule type="cellIs" dxfId="21" priority="1" operator="equal">
      <formula>#REF!</formula>
    </cfRule>
    <cfRule type="cellIs" dxfId="20" priority="2" operator="equal">
      <formula>#REF!</formula>
    </cfRule>
    <cfRule type="cellIs" dxfId="19" priority="3" operator="equal">
      <formula>#REF!</formula>
    </cfRule>
    <cfRule type="cellIs" dxfId="18" priority="4" operator="equal">
      <formula>#REF!</formula>
    </cfRule>
    <cfRule type="cellIs" dxfId="17" priority="5" operator="equal">
      <formula>#REF!</formula>
    </cfRule>
    <cfRule type="cellIs" dxfId="16" priority="6" operator="equal">
      <formula>#REF!</formula>
    </cfRule>
    <cfRule type="cellIs" dxfId="15" priority="7" operator="equal">
      <formula>#REF!</formula>
    </cfRule>
    <cfRule type="cellIs" dxfId="14" priority="8" operator="equal">
      <formula>#REF!</formula>
    </cfRule>
    <cfRule type="cellIs" dxfId="13" priority="9" operator="equal">
      <formula>#REF!</formula>
    </cfRule>
    <cfRule type="cellIs" dxfId="12" priority="10" operator="equal">
      <formula>#REF!</formula>
    </cfRule>
    <cfRule type="cellIs" dxfId="11" priority="11" operator="equal">
      <formula>#REF!</formula>
    </cfRule>
    <cfRule type="cellIs" dxfId="10" priority="12" operator="equal">
      <formula>#REF!</formula>
    </cfRule>
    <cfRule type="cellIs" dxfId="9" priority="13" operator="equal">
      <formula>#REF!</formula>
    </cfRule>
    <cfRule type="cellIs" dxfId="8" priority="14" operator="equal">
      <formula>#REF!</formula>
    </cfRule>
    <cfRule type="cellIs" dxfId="7" priority="15" operator="equal">
      <formula>#REF!</formula>
    </cfRule>
    <cfRule type="cellIs" dxfId="6" priority="16" operator="equal">
      <formula>#REF!</formula>
    </cfRule>
    <cfRule type="cellIs" dxfId="5" priority="17" operator="equal">
      <formula>#REF!</formula>
    </cfRule>
    <cfRule type="cellIs" dxfId="4" priority="18" operator="equal">
      <formula>#REF!</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6">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AQ77:AQ78 AQ71:AQ72 AQ65:AQ66 AQ17:AQ18 AQ23:AQ24 AQ11:AQ12 AQ35:AQ36 AQ41:AQ42 AQ29:AQ30 AQ59:AQ60 AQ47:AQ48 AQ53:AQ54 AQ83:AQ108</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AP77:AP78 AP71:AP72 AP65:AP66 AP17:AP18 AP23:AP24 AP11:AP12 AP35:AP36 AP41:AP42 AP29:AP30 AP59:AP60 AP47:AP48 AP53:AP54 AP83:AP108</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AO77:AO78 AO71:AO72 AO65:AO66 AO17:AO18 AO23:AO24 AO11:AO12 AO35:AO36 AO41:AO42 AO29:AO30 AO59:AO60 AO47:AO48 AO53:AO54 AO83:AO108</xm:sqref>
        </x14:dataValidation>
        <x14:dataValidation type="custom" allowBlank="1" showInputMessage="1" showErrorMessage="1" error="Recuerde que las acciones se generan bajo la medida de mitigar el riesgo">
          <x14:formula1>
            <xm:f>IF(OR(AG11='Opciones Tratamiento'!$B$2,AG11='Opciones Tratamiento'!$B$3,AG11='Opciones Tratamiento'!$B$4),ISBLANK(AG11),ISTEXT(AG11))</xm:f>
          </x14:formula1>
          <xm:sqref>AM77:AN78 AM71:AN72 AM65:AN66 AM17:AN18 AM23:AN24 AM11:AN12 AM35:AN36 AM41:AN42 AM29:AN30 AM59:AN60 AM47:AN48 AM53:AN54 AM83:AN108</xm:sqref>
        </x14:dataValidation>
        <x14:dataValidation type="list" allowBlank="1" showInputMessage="1" showErrorMessage="1">
          <x14:formula1>
            <xm:f>Listas!$B$5:$B$33</xm:f>
          </x14:formula1>
          <xm:sqref>B7:B12 B19:B108</xm:sqref>
        </x14:dataValidation>
        <x14:dataValidation type="list" allowBlank="1" showInputMessage="1" showErrorMessage="1">
          <x14:formula1>
            <xm:f>Listas!$B$5:$B$34</xm:f>
          </x14:formula1>
          <xm:sqref>B13:B18</xm:sqref>
        </x14:dataValidation>
        <x14:dataValidation type="list" allowBlank="1" showInputMessage="1" showErrorMessage="1">
          <x14:formula1>
            <xm:f>'Opciones Tratamiento'!$B$2:$B$5</xm:f>
          </x14:formula1>
          <xm:sqref>AG7:AG108</xm:sqref>
        </x14:dataValidation>
        <x14:dataValidation type="list" allowBlank="1" showInputMessage="1" showErrorMessage="1">
          <x14:formula1>
            <xm:f>'Opciones Tratamiento'!$E$9:$E$10</xm:f>
          </x14:formula1>
          <xm:sqref>R7:R108</xm:sqref>
        </x14:dataValidation>
        <x14:dataValidation type="list" allowBlank="1" showInputMessage="1" showErrorMessage="1">
          <x14:formula1>
            <xm:f>'Opciones Tratamiento'!$B$15:$B$24</xm:f>
          </x14:formula1>
          <xm:sqref>G7:G108</xm:sqref>
        </x14:dataValidation>
        <x14:dataValidation type="list" allowBlank="1" showInputMessage="1" showErrorMessage="1">
          <x14:formula1>
            <xm:f>Listas!$K$5:$K$11</xm:f>
          </x14:formula1>
          <xm:sqref>C7:C108</xm:sqref>
        </x14:dataValidation>
        <x14:dataValidation type="list" allowBlank="1" showInputMessage="1" showErrorMessage="1">
          <x14:formula1>
            <xm:f>'Tabla Valoración controles'!$D$13:$D$14</xm:f>
          </x14:formula1>
          <xm:sqref>Z7:Z108</xm:sqref>
        </x14:dataValidation>
        <x14:dataValidation type="list" allowBlank="1" showInputMessage="1" showErrorMessage="1">
          <x14:formula1>
            <xm:f>'Tabla Valoración controles'!$D$11:$D$12</xm:f>
          </x14:formula1>
          <xm:sqref>Y7:Y108</xm:sqref>
        </x14:dataValidation>
        <x14:dataValidation type="list" allowBlank="1" showInputMessage="1" showErrorMessage="1">
          <x14:formula1>
            <xm:f>'Tabla Valoración controles'!$D$9:$D$10</xm:f>
          </x14:formula1>
          <xm:sqref>X7:X108</xm:sqref>
        </x14:dataValidation>
        <x14:dataValidation type="list" allowBlank="1" showInputMessage="1" showErrorMessage="1">
          <x14:formula1>
            <xm:f>'Tabla Valoración controles'!$D$7:$D$8</xm:f>
          </x14:formula1>
          <xm:sqref>V7:V108</xm:sqref>
        </x14:dataValidation>
        <x14:dataValidation type="list" allowBlank="1" showInputMessage="1" showErrorMessage="1">
          <x14:formula1>
            <xm:f>'Tabla Valoración controles'!$D$4:$D$6</xm:f>
          </x14:formula1>
          <xm:sqref>U7:U108</xm:sqref>
        </x14:dataValidation>
        <x14:dataValidation type="list" allowBlank="1" showInputMessage="1" showErrorMessage="1">
          <x14:formula1>
            <xm:f>'Impacto Corrupción'!$A$31:$A$33</xm:f>
          </x14:formula1>
          <xm:sqref>L7:L108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35"/>
  <sheetViews>
    <sheetView zoomScale="85" zoomScaleNormal="85" workbookViewId="0">
      <selection activeCell="A32" sqref="A32"/>
    </sheetView>
  </sheetViews>
  <sheetFormatPr baseColWidth="10" defaultColWidth="11.42578125" defaultRowHeight="15" x14ac:dyDescent="0.25"/>
  <cols>
    <col min="1" max="1" width="20.140625" customWidth="1"/>
    <col min="2" max="2" width="111.42578125" bestFit="1" customWidth="1"/>
    <col min="3" max="3" width="7" customWidth="1"/>
    <col min="4" max="4" width="8.5703125" customWidth="1"/>
    <col min="6" max="6" width="17.5703125" customWidth="1"/>
    <col min="7" max="7" width="60.140625" customWidth="1"/>
  </cols>
  <sheetData>
    <row r="1" spans="1:4" ht="15.75" thickTop="1" x14ac:dyDescent="0.25">
      <c r="A1" s="580"/>
      <c r="B1" s="395" t="s">
        <v>274</v>
      </c>
      <c r="C1" s="395"/>
      <c r="D1" s="396"/>
    </row>
    <row r="2" spans="1:4" x14ac:dyDescent="0.25">
      <c r="A2" s="581"/>
      <c r="B2" s="397" t="s">
        <v>589</v>
      </c>
      <c r="C2" s="397"/>
      <c r="D2" s="398"/>
    </row>
    <row r="3" spans="1:4" ht="15.75" thickBot="1" x14ac:dyDescent="0.3">
      <c r="A3" s="582"/>
      <c r="B3" s="207"/>
      <c r="C3" s="207"/>
      <c r="D3" s="206"/>
    </row>
    <row r="4" spans="1:4" ht="16.5" thickTop="1" thickBot="1" x14ac:dyDescent="0.3">
      <c r="A4" s="233"/>
      <c r="B4" s="183"/>
      <c r="C4" s="138"/>
      <c r="D4" s="183"/>
    </row>
    <row r="5" spans="1:4" ht="24.75" customHeight="1" thickBot="1" x14ac:dyDescent="0.3">
      <c r="A5" s="583" t="s">
        <v>217</v>
      </c>
      <c r="B5" s="584"/>
      <c r="C5" s="584"/>
      <c r="D5" s="584"/>
    </row>
    <row r="6" spans="1:4" ht="23.25" customHeight="1" thickBot="1" x14ac:dyDescent="0.3">
      <c r="A6" s="585" t="s">
        <v>216</v>
      </c>
      <c r="B6" s="586"/>
      <c r="C6" s="586"/>
      <c r="D6" s="587"/>
    </row>
    <row r="7" spans="1:4" ht="15.75" thickBot="1" x14ac:dyDescent="0.3">
      <c r="A7" s="184" t="s">
        <v>212</v>
      </c>
      <c r="B7" s="185" t="s">
        <v>215</v>
      </c>
      <c r="C7" s="588" t="s">
        <v>214</v>
      </c>
      <c r="D7" s="589"/>
    </row>
    <row r="8" spans="1:4" ht="33.75" customHeight="1" thickBot="1" x14ac:dyDescent="0.3">
      <c r="A8" s="578" t="s">
        <v>213</v>
      </c>
      <c r="B8" s="579"/>
      <c r="C8" s="590" t="s">
        <v>291</v>
      </c>
      <c r="D8" s="591"/>
    </row>
    <row r="9" spans="1:4" ht="15.75" thickBot="1" x14ac:dyDescent="0.3">
      <c r="A9" s="186">
        <v>1</v>
      </c>
      <c r="B9" s="187" t="s">
        <v>211</v>
      </c>
      <c r="C9" s="578"/>
      <c r="D9" s="579"/>
    </row>
    <row r="10" spans="1:4" ht="15.75" thickBot="1" x14ac:dyDescent="0.3">
      <c r="A10" s="186">
        <v>2</v>
      </c>
      <c r="B10" s="187" t="s">
        <v>210</v>
      </c>
      <c r="C10" s="578"/>
      <c r="D10" s="579"/>
    </row>
    <row r="11" spans="1:4" ht="15.75" thickBot="1" x14ac:dyDescent="0.3">
      <c r="A11" s="186">
        <v>3</v>
      </c>
      <c r="B11" s="187" t="s">
        <v>209</v>
      </c>
      <c r="C11" s="578"/>
      <c r="D11" s="579"/>
    </row>
    <row r="12" spans="1:4" ht="15.75" thickBot="1" x14ac:dyDescent="0.3">
      <c r="A12" s="186">
        <v>4</v>
      </c>
      <c r="B12" s="187" t="s">
        <v>208</v>
      </c>
      <c r="C12" s="578"/>
      <c r="D12" s="579"/>
    </row>
    <row r="13" spans="1:4" ht="15.75" thickBot="1" x14ac:dyDescent="0.3">
      <c r="A13" s="186">
        <v>5</v>
      </c>
      <c r="B13" s="187" t="s">
        <v>207</v>
      </c>
      <c r="C13" s="578"/>
      <c r="D13" s="579"/>
    </row>
    <row r="14" spans="1:4" ht="15.75" thickBot="1" x14ac:dyDescent="0.3">
      <c r="A14" s="186">
        <v>6</v>
      </c>
      <c r="B14" s="187" t="s">
        <v>206</v>
      </c>
      <c r="C14" s="578"/>
      <c r="D14" s="579"/>
    </row>
    <row r="15" spans="1:4" ht="15.75" thickBot="1" x14ac:dyDescent="0.3">
      <c r="A15" s="186">
        <v>7</v>
      </c>
      <c r="B15" s="187" t="s">
        <v>205</v>
      </c>
      <c r="C15" s="578"/>
      <c r="D15" s="579"/>
    </row>
    <row r="16" spans="1:4" ht="15.75" thickBot="1" x14ac:dyDescent="0.3">
      <c r="A16" s="186">
        <v>8</v>
      </c>
      <c r="B16" s="187" t="s">
        <v>204</v>
      </c>
      <c r="C16" s="578"/>
      <c r="D16" s="579"/>
    </row>
    <row r="17" spans="1:4" ht="15.75" thickBot="1" x14ac:dyDescent="0.3">
      <c r="A17" s="186">
        <v>9</v>
      </c>
      <c r="B17" s="187" t="s">
        <v>203</v>
      </c>
      <c r="C17" s="578"/>
      <c r="D17" s="579"/>
    </row>
    <row r="18" spans="1:4" ht="15.75" thickBot="1" x14ac:dyDescent="0.3">
      <c r="A18" s="186">
        <v>10</v>
      </c>
      <c r="B18" s="187" t="s">
        <v>202</v>
      </c>
      <c r="C18" s="578"/>
      <c r="D18" s="579"/>
    </row>
    <row r="19" spans="1:4" ht="15.75" thickBot="1" x14ac:dyDescent="0.3">
      <c r="A19" s="186">
        <v>11</v>
      </c>
      <c r="B19" s="187" t="s">
        <v>201</v>
      </c>
      <c r="C19" s="578"/>
      <c r="D19" s="579"/>
    </row>
    <row r="20" spans="1:4" ht="15.75" thickBot="1" x14ac:dyDescent="0.3">
      <c r="A20" s="186">
        <v>12</v>
      </c>
      <c r="B20" s="187" t="s">
        <v>200</v>
      </c>
      <c r="C20" s="578"/>
      <c r="D20" s="579"/>
    </row>
    <row r="21" spans="1:4" ht="15.75" thickBot="1" x14ac:dyDescent="0.3">
      <c r="A21" s="186">
        <v>13</v>
      </c>
      <c r="B21" s="187" t="s">
        <v>199</v>
      </c>
      <c r="C21" s="578"/>
      <c r="D21" s="579"/>
    </row>
    <row r="22" spans="1:4" ht="15.75" thickBot="1" x14ac:dyDescent="0.3">
      <c r="A22" s="186">
        <v>14</v>
      </c>
      <c r="B22" s="187" t="s">
        <v>198</v>
      </c>
      <c r="C22" s="578"/>
      <c r="D22" s="579"/>
    </row>
    <row r="23" spans="1:4" ht="15.75" thickBot="1" x14ac:dyDescent="0.3">
      <c r="A23" s="186">
        <v>15</v>
      </c>
      <c r="B23" s="187" t="s">
        <v>197</v>
      </c>
      <c r="C23" s="578"/>
      <c r="D23" s="579"/>
    </row>
    <row r="24" spans="1:4" ht="15.75" thickBot="1" x14ac:dyDescent="0.3">
      <c r="A24" s="186">
        <v>16</v>
      </c>
      <c r="B24" s="187" t="s">
        <v>196</v>
      </c>
      <c r="C24" s="578"/>
      <c r="D24" s="579"/>
    </row>
    <row r="25" spans="1:4" ht="15.75" thickBot="1" x14ac:dyDescent="0.3">
      <c r="A25" s="186">
        <v>17</v>
      </c>
      <c r="B25" s="187" t="s">
        <v>195</v>
      </c>
      <c r="C25" s="578"/>
      <c r="D25" s="579"/>
    </row>
    <row r="26" spans="1:4" ht="15.75" thickBot="1" x14ac:dyDescent="0.3">
      <c r="A26" s="186">
        <v>18</v>
      </c>
      <c r="B26" s="187" t="s">
        <v>194</v>
      </c>
      <c r="C26" s="578"/>
      <c r="D26" s="579"/>
    </row>
    <row r="27" spans="1:4" ht="15.75" thickBot="1" x14ac:dyDescent="0.3">
      <c r="A27" s="186">
        <v>19</v>
      </c>
      <c r="B27" s="187" t="s">
        <v>193</v>
      </c>
      <c r="C27" s="578"/>
      <c r="D27" s="579"/>
    </row>
    <row r="28" spans="1:4" ht="15.75" customHeight="1" thickBot="1" x14ac:dyDescent="0.3">
      <c r="A28" s="188"/>
      <c r="B28" s="188"/>
      <c r="C28" s="188"/>
      <c r="D28" s="188"/>
    </row>
    <row r="29" spans="1:4" ht="15.75" thickBot="1" x14ac:dyDescent="0.3">
      <c r="A29" s="588" t="s">
        <v>190</v>
      </c>
      <c r="B29" s="589"/>
      <c r="C29" s="592"/>
      <c r="D29" s="593"/>
    </row>
    <row r="30" spans="1:4" x14ac:dyDescent="0.25">
      <c r="A30" s="189" t="s">
        <v>192</v>
      </c>
      <c r="B30" s="189" t="s">
        <v>191</v>
      </c>
      <c r="C30" s="188"/>
      <c r="D30" s="188"/>
    </row>
    <row r="31" spans="1:4" x14ac:dyDescent="0.25">
      <c r="A31" s="190">
        <v>3</v>
      </c>
      <c r="B31" s="191" t="s">
        <v>189</v>
      </c>
      <c r="C31" s="188"/>
      <c r="D31" s="188"/>
    </row>
    <row r="32" spans="1:4" x14ac:dyDescent="0.25">
      <c r="A32" s="190">
        <v>4</v>
      </c>
      <c r="B32" s="191" t="s">
        <v>188</v>
      </c>
      <c r="C32" s="188"/>
      <c r="D32" s="188"/>
    </row>
    <row r="33" spans="1:7" ht="16.5" x14ac:dyDescent="0.25">
      <c r="A33" s="190">
        <v>5</v>
      </c>
      <c r="B33" s="191" t="s">
        <v>187</v>
      </c>
      <c r="C33" s="188"/>
      <c r="D33" s="188"/>
      <c r="F33" s="2"/>
    </row>
    <row r="34" spans="1:7" ht="16.5" x14ac:dyDescent="0.25">
      <c r="B34" s="2"/>
      <c r="F34" s="2"/>
      <c r="G34" s="136"/>
    </row>
    <row r="35" spans="1:7" ht="16.5" x14ac:dyDescent="0.25">
      <c r="A35" s="17" t="s">
        <v>292</v>
      </c>
      <c r="B35" s="2"/>
      <c r="F35" s="2"/>
      <c r="G35" s="136"/>
    </row>
  </sheetData>
  <mergeCells count="29">
    <mergeCell ref="A29:B29"/>
    <mergeCell ref="C29:D29"/>
    <mergeCell ref="C23:D23"/>
    <mergeCell ref="C24:D24"/>
    <mergeCell ref="C25:D25"/>
    <mergeCell ref="C26:D26"/>
    <mergeCell ref="C27:D27"/>
    <mergeCell ref="C17:D17"/>
    <mergeCell ref="C18:D18"/>
    <mergeCell ref="C19:D19"/>
    <mergeCell ref="C20:D20"/>
    <mergeCell ref="C22:D22"/>
    <mergeCell ref="C21:D21"/>
    <mergeCell ref="C12:D12"/>
    <mergeCell ref="C13:D13"/>
    <mergeCell ref="C14:D14"/>
    <mergeCell ref="C15:D15"/>
    <mergeCell ref="C16:D16"/>
    <mergeCell ref="C10:D10"/>
    <mergeCell ref="C11:D11"/>
    <mergeCell ref="A1:A3"/>
    <mergeCell ref="B1:D1"/>
    <mergeCell ref="B2:D2"/>
    <mergeCell ref="C9:D9"/>
    <mergeCell ref="A5:D5"/>
    <mergeCell ref="A6:D6"/>
    <mergeCell ref="C7:D7"/>
    <mergeCell ref="A8:B8"/>
    <mergeCell ref="C8:D8"/>
  </mergeCells>
  <pageMargins left="0.7" right="0.7" top="0.75" bottom="0.75" header="0.3" footer="0.3"/>
  <pageSetup scale="43" orientation="portrait" horizontalDpi="300" verticalDpi="300" r:id="rId1"/>
  <colBreaks count="1" manualBreakCount="1">
    <brk id="1" min="4" max="30"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Listas!$B$47:$B$48</xm:f>
          </x14:formula1>
          <xm:sqref>C9:D27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30" zoomScaleNormal="30" workbookViewId="0"/>
  </sheetViews>
  <sheetFormatPr baseColWidth="10" defaultColWidth="11.42578125" defaultRowHeight="15" x14ac:dyDescent="0.25"/>
  <cols>
    <col min="2" max="39" width="5.7109375" customWidth="1"/>
    <col min="41" max="46" width="5.7109375" customWidth="1"/>
  </cols>
  <sheetData>
    <row r="1" spans="1:99"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spans="1:99" ht="18" customHeight="1" x14ac:dyDescent="0.25">
      <c r="A2" s="72"/>
      <c r="B2" s="594" t="s">
        <v>127</v>
      </c>
      <c r="C2" s="594"/>
      <c r="D2" s="594"/>
      <c r="E2" s="594"/>
      <c r="F2" s="594"/>
      <c r="G2" s="594"/>
      <c r="H2" s="594"/>
      <c r="I2" s="594"/>
      <c r="J2" s="631" t="s">
        <v>1</v>
      </c>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row>
    <row r="3" spans="1:99" ht="18.75" customHeight="1" x14ac:dyDescent="0.25">
      <c r="A3" s="72"/>
      <c r="B3" s="594"/>
      <c r="C3" s="594"/>
      <c r="D3" s="594"/>
      <c r="E3" s="594"/>
      <c r="F3" s="594"/>
      <c r="G3" s="594"/>
      <c r="H3" s="594"/>
      <c r="I3" s="594"/>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row>
    <row r="4" spans="1:99" ht="15" customHeight="1" x14ac:dyDescent="0.25">
      <c r="A4" s="72"/>
      <c r="B4" s="594"/>
      <c r="C4" s="594"/>
      <c r="D4" s="594"/>
      <c r="E4" s="594"/>
      <c r="F4" s="594"/>
      <c r="G4" s="594"/>
      <c r="H4" s="594"/>
      <c r="I4" s="594"/>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row>
    <row r="5" spans="1:99"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row>
    <row r="6" spans="1:99" ht="15" customHeight="1" x14ac:dyDescent="0.25">
      <c r="A6" s="72"/>
      <c r="B6" s="642" t="s">
        <v>3</v>
      </c>
      <c r="C6" s="642"/>
      <c r="D6" s="643"/>
      <c r="E6" s="632" t="s">
        <v>100</v>
      </c>
      <c r="F6" s="633"/>
      <c r="G6" s="633"/>
      <c r="H6" s="633"/>
      <c r="I6" s="634"/>
      <c r="J6" s="628" t="e">
        <f>IF(AND('R. Gestión '!#REF!="Muy Alta",'R. Gestión '!#REF!="Leve"),CONCATENATE("R",'R. Gestión '!#REF!),"")</f>
        <v>#REF!</v>
      </c>
      <c r="K6" s="629"/>
      <c r="L6" s="629" t="str">
        <f ca="1">IF(AND('R. Gestión '!$K$31="Muy Alta",'R. Gestión '!$O$31="Leve"),CONCATENATE("R",'R. Gestión '!$A$31),"")</f>
        <v/>
      </c>
      <c r="M6" s="629"/>
      <c r="N6" s="629" t="e">
        <f>IF(AND('R. Gestión '!#REF!="Muy Alta",'R. Gestión '!#REF!="Leve"),CONCATENATE("R",'R. Gestión '!#REF!),"")</f>
        <v>#REF!</v>
      </c>
      <c r="O6" s="630"/>
      <c r="P6" s="628" t="e">
        <f>IF(AND('R. Gestión '!#REF!="Muy Alta",'R. Gestión '!#REF!="Menor"),CONCATENATE("R",'R. Gestión '!#REF!),"")</f>
        <v>#REF!</v>
      </c>
      <c r="Q6" s="629"/>
      <c r="R6" s="629" t="str">
        <f ca="1">IF(AND('R. Gestión '!$K$31="Muy Alta",'R. Gestión '!$O$31="Menor"),CONCATENATE("R",'R. Gestión '!$A$31),"")</f>
        <v/>
      </c>
      <c r="S6" s="629"/>
      <c r="T6" s="629" t="e">
        <f>IF(AND('R. Gestión '!#REF!="Muy Alta",'R. Gestión '!#REF!="Menor"),CONCATENATE("R",'R. Gestión '!#REF!),"")</f>
        <v>#REF!</v>
      </c>
      <c r="U6" s="630"/>
      <c r="V6" s="628" t="e">
        <f>IF(AND('R. Gestión '!#REF!="Muy Alta",'R. Gestión '!#REF!="Moderado"),CONCATENATE("R",'R. Gestión '!#REF!),"")</f>
        <v>#REF!</v>
      </c>
      <c r="W6" s="629"/>
      <c r="X6" s="629" t="str">
        <f ca="1">IF(AND('R. Gestión '!$K$31="Muy Alta",'R. Gestión '!$O$31="Moderado"),CONCATENATE("R",'R. Gestión '!$A$31),"")</f>
        <v/>
      </c>
      <c r="Y6" s="629"/>
      <c r="Z6" s="629" t="e">
        <f>IF(AND('R. Gestión '!#REF!="Muy Alta",'R. Gestión '!#REF!="Moderado"),CONCATENATE("R",'R. Gestión '!#REF!),"")</f>
        <v>#REF!</v>
      </c>
      <c r="AA6" s="630"/>
      <c r="AB6" s="628" t="e">
        <f>IF(AND('R. Gestión '!#REF!="Muy Alta",'R. Gestión '!#REF!="Mayor"),CONCATENATE("R",'R. Gestión '!#REF!),"")</f>
        <v>#REF!</v>
      </c>
      <c r="AC6" s="629"/>
      <c r="AD6" s="629" t="str">
        <f ca="1">IF(AND('R. Gestión '!$K$31="Muy Alta",'R. Gestión '!$O$31="Mayor"),CONCATENATE("R",'R. Gestión '!$A$31),"")</f>
        <v/>
      </c>
      <c r="AE6" s="629"/>
      <c r="AF6" s="629" t="e">
        <f>IF(AND('R. Gestión '!#REF!="Muy Alta",'R. Gestión '!#REF!="Mayor"),CONCATENATE("R",'R. Gestión '!#REF!),"")</f>
        <v>#REF!</v>
      </c>
      <c r="AG6" s="630"/>
      <c r="AH6" s="619" t="e">
        <f>IF(AND('R. Gestión '!#REF!="Muy Alta",'R. Gestión '!#REF!="Catastrófico"),CONCATENATE("R",'R. Gestión '!#REF!),"")</f>
        <v>#REF!</v>
      </c>
      <c r="AI6" s="620"/>
      <c r="AJ6" s="620" t="str">
        <f ca="1">IF(AND('R. Gestión '!$K$31="Muy Alta",'R. Gestión '!$O$31="Catastrófico"),CONCATENATE("R",'R. Gestión '!$A$31),"")</f>
        <v/>
      </c>
      <c r="AK6" s="620"/>
      <c r="AL6" s="620" t="e">
        <f>IF(AND('R. Gestión '!#REF!="Muy Alta",'R. Gestión '!#REF!="Catastrófico"),CONCATENATE("R",'R. Gestión '!#REF!),"")</f>
        <v>#REF!</v>
      </c>
      <c r="AM6" s="621"/>
      <c r="AO6" s="644" t="s">
        <v>65</v>
      </c>
      <c r="AP6" s="645"/>
      <c r="AQ6" s="645"/>
      <c r="AR6" s="645"/>
      <c r="AS6" s="645"/>
      <c r="AT6" s="646"/>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row>
    <row r="7" spans="1:99" ht="15" customHeight="1" x14ac:dyDescent="0.25">
      <c r="A7" s="72"/>
      <c r="B7" s="642"/>
      <c r="C7" s="642"/>
      <c r="D7" s="643"/>
      <c r="E7" s="635"/>
      <c r="F7" s="636"/>
      <c r="G7" s="636"/>
      <c r="H7" s="636"/>
      <c r="I7" s="637"/>
      <c r="J7" s="622"/>
      <c r="K7" s="623"/>
      <c r="L7" s="623"/>
      <c r="M7" s="623"/>
      <c r="N7" s="623"/>
      <c r="O7" s="624"/>
      <c r="P7" s="622"/>
      <c r="Q7" s="623"/>
      <c r="R7" s="623"/>
      <c r="S7" s="623"/>
      <c r="T7" s="623"/>
      <c r="U7" s="624"/>
      <c r="V7" s="622"/>
      <c r="W7" s="623"/>
      <c r="X7" s="623"/>
      <c r="Y7" s="623"/>
      <c r="Z7" s="623"/>
      <c r="AA7" s="624"/>
      <c r="AB7" s="622"/>
      <c r="AC7" s="623"/>
      <c r="AD7" s="623"/>
      <c r="AE7" s="623"/>
      <c r="AF7" s="623"/>
      <c r="AG7" s="624"/>
      <c r="AH7" s="613"/>
      <c r="AI7" s="614"/>
      <c r="AJ7" s="614"/>
      <c r="AK7" s="614"/>
      <c r="AL7" s="614"/>
      <c r="AM7" s="615"/>
      <c r="AN7" s="72"/>
      <c r="AO7" s="647"/>
      <c r="AP7" s="648"/>
      <c r="AQ7" s="648"/>
      <c r="AR7" s="648"/>
      <c r="AS7" s="648"/>
      <c r="AT7" s="649"/>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row>
    <row r="8" spans="1:99" ht="15" customHeight="1" x14ac:dyDescent="0.25">
      <c r="A8" s="72"/>
      <c r="B8" s="642"/>
      <c r="C8" s="642"/>
      <c r="D8" s="643"/>
      <c r="E8" s="635"/>
      <c r="F8" s="636"/>
      <c r="G8" s="636"/>
      <c r="H8" s="636"/>
      <c r="I8" s="637"/>
      <c r="J8" s="622" t="str">
        <f ca="1">IF(AND('R. Gestión '!$K$271="Muy Alta",'R. Gestión '!$O$271="Leve"),CONCATENATE("R",'R. Gestión '!$A$271),"")</f>
        <v/>
      </c>
      <c r="K8" s="623"/>
      <c r="L8" s="623" t="str">
        <f ca="1">IF(AND('R. Gestión '!$K$289="Muy Alta",'R. Gestión '!$O$289="Leve"),CONCATENATE("R",'R. Gestión '!$A$289),"")</f>
        <v/>
      </c>
      <c r="M8" s="623"/>
      <c r="N8" s="623" t="str">
        <f ca="1">IF(AND('R. Gestión '!$K$295="Muy Alta",'R. Gestión '!$O$295="Leve"),CONCATENATE("R",'R. Gestión '!$A$295),"")</f>
        <v/>
      </c>
      <c r="O8" s="624"/>
      <c r="P8" s="622" t="str">
        <f ca="1">IF(AND('R. Gestión '!$K$271="Muy Alta",'R. Gestión '!$O$271="Menor"),CONCATENATE("R",'R. Gestión '!$A$271),"")</f>
        <v/>
      </c>
      <c r="Q8" s="623"/>
      <c r="R8" s="623" t="str">
        <f ca="1">IF(AND('R. Gestión '!$K$289="Muy Alta",'R. Gestión '!$O$289="Menor"),CONCATENATE("R",'R. Gestión '!$A$289),"")</f>
        <v/>
      </c>
      <c r="S8" s="623"/>
      <c r="T8" s="623" t="str">
        <f ca="1">IF(AND('R. Gestión '!$K$295="Muy Alta",'R. Gestión '!$O$295="Menor"),CONCATENATE("R",'R. Gestión '!$A$295),"")</f>
        <v/>
      </c>
      <c r="U8" s="624"/>
      <c r="V8" s="622" t="str">
        <f ca="1">IF(AND('R. Gestión '!$K$271="Muy Alta",'R. Gestión '!$O$271="Moderado"),CONCATENATE("R",'R. Gestión '!$A$271),"")</f>
        <v/>
      </c>
      <c r="W8" s="623"/>
      <c r="X8" s="623" t="str">
        <f ca="1">IF(AND('R. Gestión '!$K$289="Muy Alta",'R. Gestión '!$O$289="Moderado"),CONCATENATE("R",'R. Gestión '!$A$289),"")</f>
        <v/>
      </c>
      <c r="Y8" s="623"/>
      <c r="Z8" s="623" t="str">
        <f ca="1">IF(AND('R. Gestión '!$K$295="Muy Alta",'R. Gestión '!$O$295="Moderado"),CONCATENATE("R",'R. Gestión '!$A$295),"")</f>
        <v/>
      </c>
      <c r="AA8" s="624"/>
      <c r="AB8" s="622" t="str">
        <f ca="1">IF(AND('R. Gestión '!$K$271="Muy Alta",'R. Gestión '!$O$271="Mayor"),CONCATENATE("R",'R. Gestión '!$A$271),"")</f>
        <v/>
      </c>
      <c r="AC8" s="623"/>
      <c r="AD8" s="623" t="str">
        <f ca="1">IF(AND('R. Gestión '!$K$289="Muy Alta",'R. Gestión '!$O$289="Mayor"),CONCATENATE("R",'R. Gestión '!$A$289),"")</f>
        <v/>
      </c>
      <c r="AE8" s="623"/>
      <c r="AF8" s="623" t="str">
        <f ca="1">IF(AND('R. Gestión '!$K$295="Muy Alta",'R. Gestión '!$O$295="Mayor"),CONCATENATE("R",'R. Gestión '!$A$295),"")</f>
        <v/>
      </c>
      <c r="AG8" s="624"/>
      <c r="AH8" s="613" t="str">
        <f ca="1">IF(AND('R. Gestión '!$K$271="Muy Alta",'R. Gestión '!$O$271="Catastrófico"),CONCATENATE("R",'R. Gestión '!$A$271),"")</f>
        <v/>
      </c>
      <c r="AI8" s="614"/>
      <c r="AJ8" s="614" t="str">
        <f ca="1">IF(AND('R. Gestión '!$K$289="Muy Alta",'R. Gestión '!$O$289="Catastrófico"),CONCATENATE("R",'R. Gestión '!$A$289),"")</f>
        <v/>
      </c>
      <c r="AK8" s="614"/>
      <c r="AL8" s="614" t="str">
        <f ca="1">IF(AND('R. Gestión '!$K$295="Muy Alta",'R. Gestión '!$O$295="Catastrófico"),CONCATENATE("R",'R. Gestión '!$A$295),"")</f>
        <v/>
      </c>
      <c r="AM8" s="615"/>
      <c r="AN8" s="72"/>
      <c r="AO8" s="647"/>
      <c r="AP8" s="648"/>
      <c r="AQ8" s="648"/>
      <c r="AR8" s="648"/>
      <c r="AS8" s="648"/>
      <c r="AT8" s="649"/>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row>
    <row r="9" spans="1:99" ht="15" customHeight="1" x14ac:dyDescent="0.25">
      <c r="A9" s="72"/>
      <c r="B9" s="642"/>
      <c r="C9" s="642"/>
      <c r="D9" s="643"/>
      <c r="E9" s="635"/>
      <c r="F9" s="636"/>
      <c r="G9" s="636"/>
      <c r="H9" s="636"/>
      <c r="I9" s="637"/>
      <c r="J9" s="622"/>
      <c r="K9" s="623"/>
      <c r="L9" s="623"/>
      <c r="M9" s="623"/>
      <c r="N9" s="623"/>
      <c r="O9" s="624"/>
      <c r="P9" s="622"/>
      <c r="Q9" s="623"/>
      <c r="R9" s="623"/>
      <c r="S9" s="623"/>
      <c r="T9" s="623"/>
      <c r="U9" s="624"/>
      <c r="V9" s="622"/>
      <c r="W9" s="623"/>
      <c r="X9" s="623"/>
      <c r="Y9" s="623"/>
      <c r="Z9" s="623"/>
      <c r="AA9" s="624"/>
      <c r="AB9" s="622"/>
      <c r="AC9" s="623"/>
      <c r="AD9" s="623"/>
      <c r="AE9" s="623"/>
      <c r="AF9" s="623"/>
      <c r="AG9" s="624"/>
      <c r="AH9" s="613"/>
      <c r="AI9" s="614"/>
      <c r="AJ9" s="614"/>
      <c r="AK9" s="614"/>
      <c r="AL9" s="614"/>
      <c r="AM9" s="615"/>
      <c r="AN9" s="72"/>
      <c r="AO9" s="647"/>
      <c r="AP9" s="648"/>
      <c r="AQ9" s="648"/>
      <c r="AR9" s="648"/>
      <c r="AS9" s="648"/>
      <c r="AT9" s="649"/>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row>
    <row r="10" spans="1:99" ht="15" customHeight="1" x14ac:dyDescent="0.25">
      <c r="A10" s="72"/>
      <c r="B10" s="642"/>
      <c r="C10" s="642"/>
      <c r="D10" s="643"/>
      <c r="E10" s="635"/>
      <c r="F10" s="636"/>
      <c r="G10" s="636"/>
      <c r="H10" s="636"/>
      <c r="I10" s="637"/>
      <c r="J10" s="622" t="str">
        <f ca="1">IF(AND('R. Gestión '!$K$325="Muy Alta",'R. Gestión '!$O$325="Leve"),CONCATENATE("R",'R. Gestión '!$A$325),"")</f>
        <v/>
      </c>
      <c r="K10" s="623"/>
      <c r="L10" s="623" t="str">
        <f ca="1">IF(AND('R. Gestión '!$K$331="Muy Alta",'R. Gestión '!$O$331="Leve"),CONCATENATE("R",'R. Gestión '!$A$331),"")</f>
        <v/>
      </c>
      <c r="M10" s="623"/>
      <c r="N10" s="623" t="e">
        <f>IF(AND('R. Gestión '!#REF!="Muy Alta",'R. Gestión '!#REF!="Leve"),CONCATENATE("R",'R. Gestión '!#REF!),"")</f>
        <v>#REF!</v>
      </c>
      <c r="O10" s="624"/>
      <c r="P10" s="622" t="str">
        <f ca="1">IF(AND('R. Gestión '!$K$325="Muy Alta",'R. Gestión '!$O$325="Menor"),CONCATENATE("R",'R. Gestión '!$A$325),"")</f>
        <v/>
      </c>
      <c r="Q10" s="623"/>
      <c r="R10" s="623" t="str">
        <f ca="1">IF(AND('R. Gestión '!$K$331="Muy Alta",'R. Gestión '!$O$331="Menor"),CONCATENATE("R",'R. Gestión '!$A$331),"")</f>
        <v/>
      </c>
      <c r="S10" s="623"/>
      <c r="T10" s="623" t="e">
        <f>IF(AND('R. Gestión '!#REF!="Muy Alta",'R. Gestión '!#REF!="Menor"),CONCATENATE("R",'R. Gestión '!#REF!),"")</f>
        <v>#REF!</v>
      </c>
      <c r="U10" s="624"/>
      <c r="V10" s="622" t="str">
        <f ca="1">IF(AND('R. Gestión '!$K$325="Muy Alta",'R. Gestión '!$O$325="Moderado"),CONCATENATE("R",'R. Gestión '!$A$325),"")</f>
        <v/>
      </c>
      <c r="W10" s="623"/>
      <c r="X10" s="623" t="str">
        <f ca="1">IF(AND('R. Gestión '!$K$331="Muy Alta",'R. Gestión '!$O$331="Moderado"),CONCATENATE("R",'R. Gestión '!$A$331),"")</f>
        <v/>
      </c>
      <c r="Y10" s="623"/>
      <c r="Z10" s="623" t="e">
        <f>IF(AND('R. Gestión '!#REF!="Muy Alta",'R. Gestión '!#REF!="Moderado"),CONCATENATE("R",'R. Gestión '!#REF!),"")</f>
        <v>#REF!</v>
      </c>
      <c r="AA10" s="624"/>
      <c r="AB10" s="622" t="str">
        <f ca="1">IF(AND('R. Gestión '!$K$325="Muy Alta",'R. Gestión '!$O$325="Mayor"),CONCATENATE("R",'R. Gestión '!$A$325),"")</f>
        <v/>
      </c>
      <c r="AC10" s="623"/>
      <c r="AD10" s="623" t="str">
        <f ca="1">IF(AND('R. Gestión '!$K$331="Muy Alta",'R. Gestión '!$O$331="Mayor"),CONCATENATE("R",'R. Gestión '!$A$331),"")</f>
        <v/>
      </c>
      <c r="AE10" s="623"/>
      <c r="AF10" s="623" t="e">
        <f>IF(AND('R. Gestión '!#REF!="Muy Alta",'R. Gestión '!#REF!="Mayor"),CONCATENATE("R",'R. Gestión '!#REF!),"")</f>
        <v>#REF!</v>
      </c>
      <c r="AG10" s="624"/>
      <c r="AH10" s="613" t="str">
        <f ca="1">IF(AND('R. Gestión '!$K$325="Muy Alta",'R. Gestión '!$O$325="Catastrófico"),CONCATENATE("R",'R. Gestión '!$A$325),"")</f>
        <v/>
      </c>
      <c r="AI10" s="614"/>
      <c r="AJ10" s="614" t="str">
        <f ca="1">IF(AND('R. Gestión '!$K$331="Muy Alta",'R. Gestión '!$O$331="Catastrófico"),CONCATENATE("R",'R. Gestión '!$A$331),"")</f>
        <v/>
      </c>
      <c r="AK10" s="614"/>
      <c r="AL10" s="614" t="e">
        <f>IF(AND('R. Gestión '!#REF!="Muy Alta",'R. Gestión '!#REF!="Catastrófico"),CONCATENATE("R",'R. Gestión '!#REF!),"")</f>
        <v>#REF!</v>
      </c>
      <c r="AM10" s="615"/>
      <c r="AN10" s="72"/>
      <c r="AO10" s="647"/>
      <c r="AP10" s="648"/>
      <c r="AQ10" s="648"/>
      <c r="AR10" s="648"/>
      <c r="AS10" s="648"/>
      <c r="AT10" s="649"/>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row>
    <row r="11" spans="1:99" ht="15" customHeight="1" x14ac:dyDescent="0.25">
      <c r="A11" s="72"/>
      <c r="B11" s="642"/>
      <c r="C11" s="642"/>
      <c r="D11" s="643"/>
      <c r="E11" s="635"/>
      <c r="F11" s="636"/>
      <c r="G11" s="636"/>
      <c r="H11" s="636"/>
      <c r="I11" s="637"/>
      <c r="J11" s="622"/>
      <c r="K11" s="623"/>
      <c r="L11" s="623"/>
      <c r="M11" s="623"/>
      <c r="N11" s="623"/>
      <c r="O11" s="624"/>
      <c r="P11" s="622"/>
      <c r="Q11" s="623"/>
      <c r="R11" s="623"/>
      <c r="S11" s="623"/>
      <c r="T11" s="623"/>
      <c r="U11" s="624"/>
      <c r="V11" s="622"/>
      <c r="W11" s="623"/>
      <c r="X11" s="623"/>
      <c r="Y11" s="623"/>
      <c r="Z11" s="623"/>
      <c r="AA11" s="624"/>
      <c r="AB11" s="622"/>
      <c r="AC11" s="623"/>
      <c r="AD11" s="623"/>
      <c r="AE11" s="623"/>
      <c r="AF11" s="623"/>
      <c r="AG11" s="624"/>
      <c r="AH11" s="613"/>
      <c r="AI11" s="614"/>
      <c r="AJ11" s="614"/>
      <c r="AK11" s="614"/>
      <c r="AL11" s="614"/>
      <c r="AM11" s="615"/>
      <c r="AN11" s="72"/>
      <c r="AO11" s="647"/>
      <c r="AP11" s="648"/>
      <c r="AQ11" s="648"/>
      <c r="AR11" s="648"/>
      <c r="AS11" s="648"/>
      <c r="AT11" s="649"/>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row>
    <row r="12" spans="1:99" ht="15" customHeight="1" x14ac:dyDescent="0.25">
      <c r="A12" s="72"/>
      <c r="B12" s="642"/>
      <c r="C12" s="642"/>
      <c r="D12" s="643"/>
      <c r="E12" s="635"/>
      <c r="F12" s="636"/>
      <c r="G12" s="636"/>
      <c r="H12" s="636"/>
      <c r="I12" s="637"/>
      <c r="J12" s="622" t="e">
        <f>IF(AND('R. Gestión '!#REF!="Muy Alta",'R. Gestión '!#REF!="Leve"),CONCATENATE("R",'R. Gestión '!#REF!),"")</f>
        <v>#REF!</v>
      </c>
      <c r="K12" s="623"/>
      <c r="L12" s="623" t="e">
        <f>IF(AND('R. Gestión '!#REF!="Muy Alta",'R. Gestión '!#REF!="Leve"),CONCATENATE("R",'R. Gestión '!#REF!),"")</f>
        <v>#REF!</v>
      </c>
      <c r="M12" s="623"/>
      <c r="N12" s="623" t="e">
        <f>IF(AND('R. Gestión '!#REF!="Muy Alta",'R. Gestión '!#REF!="Leve"),CONCATENATE("R",'R. Gestión '!#REF!),"")</f>
        <v>#REF!</v>
      </c>
      <c r="O12" s="624"/>
      <c r="P12" s="622" t="e">
        <f>IF(AND('R. Gestión '!#REF!="Muy Alta",'R. Gestión '!#REF!="Menor"),CONCATENATE("R",'R. Gestión '!#REF!),"")</f>
        <v>#REF!</v>
      </c>
      <c r="Q12" s="623"/>
      <c r="R12" s="623" t="e">
        <f>IF(AND('R. Gestión '!#REF!="Muy Alta",'R. Gestión '!#REF!="Menor"),CONCATENATE("R",'R. Gestión '!#REF!),"")</f>
        <v>#REF!</v>
      </c>
      <c r="S12" s="623"/>
      <c r="T12" s="623" t="e">
        <f>IF(AND('R. Gestión '!#REF!="Muy Alta",'R. Gestión '!#REF!="Menor"),CONCATENATE("R",'R. Gestión '!#REF!),"")</f>
        <v>#REF!</v>
      </c>
      <c r="U12" s="624"/>
      <c r="V12" s="622" t="e">
        <f>IF(AND('R. Gestión '!#REF!="Muy Alta",'R. Gestión '!#REF!="Moderado"),CONCATENATE("R",'R. Gestión '!#REF!),"")</f>
        <v>#REF!</v>
      </c>
      <c r="W12" s="623"/>
      <c r="X12" s="623" t="e">
        <f>IF(AND('R. Gestión '!#REF!="Muy Alta",'R. Gestión '!#REF!="Moderado"),CONCATENATE("R",'R. Gestión '!#REF!),"")</f>
        <v>#REF!</v>
      </c>
      <c r="Y12" s="623"/>
      <c r="Z12" s="623" t="e">
        <f>IF(AND('R. Gestión '!#REF!="Muy Alta",'R. Gestión '!#REF!="Moderado"),CONCATENATE("R",'R. Gestión '!#REF!),"")</f>
        <v>#REF!</v>
      </c>
      <c r="AA12" s="624"/>
      <c r="AB12" s="622" t="e">
        <f>IF(AND('R. Gestión '!#REF!="Muy Alta",'R. Gestión '!#REF!="Mayor"),CONCATENATE("R",'R. Gestión '!#REF!),"")</f>
        <v>#REF!</v>
      </c>
      <c r="AC12" s="623"/>
      <c r="AD12" s="623" t="e">
        <f>IF(AND('R. Gestión '!#REF!="Muy Alta",'R. Gestión '!#REF!="Mayor"),CONCATENATE("R",'R. Gestión '!#REF!),"")</f>
        <v>#REF!</v>
      </c>
      <c r="AE12" s="623"/>
      <c r="AF12" s="623" t="e">
        <f>IF(AND('R. Gestión '!#REF!="Muy Alta",'R. Gestión '!#REF!="Mayor"),CONCATENATE("R",'R. Gestión '!#REF!),"")</f>
        <v>#REF!</v>
      </c>
      <c r="AG12" s="624"/>
      <c r="AH12" s="613" t="e">
        <f>IF(AND('R. Gestión '!#REF!="Muy Alta",'R. Gestión '!#REF!="Catastrófico"),CONCATENATE("R",'R. Gestión '!#REF!),"")</f>
        <v>#REF!</v>
      </c>
      <c r="AI12" s="614"/>
      <c r="AJ12" s="614" t="e">
        <f>IF(AND('R. Gestión '!#REF!="Muy Alta",'R. Gestión '!#REF!="Catastrófico"),CONCATENATE("R",'R. Gestión '!#REF!),"")</f>
        <v>#REF!</v>
      </c>
      <c r="AK12" s="614"/>
      <c r="AL12" s="614" t="e">
        <f>IF(AND('R. Gestión '!#REF!="Muy Alta",'R. Gestión '!#REF!="Catastrófico"),CONCATENATE("R",'R. Gestión '!#REF!),"")</f>
        <v>#REF!</v>
      </c>
      <c r="AM12" s="615"/>
      <c r="AN12" s="72"/>
      <c r="AO12" s="647"/>
      <c r="AP12" s="648"/>
      <c r="AQ12" s="648"/>
      <c r="AR12" s="648"/>
      <c r="AS12" s="648"/>
      <c r="AT12" s="649"/>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row>
    <row r="13" spans="1:99" ht="15.75" customHeight="1" thickBot="1" x14ac:dyDescent="0.3">
      <c r="A13" s="72"/>
      <c r="B13" s="642"/>
      <c r="C13" s="642"/>
      <c r="D13" s="643"/>
      <c r="E13" s="638"/>
      <c r="F13" s="639"/>
      <c r="G13" s="639"/>
      <c r="H13" s="639"/>
      <c r="I13" s="640"/>
      <c r="J13" s="622"/>
      <c r="K13" s="623"/>
      <c r="L13" s="623"/>
      <c r="M13" s="623"/>
      <c r="N13" s="623"/>
      <c r="O13" s="624"/>
      <c r="P13" s="622"/>
      <c r="Q13" s="623"/>
      <c r="R13" s="623"/>
      <c r="S13" s="623"/>
      <c r="T13" s="623"/>
      <c r="U13" s="624"/>
      <c r="V13" s="622"/>
      <c r="W13" s="623"/>
      <c r="X13" s="623"/>
      <c r="Y13" s="623"/>
      <c r="Z13" s="623"/>
      <c r="AA13" s="624"/>
      <c r="AB13" s="622"/>
      <c r="AC13" s="623"/>
      <c r="AD13" s="623"/>
      <c r="AE13" s="623"/>
      <c r="AF13" s="623"/>
      <c r="AG13" s="624"/>
      <c r="AH13" s="616"/>
      <c r="AI13" s="617"/>
      <c r="AJ13" s="617"/>
      <c r="AK13" s="617"/>
      <c r="AL13" s="617"/>
      <c r="AM13" s="618"/>
      <c r="AN13" s="72"/>
      <c r="AO13" s="650"/>
      <c r="AP13" s="651"/>
      <c r="AQ13" s="651"/>
      <c r="AR13" s="651"/>
      <c r="AS13" s="651"/>
      <c r="AT13" s="65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row>
    <row r="14" spans="1:99" ht="15" customHeight="1" x14ac:dyDescent="0.25">
      <c r="A14" s="72"/>
      <c r="B14" s="642"/>
      <c r="C14" s="642"/>
      <c r="D14" s="643"/>
      <c r="E14" s="632" t="s">
        <v>99</v>
      </c>
      <c r="F14" s="633"/>
      <c r="G14" s="633"/>
      <c r="H14" s="633"/>
      <c r="I14" s="633"/>
      <c r="J14" s="610" t="e">
        <f>IF(AND('R. Gestión '!#REF!="Alta",'R. Gestión '!#REF!="Leve"),CONCATENATE("R",'R. Gestión '!#REF!),"")</f>
        <v>#REF!</v>
      </c>
      <c r="K14" s="611"/>
      <c r="L14" s="611" t="str">
        <f ca="1">IF(AND('R. Gestión '!$K$31="Alta",'R. Gestión '!$O$31="Leve"),CONCATENATE("R",'R. Gestión '!$A$31),"")</f>
        <v/>
      </c>
      <c r="M14" s="611"/>
      <c r="N14" s="611" t="e">
        <f>IF(AND('R. Gestión '!#REF!="Alta",'R. Gestión '!#REF!="Leve"),CONCATENATE("R",'R. Gestión '!#REF!),"")</f>
        <v>#REF!</v>
      </c>
      <c r="O14" s="612"/>
      <c r="P14" s="610" t="e">
        <f>IF(AND('R. Gestión '!#REF!="Alta",'R. Gestión '!#REF!="Menor"),CONCATENATE("R",'R. Gestión '!#REF!),"")</f>
        <v>#REF!</v>
      </c>
      <c r="Q14" s="611"/>
      <c r="R14" s="611" t="str">
        <f ca="1">IF(AND('R. Gestión '!$K$31="Alta",'R. Gestión '!$O$31="Menor"),CONCATENATE("R",'R. Gestión '!$A$31),"")</f>
        <v/>
      </c>
      <c r="S14" s="611"/>
      <c r="T14" s="611" t="e">
        <f>IF(AND('R. Gestión '!#REF!="Alta",'R. Gestión '!#REF!="Menor"),CONCATENATE("R",'R. Gestión '!#REF!),"")</f>
        <v>#REF!</v>
      </c>
      <c r="U14" s="612"/>
      <c r="V14" s="628" t="e">
        <f>IF(AND('R. Gestión '!#REF!="Alta",'R. Gestión '!#REF!="Moderado"),CONCATENATE("R",'R. Gestión '!#REF!),"")</f>
        <v>#REF!</v>
      </c>
      <c r="W14" s="629"/>
      <c r="X14" s="629" t="str">
        <f ca="1">IF(AND('R. Gestión '!$K$31="Alta",'R. Gestión '!$O$31="Moderado"),CONCATENATE("R",'R. Gestión '!$A$31),"")</f>
        <v/>
      </c>
      <c r="Y14" s="629"/>
      <c r="Z14" s="629" t="e">
        <f>IF(AND('R. Gestión '!#REF!="Alta",'R. Gestión '!#REF!="Moderado"),CONCATENATE("R",'R. Gestión '!#REF!),"")</f>
        <v>#REF!</v>
      </c>
      <c r="AA14" s="630"/>
      <c r="AB14" s="628" t="e">
        <f>IF(AND('R. Gestión '!#REF!="Alta",'R. Gestión '!#REF!="Mayor"),CONCATENATE("R",'R. Gestión '!#REF!),"")</f>
        <v>#REF!</v>
      </c>
      <c r="AC14" s="629"/>
      <c r="AD14" s="629" t="str">
        <f ca="1">IF(AND('R. Gestión '!$K$31="Alta",'R. Gestión '!$O$31="Mayor"),CONCATENATE("R",'R. Gestión '!$A$31),"")</f>
        <v/>
      </c>
      <c r="AE14" s="629"/>
      <c r="AF14" s="629" t="e">
        <f>IF(AND('R. Gestión '!#REF!="Alta",'R. Gestión '!#REF!="Mayor"),CONCATENATE("R",'R. Gestión '!#REF!),"")</f>
        <v>#REF!</v>
      </c>
      <c r="AG14" s="630"/>
      <c r="AH14" s="619" t="e">
        <f>IF(AND('R. Gestión '!#REF!="Alta",'R. Gestión '!#REF!="Catastrófico"),CONCATENATE("R",'R. Gestión '!#REF!),"")</f>
        <v>#REF!</v>
      </c>
      <c r="AI14" s="620"/>
      <c r="AJ14" s="620" t="str">
        <f ca="1">IF(AND('R. Gestión '!$K$31="Alta",'R. Gestión '!$O$31="Catastrófico"),CONCATENATE("R",'R. Gestión '!$A$31),"")</f>
        <v/>
      </c>
      <c r="AK14" s="620"/>
      <c r="AL14" s="620" t="e">
        <f>IF(AND('R. Gestión '!#REF!="Alta",'R. Gestión '!#REF!="Catastrófico"),CONCATENATE("R",'R. Gestión '!#REF!),"")</f>
        <v>#REF!</v>
      </c>
      <c r="AM14" s="621"/>
      <c r="AN14" s="72"/>
      <c r="AO14" s="653" t="s">
        <v>66</v>
      </c>
      <c r="AP14" s="654"/>
      <c r="AQ14" s="654"/>
      <c r="AR14" s="654"/>
      <c r="AS14" s="654"/>
      <c r="AT14" s="655"/>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row>
    <row r="15" spans="1:99" ht="15" customHeight="1" x14ac:dyDescent="0.25">
      <c r="A15" s="72"/>
      <c r="B15" s="642"/>
      <c r="C15" s="642"/>
      <c r="D15" s="643"/>
      <c r="E15" s="635"/>
      <c r="F15" s="636"/>
      <c r="G15" s="636"/>
      <c r="H15" s="636"/>
      <c r="I15" s="636"/>
      <c r="J15" s="604"/>
      <c r="K15" s="605"/>
      <c r="L15" s="605"/>
      <c r="M15" s="605"/>
      <c r="N15" s="605"/>
      <c r="O15" s="606"/>
      <c r="P15" s="604"/>
      <c r="Q15" s="605"/>
      <c r="R15" s="605"/>
      <c r="S15" s="605"/>
      <c r="T15" s="605"/>
      <c r="U15" s="606"/>
      <c r="V15" s="622"/>
      <c r="W15" s="623"/>
      <c r="X15" s="623"/>
      <c r="Y15" s="623"/>
      <c r="Z15" s="623"/>
      <c r="AA15" s="624"/>
      <c r="AB15" s="622"/>
      <c r="AC15" s="623"/>
      <c r="AD15" s="623"/>
      <c r="AE15" s="623"/>
      <c r="AF15" s="623"/>
      <c r="AG15" s="624"/>
      <c r="AH15" s="613"/>
      <c r="AI15" s="614"/>
      <c r="AJ15" s="614"/>
      <c r="AK15" s="614"/>
      <c r="AL15" s="614"/>
      <c r="AM15" s="615"/>
      <c r="AN15" s="72"/>
      <c r="AO15" s="656"/>
      <c r="AP15" s="657"/>
      <c r="AQ15" s="657"/>
      <c r="AR15" s="657"/>
      <c r="AS15" s="657"/>
      <c r="AT15" s="658"/>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row>
    <row r="16" spans="1:99" ht="15" customHeight="1" x14ac:dyDescent="0.25">
      <c r="A16" s="72"/>
      <c r="B16" s="642"/>
      <c r="C16" s="642"/>
      <c r="D16" s="643"/>
      <c r="E16" s="635"/>
      <c r="F16" s="636"/>
      <c r="G16" s="636"/>
      <c r="H16" s="636"/>
      <c r="I16" s="636"/>
      <c r="J16" s="604" t="str">
        <f ca="1">IF(AND('R. Gestión '!$K$271="Alta",'R. Gestión '!$O$271="Leve"),CONCATENATE("R",'R. Gestión '!$A$271),"")</f>
        <v/>
      </c>
      <c r="K16" s="605"/>
      <c r="L16" s="605" t="str">
        <f ca="1">IF(AND('R. Gestión '!$K$289="Alta",'R. Gestión '!$O$289="Leve"),CONCATENATE("R",'R. Gestión '!$A$289),"")</f>
        <v/>
      </c>
      <c r="M16" s="605"/>
      <c r="N16" s="605" t="str">
        <f ca="1">IF(AND('R. Gestión '!$K$295="Alta",'R. Gestión '!$O$295="Leve"),CONCATENATE("R",'R. Gestión '!$A$295),"")</f>
        <v/>
      </c>
      <c r="O16" s="606"/>
      <c r="P16" s="604" t="str">
        <f ca="1">IF(AND('R. Gestión '!$K$271="Alta",'R. Gestión '!$O$271="Menor"),CONCATENATE("R",'R. Gestión '!$A$271),"")</f>
        <v/>
      </c>
      <c r="Q16" s="605"/>
      <c r="R16" s="605" t="str">
        <f ca="1">IF(AND('R. Gestión '!$K$289="Alta",'R. Gestión '!$O$289="Menor"),CONCATENATE("R",'R. Gestión '!$A$289),"")</f>
        <v/>
      </c>
      <c r="S16" s="605"/>
      <c r="T16" s="605" t="str">
        <f ca="1">IF(AND('R. Gestión '!$K$295="Alta",'R. Gestión '!$O$295="Menor"),CONCATENATE("R",'R. Gestión '!$A$295),"")</f>
        <v/>
      </c>
      <c r="U16" s="606"/>
      <c r="V16" s="622" t="str">
        <f ca="1">IF(AND('R. Gestión '!$K$271="Alta",'R. Gestión '!$O$271="Moderado"),CONCATENATE("R",'R. Gestión '!$A$271),"")</f>
        <v/>
      </c>
      <c r="W16" s="623"/>
      <c r="X16" s="623" t="str">
        <f ca="1">IF(AND('R. Gestión '!$K$289="Alta",'R. Gestión '!$O$289="Moderado"),CONCATENATE("R",'R. Gestión '!$A$289),"")</f>
        <v/>
      </c>
      <c r="Y16" s="623"/>
      <c r="Z16" s="623" t="str">
        <f ca="1">IF(AND('R. Gestión '!$K$295="Alta",'R. Gestión '!$O$295="Moderado"),CONCATENATE("R",'R. Gestión '!$A$295),"")</f>
        <v>RR59</v>
      </c>
      <c r="AA16" s="624"/>
      <c r="AB16" s="622" t="str">
        <f ca="1">IF(AND('R. Gestión '!$K$271="Alta",'R. Gestión '!$O$271="Mayor"),CONCATENATE("R",'R. Gestión '!$A$271),"")</f>
        <v/>
      </c>
      <c r="AC16" s="623"/>
      <c r="AD16" s="623" t="str">
        <f ca="1">IF(AND('R. Gestión '!$K$289="Alta",'R. Gestión '!$O$289="Mayor"),CONCATENATE("R",'R. Gestión '!$A$289),"")</f>
        <v/>
      </c>
      <c r="AE16" s="623"/>
      <c r="AF16" s="623" t="str">
        <f ca="1">IF(AND('R. Gestión '!$K$295="Alta",'R. Gestión '!$O$295="Mayor"),CONCATENATE("R",'R. Gestión '!$A$295),"")</f>
        <v/>
      </c>
      <c r="AG16" s="624"/>
      <c r="AH16" s="613" t="str">
        <f ca="1">IF(AND('R. Gestión '!$K$271="Alta",'R. Gestión '!$O$271="Catastrófico"),CONCATENATE("R",'R. Gestión '!$A$271),"")</f>
        <v/>
      </c>
      <c r="AI16" s="614"/>
      <c r="AJ16" s="614" t="str">
        <f ca="1">IF(AND('R. Gestión '!$K$289="Alta",'R. Gestión '!$O$289="Catastrófico"),CONCATENATE("R",'R. Gestión '!$A$289),"")</f>
        <v/>
      </c>
      <c r="AK16" s="614"/>
      <c r="AL16" s="614" t="str">
        <f ca="1">IF(AND('R. Gestión '!$K$295="Alta",'R. Gestión '!$O$295="Catastrófico"),CONCATENATE("R",'R. Gestión '!$A$295),"")</f>
        <v/>
      </c>
      <c r="AM16" s="615"/>
      <c r="AN16" s="72"/>
      <c r="AO16" s="656"/>
      <c r="AP16" s="657"/>
      <c r="AQ16" s="657"/>
      <c r="AR16" s="657"/>
      <c r="AS16" s="657"/>
      <c r="AT16" s="658"/>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row>
    <row r="17" spans="1:80" ht="15" customHeight="1" x14ac:dyDescent="0.25">
      <c r="A17" s="72"/>
      <c r="B17" s="642"/>
      <c r="C17" s="642"/>
      <c r="D17" s="643"/>
      <c r="E17" s="635"/>
      <c r="F17" s="636"/>
      <c r="G17" s="636"/>
      <c r="H17" s="636"/>
      <c r="I17" s="636"/>
      <c r="J17" s="604"/>
      <c r="K17" s="605"/>
      <c r="L17" s="605"/>
      <c r="M17" s="605"/>
      <c r="N17" s="605"/>
      <c r="O17" s="606"/>
      <c r="P17" s="604"/>
      <c r="Q17" s="605"/>
      <c r="R17" s="605"/>
      <c r="S17" s="605"/>
      <c r="T17" s="605"/>
      <c r="U17" s="606"/>
      <c r="V17" s="622"/>
      <c r="W17" s="623"/>
      <c r="X17" s="623"/>
      <c r="Y17" s="623"/>
      <c r="Z17" s="623"/>
      <c r="AA17" s="624"/>
      <c r="AB17" s="622"/>
      <c r="AC17" s="623"/>
      <c r="AD17" s="623"/>
      <c r="AE17" s="623"/>
      <c r="AF17" s="623"/>
      <c r="AG17" s="624"/>
      <c r="AH17" s="613"/>
      <c r="AI17" s="614"/>
      <c r="AJ17" s="614"/>
      <c r="AK17" s="614"/>
      <c r="AL17" s="614"/>
      <c r="AM17" s="615"/>
      <c r="AN17" s="72"/>
      <c r="AO17" s="656"/>
      <c r="AP17" s="657"/>
      <c r="AQ17" s="657"/>
      <c r="AR17" s="657"/>
      <c r="AS17" s="657"/>
      <c r="AT17" s="658"/>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row>
    <row r="18" spans="1:80" ht="15" customHeight="1" x14ac:dyDescent="0.25">
      <c r="A18" s="72"/>
      <c r="B18" s="642"/>
      <c r="C18" s="642"/>
      <c r="D18" s="643"/>
      <c r="E18" s="635"/>
      <c r="F18" s="636"/>
      <c r="G18" s="636"/>
      <c r="H18" s="636"/>
      <c r="I18" s="636"/>
      <c r="J18" s="604" t="str">
        <f ca="1">IF(AND('R. Gestión '!$K$325="Alta",'R. Gestión '!$O$325="Leve"),CONCATENATE("R",'R. Gestión '!$A$325),"")</f>
        <v/>
      </c>
      <c r="K18" s="605"/>
      <c r="L18" s="605" t="str">
        <f ca="1">IF(AND('R. Gestión '!$K$331="Alta",'R. Gestión '!$O$331="Leve"),CONCATENATE("R",'R. Gestión '!$A$331),"")</f>
        <v/>
      </c>
      <c r="M18" s="605"/>
      <c r="N18" s="605" t="e">
        <f>IF(AND('R. Gestión '!#REF!="Alta",'R. Gestión '!#REF!="Leve"),CONCATENATE("R",'R. Gestión '!#REF!),"")</f>
        <v>#REF!</v>
      </c>
      <c r="O18" s="606"/>
      <c r="P18" s="604" t="str">
        <f ca="1">IF(AND('R. Gestión '!$K$325="Alta",'R. Gestión '!$O$325="Menor"),CONCATENATE("R",'R. Gestión '!$A$325),"")</f>
        <v/>
      </c>
      <c r="Q18" s="605"/>
      <c r="R18" s="605" t="str">
        <f ca="1">IF(AND('R. Gestión '!$K$331="Alta",'R. Gestión '!$O$331="Menor"),CONCATENATE("R",'R. Gestión '!$A$331),"")</f>
        <v/>
      </c>
      <c r="S18" s="605"/>
      <c r="T18" s="605" t="e">
        <f>IF(AND('R. Gestión '!#REF!="Alta",'R. Gestión '!#REF!="Menor"),CONCATENATE("R",'R. Gestión '!#REF!),"")</f>
        <v>#REF!</v>
      </c>
      <c r="U18" s="606"/>
      <c r="V18" s="622" t="str">
        <f ca="1">IF(AND('R. Gestión '!$K$325="Alta",'R. Gestión '!$O$325="Moderado"),CONCATENATE("R",'R. Gestión '!$A$325),"")</f>
        <v/>
      </c>
      <c r="W18" s="623"/>
      <c r="X18" s="623" t="str">
        <f ca="1">IF(AND('R. Gestión '!$K$331="Alta",'R. Gestión '!$O$331="Moderado"),CONCATENATE("R",'R. Gestión '!$A$331),"")</f>
        <v/>
      </c>
      <c r="Y18" s="623"/>
      <c r="Z18" s="623" t="e">
        <f>IF(AND('R. Gestión '!#REF!="Alta",'R. Gestión '!#REF!="Moderado"),CONCATENATE("R",'R. Gestión '!#REF!),"")</f>
        <v>#REF!</v>
      </c>
      <c r="AA18" s="624"/>
      <c r="AB18" s="622" t="str">
        <f ca="1">IF(AND('R. Gestión '!$K$325="Alta",'R. Gestión '!$O$325="Mayor"),CONCATENATE("R",'R. Gestión '!$A$325),"")</f>
        <v/>
      </c>
      <c r="AC18" s="623"/>
      <c r="AD18" s="623" t="str">
        <f ca="1">IF(AND('R. Gestión '!$K$331="Alta",'R. Gestión '!$O$331="Mayor"),CONCATENATE("R",'R. Gestión '!$A$331),"")</f>
        <v/>
      </c>
      <c r="AE18" s="623"/>
      <c r="AF18" s="623" t="e">
        <f>IF(AND('R. Gestión '!#REF!="Alta",'R. Gestión '!#REF!="Mayor"),CONCATENATE("R",'R. Gestión '!#REF!),"")</f>
        <v>#REF!</v>
      </c>
      <c r="AG18" s="624"/>
      <c r="AH18" s="613" t="str">
        <f ca="1">IF(AND('R. Gestión '!$K$325="Alta",'R. Gestión '!$O$325="Catastrófico"),CONCATENATE("R",'R. Gestión '!$A$325),"")</f>
        <v/>
      </c>
      <c r="AI18" s="614"/>
      <c r="AJ18" s="614" t="str">
        <f ca="1">IF(AND('R. Gestión '!$K$331="Alta",'R. Gestión '!$O$331="Catastrófico"),CONCATENATE("R",'R. Gestión '!$A$331),"")</f>
        <v/>
      </c>
      <c r="AK18" s="614"/>
      <c r="AL18" s="614" t="e">
        <f>IF(AND('R. Gestión '!#REF!="Alta",'R. Gestión '!#REF!="Catastrófico"),CONCATENATE("R",'R. Gestión '!#REF!),"")</f>
        <v>#REF!</v>
      </c>
      <c r="AM18" s="615"/>
      <c r="AN18" s="72"/>
      <c r="AO18" s="656"/>
      <c r="AP18" s="657"/>
      <c r="AQ18" s="657"/>
      <c r="AR18" s="657"/>
      <c r="AS18" s="657"/>
      <c r="AT18" s="658"/>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row>
    <row r="19" spans="1:80" ht="15" customHeight="1" x14ac:dyDescent="0.25">
      <c r="A19" s="72"/>
      <c r="B19" s="642"/>
      <c r="C19" s="642"/>
      <c r="D19" s="643"/>
      <c r="E19" s="635"/>
      <c r="F19" s="636"/>
      <c r="G19" s="636"/>
      <c r="H19" s="636"/>
      <c r="I19" s="636"/>
      <c r="J19" s="604"/>
      <c r="K19" s="605"/>
      <c r="L19" s="605"/>
      <c r="M19" s="605"/>
      <c r="N19" s="605"/>
      <c r="O19" s="606"/>
      <c r="P19" s="604"/>
      <c r="Q19" s="605"/>
      <c r="R19" s="605"/>
      <c r="S19" s="605"/>
      <c r="T19" s="605"/>
      <c r="U19" s="606"/>
      <c r="V19" s="622"/>
      <c r="W19" s="623"/>
      <c r="X19" s="623"/>
      <c r="Y19" s="623"/>
      <c r="Z19" s="623"/>
      <c r="AA19" s="624"/>
      <c r="AB19" s="622"/>
      <c r="AC19" s="623"/>
      <c r="AD19" s="623"/>
      <c r="AE19" s="623"/>
      <c r="AF19" s="623"/>
      <c r="AG19" s="624"/>
      <c r="AH19" s="613"/>
      <c r="AI19" s="614"/>
      <c r="AJ19" s="614"/>
      <c r="AK19" s="614"/>
      <c r="AL19" s="614"/>
      <c r="AM19" s="615"/>
      <c r="AN19" s="72"/>
      <c r="AO19" s="656"/>
      <c r="AP19" s="657"/>
      <c r="AQ19" s="657"/>
      <c r="AR19" s="657"/>
      <c r="AS19" s="657"/>
      <c r="AT19" s="658"/>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row>
    <row r="20" spans="1:80" ht="15" customHeight="1" x14ac:dyDescent="0.25">
      <c r="A20" s="72"/>
      <c r="B20" s="642"/>
      <c r="C20" s="642"/>
      <c r="D20" s="643"/>
      <c r="E20" s="635"/>
      <c r="F20" s="636"/>
      <c r="G20" s="636"/>
      <c r="H20" s="636"/>
      <c r="I20" s="636"/>
      <c r="J20" s="604" t="e">
        <f>IF(AND('R. Gestión '!#REF!="Alta",'R. Gestión '!#REF!="Leve"),CONCATENATE("R",'R. Gestión '!#REF!),"")</f>
        <v>#REF!</v>
      </c>
      <c r="K20" s="605"/>
      <c r="L20" s="605" t="e">
        <f>IF(AND('R. Gestión '!#REF!="Alta",'R. Gestión '!#REF!="Leve"),CONCATENATE("R",'R. Gestión '!#REF!),"")</f>
        <v>#REF!</v>
      </c>
      <c r="M20" s="605"/>
      <c r="N20" s="605" t="e">
        <f>IF(AND('R. Gestión '!#REF!="Alta",'R. Gestión '!#REF!="Leve"),CONCATENATE("R",'R. Gestión '!#REF!),"")</f>
        <v>#REF!</v>
      </c>
      <c r="O20" s="606"/>
      <c r="P20" s="604" t="e">
        <f>IF(AND('R. Gestión '!#REF!="Alta",'R. Gestión '!#REF!="Menor"),CONCATENATE("R",'R. Gestión '!#REF!),"")</f>
        <v>#REF!</v>
      </c>
      <c r="Q20" s="605"/>
      <c r="R20" s="605" t="e">
        <f>IF(AND('R. Gestión '!#REF!="Alta",'R. Gestión '!#REF!="Menor"),CONCATENATE("R",'R. Gestión '!#REF!),"")</f>
        <v>#REF!</v>
      </c>
      <c r="S20" s="605"/>
      <c r="T20" s="605" t="e">
        <f>IF(AND('R. Gestión '!#REF!="Alta",'R. Gestión '!#REF!="Menor"),CONCATENATE("R",'R. Gestión '!#REF!),"")</f>
        <v>#REF!</v>
      </c>
      <c r="U20" s="606"/>
      <c r="V20" s="622" t="e">
        <f>IF(AND('R. Gestión '!#REF!="Alta",'R. Gestión '!#REF!="Moderado"),CONCATENATE("R",'R. Gestión '!#REF!),"")</f>
        <v>#REF!</v>
      </c>
      <c r="W20" s="623"/>
      <c r="X20" s="623" t="e">
        <f>IF(AND('R. Gestión '!#REF!="Alta",'R. Gestión '!#REF!="Moderado"),CONCATENATE("R",'R. Gestión '!#REF!),"")</f>
        <v>#REF!</v>
      </c>
      <c r="Y20" s="623"/>
      <c r="Z20" s="623" t="e">
        <f>IF(AND('R. Gestión '!#REF!="Alta",'R. Gestión '!#REF!="Moderado"),CONCATENATE("R",'R. Gestión '!#REF!),"")</f>
        <v>#REF!</v>
      </c>
      <c r="AA20" s="624"/>
      <c r="AB20" s="622" t="e">
        <f>IF(AND('R. Gestión '!#REF!="Alta",'R. Gestión '!#REF!="Mayor"),CONCATENATE("R",'R. Gestión '!#REF!),"")</f>
        <v>#REF!</v>
      </c>
      <c r="AC20" s="623"/>
      <c r="AD20" s="623" t="e">
        <f>IF(AND('R. Gestión '!#REF!="Alta",'R. Gestión '!#REF!="Mayor"),CONCATENATE("R",'R. Gestión '!#REF!),"")</f>
        <v>#REF!</v>
      </c>
      <c r="AE20" s="623"/>
      <c r="AF20" s="623" t="e">
        <f>IF(AND('R. Gestión '!#REF!="Alta",'R. Gestión '!#REF!="Mayor"),CONCATENATE("R",'R. Gestión '!#REF!),"")</f>
        <v>#REF!</v>
      </c>
      <c r="AG20" s="624"/>
      <c r="AH20" s="613" t="e">
        <f>IF(AND('R. Gestión '!#REF!="Alta",'R. Gestión '!#REF!="Catastrófico"),CONCATENATE("R",'R. Gestión '!#REF!),"")</f>
        <v>#REF!</v>
      </c>
      <c r="AI20" s="614"/>
      <c r="AJ20" s="614" t="e">
        <f>IF(AND('R. Gestión '!#REF!="Alta",'R. Gestión '!#REF!="Catastrófico"),CONCATENATE("R",'R. Gestión '!#REF!),"")</f>
        <v>#REF!</v>
      </c>
      <c r="AK20" s="614"/>
      <c r="AL20" s="614" t="e">
        <f>IF(AND('R. Gestión '!#REF!="Alta",'R. Gestión '!#REF!="Catastrófico"),CONCATENATE("R",'R. Gestión '!#REF!),"")</f>
        <v>#REF!</v>
      </c>
      <c r="AM20" s="615"/>
      <c r="AN20" s="72"/>
      <c r="AO20" s="656"/>
      <c r="AP20" s="657"/>
      <c r="AQ20" s="657"/>
      <c r="AR20" s="657"/>
      <c r="AS20" s="657"/>
      <c r="AT20" s="658"/>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row>
    <row r="21" spans="1:80" ht="15.75" customHeight="1" thickBot="1" x14ac:dyDescent="0.3">
      <c r="A21" s="72"/>
      <c r="B21" s="642"/>
      <c r="C21" s="642"/>
      <c r="D21" s="643"/>
      <c r="E21" s="638"/>
      <c r="F21" s="639"/>
      <c r="G21" s="639"/>
      <c r="H21" s="639"/>
      <c r="I21" s="639"/>
      <c r="J21" s="607"/>
      <c r="K21" s="608"/>
      <c r="L21" s="608"/>
      <c r="M21" s="608"/>
      <c r="N21" s="608"/>
      <c r="O21" s="609"/>
      <c r="P21" s="607"/>
      <c r="Q21" s="608"/>
      <c r="R21" s="608"/>
      <c r="S21" s="608"/>
      <c r="T21" s="608"/>
      <c r="U21" s="609"/>
      <c r="V21" s="625"/>
      <c r="W21" s="626"/>
      <c r="X21" s="626"/>
      <c r="Y21" s="626"/>
      <c r="Z21" s="626"/>
      <c r="AA21" s="627"/>
      <c r="AB21" s="625"/>
      <c r="AC21" s="626"/>
      <c r="AD21" s="626"/>
      <c r="AE21" s="626"/>
      <c r="AF21" s="626"/>
      <c r="AG21" s="627"/>
      <c r="AH21" s="616"/>
      <c r="AI21" s="617"/>
      <c r="AJ21" s="617"/>
      <c r="AK21" s="617"/>
      <c r="AL21" s="617"/>
      <c r="AM21" s="618"/>
      <c r="AN21" s="72"/>
      <c r="AO21" s="659"/>
      <c r="AP21" s="660"/>
      <c r="AQ21" s="660"/>
      <c r="AR21" s="660"/>
      <c r="AS21" s="660"/>
      <c r="AT21" s="661"/>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row>
    <row r="22" spans="1:80" x14ac:dyDescent="0.25">
      <c r="A22" s="72"/>
      <c r="B22" s="642"/>
      <c r="C22" s="642"/>
      <c r="D22" s="643"/>
      <c r="E22" s="632" t="s">
        <v>101</v>
      </c>
      <c r="F22" s="633"/>
      <c r="G22" s="633"/>
      <c r="H22" s="633"/>
      <c r="I22" s="634"/>
      <c r="J22" s="610" t="e">
        <f>IF(AND('R. Gestión '!#REF!="Media",'R. Gestión '!#REF!="Leve"),CONCATENATE("R",'R. Gestión '!#REF!),"")</f>
        <v>#REF!</v>
      </c>
      <c r="K22" s="611"/>
      <c r="L22" s="611" t="str">
        <f ca="1">IF(AND('R. Gestión '!$K$31="Media",'R. Gestión '!$O$31="Leve"),CONCATENATE("R",'R. Gestión '!$A$31),"")</f>
        <v/>
      </c>
      <c r="M22" s="611"/>
      <c r="N22" s="611" t="e">
        <f>IF(AND('R. Gestión '!#REF!="Media",'R. Gestión '!#REF!="Leve"),CONCATENATE("R",'R. Gestión '!#REF!),"")</f>
        <v>#REF!</v>
      </c>
      <c r="O22" s="612"/>
      <c r="P22" s="610" t="e">
        <f>IF(AND('R. Gestión '!#REF!="Media",'R. Gestión '!#REF!="Menor"),CONCATENATE("R",'R. Gestión '!#REF!),"")</f>
        <v>#REF!</v>
      </c>
      <c r="Q22" s="611"/>
      <c r="R22" s="611" t="str">
        <f ca="1">IF(AND('R. Gestión '!$K$31="Media",'R. Gestión '!$O$31="Menor"),CONCATENATE("R",'R. Gestión '!$A$31),"")</f>
        <v/>
      </c>
      <c r="S22" s="611"/>
      <c r="T22" s="611" t="e">
        <f>IF(AND('R. Gestión '!#REF!="Media",'R. Gestión '!#REF!="Menor"),CONCATENATE("R",'R. Gestión '!#REF!),"")</f>
        <v>#REF!</v>
      </c>
      <c r="U22" s="612"/>
      <c r="V22" s="610" t="e">
        <f>IF(AND('R. Gestión '!#REF!="Media",'R. Gestión '!#REF!="Moderado"),CONCATENATE("R",'R. Gestión '!#REF!),"")</f>
        <v>#REF!</v>
      </c>
      <c r="W22" s="611"/>
      <c r="X22" s="611" t="str">
        <f ca="1">IF(AND('R. Gestión '!$K$31="Media",'R. Gestión '!$O$31="Moderado"),CONCATENATE("R",'R. Gestión '!$A$31),"")</f>
        <v>RR5</v>
      </c>
      <c r="Y22" s="611"/>
      <c r="Z22" s="611" t="e">
        <f>IF(AND('R. Gestión '!#REF!="Media",'R. Gestión '!#REF!="Moderado"),CONCATENATE("R",'R. Gestión '!#REF!),"")</f>
        <v>#REF!</v>
      </c>
      <c r="AA22" s="612"/>
      <c r="AB22" s="628" t="e">
        <f>IF(AND('R. Gestión '!#REF!="Media",'R. Gestión '!#REF!="Mayor"),CONCATENATE("R",'R. Gestión '!#REF!),"")</f>
        <v>#REF!</v>
      </c>
      <c r="AC22" s="629"/>
      <c r="AD22" s="629" t="str">
        <f ca="1">IF(AND('R. Gestión '!$K$31="Media",'R. Gestión '!$O$31="Mayor"),CONCATENATE("R",'R. Gestión '!$A$31),"")</f>
        <v/>
      </c>
      <c r="AE22" s="629"/>
      <c r="AF22" s="629" t="e">
        <f>IF(AND('R. Gestión '!#REF!="Media",'R. Gestión '!#REF!="Mayor"),CONCATENATE("R",'R. Gestión '!#REF!),"")</f>
        <v>#REF!</v>
      </c>
      <c r="AG22" s="630"/>
      <c r="AH22" s="619" t="e">
        <f>IF(AND('R. Gestión '!#REF!="Media",'R. Gestión '!#REF!="Catastrófico"),CONCATENATE("R",'R. Gestión '!#REF!),"")</f>
        <v>#REF!</v>
      </c>
      <c r="AI22" s="620"/>
      <c r="AJ22" s="620" t="str">
        <f ca="1">IF(AND('R. Gestión '!$K$31="Media",'R. Gestión '!$O$31="Catastrófico"),CONCATENATE("R",'R. Gestión '!$A$31),"")</f>
        <v/>
      </c>
      <c r="AK22" s="620"/>
      <c r="AL22" s="620" t="e">
        <f>IF(AND('R. Gestión '!#REF!="Media",'R. Gestión '!#REF!="Catastrófico"),CONCATENATE("R",'R. Gestión '!#REF!),"")</f>
        <v>#REF!</v>
      </c>
      <c r="AM22" s="621"/>
      <c r="AN22" s="72"/>
      <c r="AO22" s="662" t="s">
        <v>67</v>
      </c>
      <c r="AP22" s="663"/>
      <c r="AQ22" s="663"/>
      <c r="AR22" s="663"/>
      <c r="AS22" s="663"/>
      <c r="AT22" s="664"/>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row>
    <row r="23" spans="1:80" x14ac:dyDescent="0.25">
      <c r="A23" s="72"/>
      <c r="B23" s="642"/>
      <c r="C23" s="642"/>
      <c r="D23" s="643"/>
      <c r="E23" s="635"/>
      <c r="F23" s="636"/>
      <c r="G23" s="636"/>
      <c r="H23" s="636"/>
      <c r="I23" s="637"/>
      <c r="J23" s="604"/>
      <c r="K23" s="605"/>
      <c r="L23" s="605"/>
      <c r="M23" s="605"/>
      <c r="N23" s="605"/>
      <c r="O23" s="606"/>
      <c r="P23" s="604"/>
      <c r="Q23" s="605"/>
      <c r="R23" s="605"/>
      <c r="S23" s="605"/>
      <c r="T23" s="605"/>
      <c r="U23" s="606"/>
      <c r="V23" s="604"/>
      <c r="W23" s="605"/>
      <c r="X23" s="605"/>
      <c r="Y23" s="605"/>
      <c r="Z23" s="605"/>
      <c r="AA23" s="606"/>
      <c r="AB23" s="622"/>
      <c r="AC23" s="623"/>
      <c r="AD23" s="623"/>
      <c r="AE23" s="623"/>
      <c r="AF23" s="623"/>
      <c r="AG23" s="624"/>
      <c r="AH23" s="613"/>
      <c r="AI23" s="614"/>
      <c r="AJ23" s="614"/>
      <c r="AK23" s="614"/>
      <c r="AL23" s="614"/>
      <c r="AM23" s="615"/>
      <c r="AN23" s="72"/>
      <c r="AO23" s="665"/>
      <c r="AP23" s="666"/>
      <c r="AQ23" s="666"/>
      <c r="AR23" s="666"/>
      <c r="AS23" s="666"/>
      <c r="AT23" s="667"/>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row>
    <row r="24" spans="1:80" x14ac:dyDescent="0.25">
      <c r="A24" s="72"/>
      <c r="B24" s="642"/>
      <c r="C24" s="642"/>
      <c r="D24" s="643"/>
      <c r="E24" s="635"/>
      <c r="F24" s="636"/>
      <c r="G24" s="636"/>
      <c r="H24" s="636"/>
      <c r="I24" s="637"/>
      <c r="J24" s="604" t="str">
        <f ca="1">IF(AND('R. Gestión '!$K$271="Media",'R. Gestión '!$O$271="Leve"),CONCATENATE("R",'R. Gestión '!$A$271),"")</f>
        <v/>
      </c>
      <c r="K24" s="605"/>
      <c r="L24" s="605" t="str">
        <f ca="1">IF(AND('R. Gestión '!$K$289="Media",'R. Gestión '!$O$289="Leve"),CONCATENATE("R",'R. Gestión '!$A$289),"")</f>
        <v/>
      </c>
      <c r="M24" s="605"/>
      <c r="N24" s="605" t="str">
        <f ca="1">IF(AND('R. Gestión '!$K$295="Media",'R. Gestión '!$O$295="Leve"),CONCATENATE("R",'R. Gestión '!$A$295),"")</f>
        <v/>
      </c>
      <c r="O24" s="606"/>
      <c r="P24" s="604" t="str">
        <f ca="1">IF(AND('R. Gestión '!$K$271="Media",'R. Gestión '!$O$271="Menor"),CONCATENATE("R",'R. Gestión '!$A$271),"")</f>
        <v/>
      </c>
      <c r="Q24" s="605"/>
      <c r="R24" s="605" t="str">
        <f ca="1">IF(AND('R. Gestión '!$K$289="Media",'R. Gestión '!$O$289="Menor"),CONCATENATE("R",'R. Gestión '!$A$289),"")</f>
        <v/>
      </c>
      <c r="S24" s="605"/>
      <c r="T24" s="605" t="str">
        <f ca="1">IF(AND('R. Gestión '!$K$295="Media",'R. Gestión '!$O$295="Menor"),CONCATENATE("R",'R. Gestión '!$A$295),"")</f>
        <v/>
      </c>
      <c r="U24" s="606"/>
      <c r="V24" s="604" t="str">
        <f ca="1">IF(AND('R. Gestión '!$K$271="Media",'R. Gestión '!$O$271="Moderado"),CONCATENATE("R",'R. Gestión '!$A$271),"")</f>
        <v/>
      </c>
      <c r="W24" s="605"/>
      <c r="X24" s="605" t="str">
        <f ca="1">IF(AND('R. Gestión '!$K$289="Media",'R. Gestión '!$O$289="Moderado"),CONCATENATE("R",'R. Gestión '!$A$289),"")</f>
        <v/>
      </c>
      <c r="Y24" s="605"/>
      <c r="Z24" s="605" t="str">
        <f ca="1">IF(AND('R. Gestión '!$K$295="Media",'R. Gestión '!$O$295="Moderado"),CONCATENATE("R",'R. Gestión '!$A$295),"")</f>
        <v/>
      </c>
      <c r="AA24" s="606"/>
      <c r="AB24" s="622" t="str">
        <f ca="1">IF(AND('R. Gestión '!$K$271="Media",'R. Gestión '!$O$271="Mayor"),CONCATENATE("R",'R. Gestión '!$A$271),"")</f>
        <v/>
      </c>
      <c r="AC24" s="623"/>
      <c r="AD24" s="623" t="str">
        <f ca="1">IF(AND('R. Gestión '!$K$289="Media",'R. Gestión '!$O$289="Mayor"),CONCATENATE("R",'R. Gestión '!$A$289),"")</f>
        <v/>
      </c>
      <c r="AE24" s="623"/>
      <c r="AF24" s="623" t="str">
        <f ca="1">IF(AND('R. Gestión '!$K$295="Media",'R. Gestión '!$O$295="Mayor"),CONCATENATE("R",'R. Gestión '!$A$295),"")</f>
        <v/>
      </c>
      <c r="AG24" s="624"/>
      <c r="AH24" s="613" t="str">
        <f ca="1">IF(AND('R. Gestión '!$K$271="Media",'R. Gestión '!$O$271="Catastrófico"),CONCATENATE("R",'R. Gestión '!$A$271),"")</f>
        <v/>
      </c>
      <c r="AI24" s="614"/>
      <c r="AJ24" s="614" t="str">
        <f ca="1">IF(AND('R. Gestión '!$K$289="Media",'R. Gestión '!$O$289="Catastrófico"),CONCATENATE("R",'R. Gestión '!$A$289),"")</f>
        <v/>
      </c>
      <c r="AK24" s="614"/>
      <c r="AL24" s="614" t="str">
        <f ca="1">IF(AND('R. Gestión '!$K$295="Media",'R. Gestión '!$O$295="Catastrófico"),CONCATENATE("R",'R. Gestión '!$A$295),"")</f>
        <v/>
      </c>
      <c r="AM24" s="615"/>
      <c r="AN24" s="72"/>
      <c r="AO24" s="665"/>
      <c r="AP24" s="666"/>
      <c r="AQ24" s="666"/>
      <c r="AR24" s="666"/>
      <c r="AS24" s="666"/>
      <c r="AT24" s="667"/>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row>
    <row r="25" spans="1:80" x14ac:dyDescent="0.25">
      <c r="A25" s="72"/>
      <c r="B25" s="642"/>
      <c r="C25" s="642"/>
      <c r="D25" s="643"/>
      <c r="E25" s="635"/>
      <c r="F25" s="636"/>
      <c r="G25" s="636"/>
      <c r="H25" s="636"/>
      <c r="I25" s="637"/>
      <c r="J25" s="604"/>
      <c r="K25" s="605"/>
      <c r="L25" s="605"/>
      <c r="M25" s="605"/>
      <c r="N25" s="605"/>
      <c r="O25" s="606"/>
      <c r="P25" s="604"/>
      <c r="Q25" s="605"/>
      <c r="R25" s="605"/>
      <c r="S25" s="605"/>
      <c r="T25" s="605"/>
      <c r="U25" s="606"/>
      <c r="V25" s="604"/>
      <c r="W25" s="605"/>
      <c r="X25" s="605"/>
      <c r="Y25" s="605"/>
      <c r="Z25" s="605"/>
      <c r="AA25" s="606"/>
      <c r="AB25" s="622"/>
      <c r="AC25" s="623"/>
      <c r="AD25" s="623"/>
      <c r="AE25" s="623"/>
      <c r="AF25" s="623"/>
      <c r="AG25" s="624"/>
      <c r="AH25" s="613"/>
      <c r="AI25" s="614"/>
      <c r="AJ25" s="614"/>
      <c r="AK25" s="614"/>
      <c r="AL25" s="614"/>
      <c r="AM25" s="615"/>
      <c r="AN25" s="72"/>
      <c r="AO25" s="665"/>
      <c r="AP25" s="666"/>
      <c r="AQ25" s="666"/>
      <c r="AR25" s="666"/>
      <c r="AS25" s="666"/>
      <c r="AT25" s="667"/>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row>
    <row r="26" spans="1:80" x14ac:dyDescent="0.25">
      <c r="A26" s="72"/>
      <c r="B26" s="642"/>
      <c r="C26" s="642"/>
      <c r="D26" s="643"/>
      <c r="E26" s="635"/>
      <c r="F26" s="636"/>
      <c r="G26" s="636"/>
      <c r="H26" s="636"/>
      <c r="I26" s="637"/>
      <c r="J26" s="604" t="str">
        <f ca="1">IF(AND('R. Gestión '!$K$325="Media",'R. Gestión '!$O$325="Leve"),CONCATENATE("R",'R. Gestión '!$A$325),"")</f>
        <v/>
      </c>
      <c r="K26" s="605"/>
      <c r="L26" s="605" t="str">
        <f ca="1">IF(AND('R. Gestión '!$K$331="Media",'R. Gestión '!$O$331="Leve"),CONCATENATE("R",'R. Gestión '!$A$331),"")</f>
        <v/>
      </c>
      <c r="M26" s="605"/>
      <c r="N26" s="605" t="e">
        <f>IF(AND('R. Gestión '!#REF!="Media",'R. Gestión '!#REF!="Leve"),CONCATENATE("R",'R. Gestión '!#REF!),"")</f>
        <v>#REF!</v>
      </c>
      <c r="O26" s="606"/>
      <c r="P26" s="604" t="str">
        <f ca="1">IF(AND('R. Gestión '!$K$325="Media",'R. Gestión '!$O$325="Menor"),CONCATENATE("R",'R. Gestión '!$A$325),"")</f>
        <v/>
      </c>
      <c r="Q26" s="605"/>
      <c r="R26" s="605" t="str">
        <f ca="1">IF(AND('R. Gestión '!$K$331="Media",'R. Gestión '!$O$331="Menor"),CONCATENATE("R",'R. Gestión '!$A$331),"")</f>
        <v/>
      </c>
      <c r="S26" s="605"/>
      <c r="T26" s="605" t="e">
        <f>IF(AND('R. Gestión '!#REF!="Media",'R. Gestión '!#REF!="Menor"),CONCATENATE("R",'R. Gestión '!#REF!),"")</f>
        <v>#REF!</v>
      </c>
      <c r="U26" s="606"/>
      <c r="V26" s="604" t="str">
        <f ca="1">IF(AND('R. Gestión '!$K$325="Media",'R. Gestión '!$O$325="Moderado"),CONCATENATE("R",'R. Gestión '!$A$325),"")</f>
        <v/>
      </c>
      <c r="W26" s="605"/>
      <c r="X26" s="605" t="str">
        <f ca="1">IF(AND('R. Gestión '!$K$331="Media",'R. Gestión '!$O$331="Moderado"),CONCATENATE("R",'R. Gestión '!$A$331),"")</f>
        <v/>
      </c>
      <c r="Y26" s="605"/>
      <c r="Z26" s="605" t="e">
        <f>IF(AND('R. Gestión '!#REF!="Media",'R. Gestión '!#REF!="Moderado"),CONCATENATE("R",'R. Gestión '!#REF!),"")</f>
        <v>#REF!</v>
      </c>
      <c r="AA26" s="606"/>
      <c r="AB26" s="622" t="str">
        <f ca="1">IF(AND('R. Gestión '!$K$325="Media",'R. Gestión '!$O$325="Mayor"),CONCATENATE("R",'R. Gestión '!$A$325),"")</f>
        <v/>
      </c>
      <c r="AC26" s="623"/>
      <c r="AD26" s="623" t="str">
        <f ca="1">IF(AND('R. Gestión '!$K$331="Media",'R. Gestión '!$O$331="Mayor"),CONCATENATE("R",'R. Gestión '!$A$331),"")</f>
        <v>RR69</v>
      </c>
      <c r="AE26" s="623"/>
      <c r="AF26" s="623" t="e">
        <f>IF(AND('R. Gestión '!#REF!="Media",'R. Gestión '!#REF!="Mayor"),CONCATENATE("R",'R. Gestión '!#REF!),"")</f>
        <v>#REF!</v>
      </c>
      <c r="AG26" s="624"/>
      <c r="AH26" s="613" t="str">
        <f ca="1">IF(AND('R. Gestión '!$K$325="Media",'R. Gestión '!$O$325="Catastrófico"),CONCATENATE("R",'R. Gestión '!$A$325),"")</f>
        <v/>
      </c>
      <c r="AI26" s="614"/>
      <c r="AJ26" s="614" t="str">
        <f ca="1">IF(AND('R. Gestión '!$K$331="Media",'R. Gestión '!$O$331="Catastrófico"),CONCATENATE("R",'R. Gestión '!$A$331),"")</f>
        <v/>
      </c>
      <c r="AK26" s="614"/>
      <c r="AL26" s="614" t="e">
        <f>IF(AND('R. Gestión '!#REF!="Media",'R. Gestión '!#REF!="Catastrófico"),CONCATENATE("R",'R. Gestión '!#REF!),"")</f>
        <v>#REF!</v>
      </c>
      <c r="AM26" s="615"/>
      <c r="AN26" s="72"/>
      <c r="AO26" s="665"/>
      <c r="AP26" s="666"/>
      <c r="AQ26" s="666"/>
      <c r="AR26" s="666"/>
      <c r="AS26" s="666"/>
      <c r="AT26" s="667"/>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row>
    <row r="27" spans="1:80" x14ac:dyDescent="0.25">
      <c r="A27" s="72"/>
      <c r="B27" s="642"/>
      <c r="C27" s="642"/>
      <c r="D27" s="643"/>
      <c r="E27" s="635"/>
      <c r="F27" s="636"/>
      <c r="G27" s="636"/>
      <c r="H27" s="636"/>
      <c r="I27" s="637"/>
      <c r="J27" s="604"/>
      <c r="K27" s="605"/>
      <c r="L27" s="605"/>
      <c r="M27" s="605"/>
      <c r="N27" s="605"/>
      <c r="O27" s="606"/>
      <c r="P27" s="604"/>
      <c r="Q27" s="605"/>
      <c r="R27" s="605"/>
      <c r="S27" s="605"/>
      <c r="T27" s="605"/>
      <c r="U27" s="606"/>
      <c r="V27" s="604"/>
      <c r="W27" s="605"/>
      <c r="X27" s="605"/>
      <c r="Y27" s="605"/>
      <c r="Z27" s="605"/>
      <c r="AA27" s="606"/>
      <c r="AB27" s="622"/>
      <c r="AC27" s="623"/>
      <c r="AD27" s="623"/>
      <c r="AE27" s="623"/>
      <c r="AF27" s="623"/>
      <c r="AG27" s="624"/>
      <c r="AH27" s="613"/>
      <c r="AI27" s="614"/>
      <c r="AJ27" s="614"/>
      <c r="AK27" s="614"/>
      <c r="AL27" s="614"/>
      <c r="AM27" s="615"/>
      <c r="AN27" s="72"/>
      <c r="AO27" s="665"/>
      <c r="AP27" s="666"/>
      <c r="AQ27" s="666"/>
      <c r="AR27" s="666"/>
      <c r="AS27" s="666"/>
      <c r="AT27" s="667"/>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row>
    <row r="28" spans="1:80" x14ac:dyDescent="0.25">
      <c r="A28" s="72"/>
      <c r="B28" s="642"/>
      <c r="C28" s="642"/>
      <c r="D28" s="643"/>
      <c r="E28" s="635"/>
      <c r="F28" s="636"/>
      <c r="G28" s="636"/>
      <c r="H28" s="636"/>
      <c r="I28" s="637"/>
      <c r="J28" s="604" t="e">
        <f>IF(AND('R. Gestión '!#REF!="Media",'R. Gestión '!#REF!="Leve"),CONCATENATE("R",'R. Gestión '!#REF!),"")</f>
        <v>#REF!</v>
      </c>
      <c r="K28" s="605"/>
      <c r="L28" s="605" t="e">
        <f>IF(AND('R. Gestión '!#REF!="Media",'R. Gestión '!#REF!="Leve"),CONCATENATE("R",'R. Gestión '!#REF!),"")</f>
        <v>#REF!</v>
      </c>
      <c r="M28" s="605"/>
      <c r="N28" s="605" t="e">
        <f>IF(AND('R. Gestión '!#REF!="Media",'R. Gestión '!#REF!="Leve"),CONCATENATE("R",'R. Gestión '!#REF!),"")</f>
        <v>#REF!</v>
      </c>
      <c r="O28" s="606"/>
      <c r="P28" s="604" t="e">
        <f>IF(AND('R. Gestión '!#REF!="Media",'R. Gestión '!#REF!="Menor"),CONCATENATE("R",'R. Gestión '!#REF!),"")</f>
        <v>#REF!</v>
      </c>
      <c r="Q28" s="605"/>
      <c r="R28" s="605" t="e">
        <f>IF(AND('R. Gestión '!#REF!="Media",'R. Gestión '!#REF!="Menor"),CONCATENATE("R",'R. Gestión '!#REF!),"")</f>
        <v>#REF!</v>
      </c>
      <c r="S28" s="605"/>
      <c r="T28" s="605" t="e">
        <f>IF(AND('R. Gestión '!#REF!="Media",'R. Gestión '!#REF!="Menor"),CONCATENATE("R",'R. Gestión '!#REF!),"")</f>
        <v>#REF!</v>
      </c>
      <c r="U28" s="606"/>
      <c r="V28" s="604" t="e">
        <f>IF(AND('R. Gestión '!#REF!="Media",'R. Gestión '!#REF!="Moderado"),CONCATENATE("R",'R. Gestión '!#REF!),"")</f>
        <v>#REF!</v>
      </c>
      <c r="W28" s="605"/>
      <c r="X28" s="605" t="e">
        <f>IF(AND('R. Gestión '!#REF!="Media",'R. Gestión '!#REF!="Moderado"),CONCATENATE("R",'R. Gestión '!#REF!),"")</f>
        <v>#REF!</v>
      </c>
      <c r="Y28" s="605"/>
      <c r="Z28" s="605" t="e">
        <f>IF(AND('R. Gestión '!#REF!="Media",'R. Gestión '!#REF!="Moderado"),CONCATENATE("R",'R. Gestión '!#REF!),"")</f>
        <v>#REF!</v>
      </c>
      <c r="AA28" s="606"/>
      <c r="AB28" s="622" t="e">
        <f>IF(AND('R. Gestión '!#REF!="Media",'R. Gestión '!#REF!="Mayor"),CONCATENATE("R",'R. Gestión '!#REF!),"")</f>
        <v>#REF!</v>
      </c>
      <c r="AC28" s="623"/>
      <c r="AD28" s="623" t="e">
        <f>IF(AND('R. Gestión '!#REF!="Media",'R. Gestión '!#REF!="Mayor"),CONCATENATE("R",'R. Gestión '!#REF!),"")</f>
        <v>#REF!</v>
      </c>
      <c r="AE28" s="623"/>
      <c r="AF28" s="623" t="e">
        <f>IF(AND('R. Gestión '!#REF!="Media",'R. Gestión '!#REF!="Mayor"),CONCATENATE("R",'R. Gestión '!#REF!),"")</f>
        <v>#REF!</v>
      </c>
      <c r="AG28" s="624"/>
      <c r="AH28" s="613" t="e">
        <f>IF(AND('R. Gestión '!#REF!="Media",'R. Gestión '!#REF!="Catastrófico"),CONCATENATE("R",'R. Gestión '!#REF!),"")</f>
        <v>#REF!</v>
      </c>
      <c r="AI28" s="614"/>
      <c r="AJ28" s="614" t="e">
        <f>IF(AND('R. Gestión '!#REF!="Media",'R. Gestión '!#REF!="Catastrófico"),CONCATENATE("R",'R. Gestión '!#REF!),"")</f>
        <v>#REF!</v>
      </c>
      <c r="AK28" s="614"/>
      <c r="AL28" s="614" t="e">
        <f>IF(AND('R. Gestión '!#REF!="Media",'R. Gestión '!#REF!="Catastrófico"),CONCATENATE("R",'R. Gestión '!#REF!),"")</f>
        <v>#REF!</v>
      </c>
      <c r="AM28" s="615"/>
      <c r="AN28" s="72"/>
      <c r="AO28" s="665"/>
      <c r="AP28" s="666"/>
      <c r="AQ28" s="666"/>
      <c r="AR28" s="666"/>
      <c r="AS28" s="666"/>
      <c r="AT28" s="667"/>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row>
    <row r="29" spans="1:80" ht="15.75" thickBot="1" x14ac:dyDescent="0.3">
      <c r="A29" s="72"/>
      <c r="B29" s="642"/>
      <c r="C29" s="642"/>
      <c r="D29" s="643"/>
      <c r="E29" s="638"/>
      <c r="F29" s="639"/>
      <c r="G29" s="639"/>
      <c r="H29" s="639"/>
      <c r="I29" s="640"/>
      <c r="J29" s="604"/>
      <c r="K29" s="605"/>
      <c r="L29" s="605"/>
      <c r="M29" s="605"/>
      <c r="N29" s="605"/>
      <c r="O29" s="606"/>
      <c r="P29" s="607"/>
      <c r="Q29" s="608"/>
      <c r="R29" s="608"/>
      <c r="S29" s="608"/>
      <c r="T29" s="608"/>
      <c r="U29" s="609"/>
      <c r="V29" s="607"/>
      <c r="W29" s="608"/>
      <c r="X29" s="608"/>
      <c r="Y29" s="608"/>
      <c r="Z29" s="608"/>
      <c r="AA29" s="609"/>
      <c r="AB29" s="625"/>
      <c r="AC29" s="626"/>
      <c r="AD29" s="626"/>
      <c r="AE29" s="626"/>
      <c r="AF29" s="626"/>
      <c r="AG29" s="627"/>
      <c r="AH29" s="616"/>
      <c r="AI29" s="617"/>
      <c r="AJ29" s="617"/>
      <c r="AK29" s="617"/>
      <c r="AL29" s="617"/>
      <c r="AM29" s="618"/>
      <c r="AN29" s="72"/>
      <c r="AO29" s="668"/>
      <c r="AP29" s="669"/>
      <c r="AQ29" s="669"/>
      <c r="AR29" s="669"/>
      <c r="AS29" s="669"/>
      <c r="AT29" s="670"/>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row>
    <row r="30" spans="1:80" x14ac:dyDescent="0.25">
      <c r="A30" s="72"/>
      <c r="B30" s="642"/>
      <c r="C30" s="642"/>
      <c r="D30" s="643"/>
      <c r="E30" s="632" t="s">
        <v>98</v>
      </c>
      <c r="F30" s="633"/>
      <c r="G30" s="633"/>
      <c r="H30" s="633"/>
      <c r="I30" s="633"/>
      <c r="J30" s="601" t="e">
        <f>IF(AND('R. Gestión '!#REF!="Baja",'R. Gestión '!#REF!="Leve"),CONCATENATE("R",'R. Gestión '!#REF!),"")</f>
        <v>#REF!</v>
      </c>
      <c r="K30" s="602"/>
      <c r="L30" s="602" t="str">
        <f ca="1">IF(AND('R. Gestión '!$K$31="Baja",'R. Gestión '!$O$31="Leve"),CONCATENATE("R",'R. Gestión '!$A$31),"")</f>
        <v/>
      </c>
      <c r="M30" s="602"/>
      <c r="N30" s="602" t="e">
        <f>IF(AND('R. Gestión '!#REF!="Baja",'R. Gestión '!#REF!="Leve"),CONCATENATE("R",'R. Gestión '!#REF!),"")</f>
        <v>#REF!</v>
      </c>
      <c r="O30" s="603"/>
      <c r="P30" s="611" t="e">
        <f>IF(AND('R. Gestión '!#REF!="Baja",'R. Gestión '!#REF!="Menor"),CONCATENATE("R",'R. Gestión '!#REF!),"")</f>
        <v>#REF!</v>
      </c>
      <c r="Q30" s="611"/>
      <c r="R30" s="611" t="str">
        <f ca="1">IF(AND('R. Gestión '!$K$31="Baja",'R. Gestión '!$O$31="Menor"),CONCATENATE("R",'R. Gestión '!$A$31),"")</f>
        <v/>
      </c>
      <c r="S30" s="611"/>
      <c r="T30" s="611" t="e">
        <f>IF(AND('R. Gestión '!#REF!="Baja",'R. Gestión '!#REF!="Menor"),CONCATENATE("R",'R. Gestión '!#REF!),"")</f>
        <v>#REF!</v>
      </c>
      <c r="U30" s="612"/>
      <c r="V30" s="610" t="e">
        <f>IF(AND('R. Gestión '!#REF!="Baja",'R. Gestión '!#REF!="Moderado"),CONCATENATE("R",'R. Gestión '!#REF!),"")</f>
        <v>#REF!</v>
      </c>
      <c r="W30" s="611"/>
      <c r="X30" s="611" t="str">
        <f ca="1">IF(AND('R. Gestión '!$K$31="Baja",'R. Gestión '!$O$31="Moderado"),CONCATENATE("R",'R. Gestión '!$A$31),"")</f>
        <v/>
      </c>
      <c r="Y30" s="611"/>
      <c r="Z30" s="611" t="e">
        <f>IF(AND('R. Gestión '!#REF!="Baja",'R. Gestión '!#REF!="Moderado"),CONCATENATE("R",'R. Gestión '!#REF!),"")</f>
        <v>#REF!</v>
      </c>
      <c r="AA30" s="612"/>
      <c r="AB30" s="628" t="e">
        <f>IF(AND('R. Gestión '!#REF!="Baja",'R. Gestión '!#REF!="Mayor"),CONCATENATE("R",'R. Gestión '!#REF!),"")</f>
        <v>#REF!</v>
      </c>
      <c r="AC30" s="629"/>
      <c r="AD30" s="629" t="str">
        <f ca="1">IF(AND('R. Gestión '!$K$31="Baja",'R. Gestión '!$O$31="Mayor"),CONCATENATE("R",'R. Gestión '!$A$31),"")</f>
        <v/>
      </c>
      <c r="AE30" s="629"/>
      <c r="AF30" s="629" t="e">
        <f>IF(AND('R. Gestión '!#REF!="Baja",'R. Gestión '!#REF!="Mayor"),CONCATENATE("R",'R. Gestión '!#REF!),"")</f>
        <v>#REF!</v>
      </c>
      <c r="AG30" s="630"/>
      <c r="AH30" s="619" t="e">
        <f>IF(AND('R. Gestión '!#REF!="Baja",'R. Gestión '!#REF!="Catastrófico"),CONCATENATE("R",'R. Gestión '!#REF!),"")</f>
        <v>#REF!</v>
      </c>
      <c r="AI30" s="620"/>
      <c r="AJ30" s="620" t="str">
        <f ca="1">IF(AND('R. Gestión '!$K$31="Baja",'R. Gestión '!$O$31="Catastrófico"),CONCATENATE("R",'R. Gestión '!$A$31),"")</f>
        <v/>
      </c>
      <c r="AK30" s="620"/>
      <c r="AL30" s="620" t="e">
        <f>IF(AND('R. Gestión '!#REF!="Baja",'R. Gestión '!#REF!="Catastrófico"),CONCATENATE("R",'R. Gestión '!#REF!),"")</f>
        <v>#REF!</v>
      </c>
      <c r="AM30" s="621"/>
      <c r="AN30" s="72"/>
      <c r="AO30" s="671" t="s">
        <v>68</v>
      </c>
      <c r="AP30" s="672"/>
      <c r="AQ30" s="672"/>
      <c r="AR30" s="672"/>
      <c r="AS30" s="672"/>
      <c r="AT30" s="673"/>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row>
    <row r="31" spans="1:80" x14ac:dyDescent="0.25">
      <c r="A31" s="72"/>
      <c r="B31" s="642"/>
      <c r="C31" s="642"/>
      <c r="D31" s="643"/>
      <c r="E31" s="635"/>
      <c r="F31" s="636"/>
      <c r="G31" s="636"/>
      <c r="H31" s="636"/>
      <c r="I31" s="636"/>
      <c r="J31" s="595"/>
      <c r="K31" s="596"/>
      <c r="L31" s="596"/>
      <c r="M31" s="596"/>
      <c r="N31" s="596"/>
      <c r="O31" s="597"/>
      <c r="P31" s="605"/>
      <c r="Q31" s="605"/>
      <c r="R31" s="605"/>
      <c r="S31" s="605"/>
      <c r="T31" s="605"/>
      <c r="U31" s="606"/>
      <c r="V31" s="604"/>
      <c r="W31" s="605"/>
      <c r="X31" s="605"/>
      <c r="Y31" s="605"/>
      <c r="Z31" s="605"/>
      <c r="AA31" s="606"/>
      <c r="AB31" s="622"/>
      <c r="AC31" s="623"/>
      <c r="AD31" s="623"/>
      <c r="AE31" s="623"/>
      <c r="AF31" s="623"/>
      <c r="AG31" s="624"/>
      <c r="AH31" s="613"/>
      <c r="AI31" s="614"/>
      <c r="AJ31" s="614"/>
      <c r="AK31" s="614"/>
      <c r="AL31" s="614"/>
      <c r="AM31" s="615"/>
      <c r="AN31" s="72"/>
      <c r="AO31" s="674"/>
      <c r="AP31" s="675"/>
      <c r="AQ31" s="675"/>
      <c r="AR31" s="675"/>
      <c r="AS31" s="675"/>
      <c r="AT31" s="676"/>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row>
    <row r="32" spans="1:80" x14ac:dyDescent="0.25">
      <c r="A32" s="72"/>
      <c r="B32" s="642"/>
      <c r="C32" s="642"/>
      <c r="D32" s="643"/>
      <c r="E32" s="635"/>
      <c r="F32" s="636"/>
      <c r="G32" s="636"/>
      <c r="H32" s="636"/>
      <c r="I32" s="636"/>
      <c r="J32" s="595" t="str">
        <f ca="1">IF(AND('R. Gestión '!$K$271="Baja",'R. Gestión '!$O$271="Leve"),CONCATENATE("R",'R. Gestión '!$A$271),"")</f>
        <v/>
      </c>
      <c r="K32" s="596"/>
      <c r="L32" s="596" t="str">
        <f ca="1">IF(AND('R. Gestión '!$K$289="Baja",'R. Gestión '!$O$289="Leve"),CONCATENATE("R",'R. Gestión '!$A$289),"")</f>
        <v/>
      </c>
      <c r="M32" s="596"/>
      <c r="N32" s="596" t="str">
        <f ca="1">IF(AND('R. Gestión '!$K$295="Baja",'R. Gestión '!$O$295="Leve"),CONCATENATE("R",'R. Gestión '!$A$295),"")</f>
        <v/>
      </c>
      <c r="O32" s="597"/>
      <c r="P32" s="605" t="str">
        <f ca="1">IF(AND('R. Gestión '!$K$271="Baja",'R. Gestión '!$O$271="Menor"),CONCATENATE("R",'R. Gestión '!$A$271),"")</f>
        <v/>
      </c>
      <c r="Q32" s="605"/>
      <c r="R32" s="605" t="str">
        <f ca="1">IF(AND('R. Gestión '!$K$289="Baja",'R. Gestión '!$O$289="Menor"),CONCATENATE("R",'R. Gestión '!$A$289),"")</f>
        <v/>
      </c>
      <c r="S32" s="605"/>
      <c r="T32" s="605" t="str">
        <f ca="1">IF(AND('R. Gestión '!$K$295="Baja",'R. Gestión '!$O$295="Menor"),CONCATENATE("R",'R. Gestión '!$A$295),"")</f>
        <v/>
      </c>
      <c r="U32" s="606"/>
      <c r="V32" s="604" t="str">
        <f ca="1">IF(AND('R. Gestión '!$K$271="Baja",'R. Gestión '!$O$271="Moderado"),CONCATENATE("R",'R. Gestión '!$A$271),"")</f>
        <v>RR53</v>
      </c>
      <c r="W32" s="605"/>
      <c r="X32" s="605" t="str">
        <f ca="1">IF(AND('R. Gestión '!$K$289="Baja",'R. Gestión '!$O$289="Moderado"),CONCATENATE("R",'R. Gestión '!$A$289),"")</f>
        <v/>
      </c>
      <c r="Y32" s="605"/>
      <c r="Z32" s="605" t="str">
        <f ca="1">IF(AND('R. Gestión '!$K$295="Baja",'R. Gestión '!$O$295="Moderado"),CONCATENATE("R",'R. Gestión '!$A$295),"")</f>
        <v/>
      </c>
      <c r="AA32" s="606"/>
      <c r="AB32" s="622" t="str">
        <f ca="1">IF(AND('R. Gestión '!$K$271="Baja",'R. Gestión '!$O$271="Mayor"),CONCATENATE("R",'R. Gestión '!$A$271),"")</f>
        <v/>
      </c>
      <c r="AC32" s="623"/>
      <c r="AD32" s="623" t="str">
        <f ca="1">IF(AND('R. Gestión '!$K$289="Baja",'R. Gestión '!$O$289="Mayor"),CONCATENATE("R",'R. Gestión '!$A$289),"")</f>
        <v/>
      </c>
      <c r="AE32" s="623"/>
      <c r="AF32" s="623" t="str">
        <f ca="1">IF(AND('R. Gestión '!$K$295="Baja",'R. Gestión '!$O$295="Mayor"),CONCATENATE("R",'R. Gestión '!$A$295),"")</f>
        <v/>
      </c>
      <c r="AG32" s="624"/>
      <c r="AH32" s="613" t="str">
        <f ca="1">IF(AND('R. Gestión '!$K$271="Baja",'R. Gestión '!$O$271="Catastrófico"),CONCATENATE("R",'R. Gestión '!$A$271),"")</f>
        <v/>
      </c>
      <c r="AI32" s="614"/>
      <c r="AJ32" s="614" t="str">
        <f ca="1">IF(AND('R. Gestión '!$K$289="Baja",'R. Gestión '!$O$289="Catastrófico"),CONCATENATE("R",'R. Gestión '!$A$289),"")</f>
        <v/>
      </c>
      <c r="AK32" s="614"/>
      <c r="AL32" s="614" t="str">
        <f ca="1">IF(AND('R. Gestión '!$K$295="Baja",'R. Gestión '!$O$295="Catastrófico"),CONCATENATE("R",'R. Gestión '!$A$295),"")</f>
        <v/>
      </c>
      <c r="AM32" s="615"/>
      <c r="AN32" s="72"/>
      <c r="AO32" s="674"/>
      <c r="AP32" s="675"/>
      <c r="AQ32" s="675"/>
      <c r="AR32" s="675"/>
      <c r="AS32" s="675"/>
      <c r="AT32" s="676"/>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row>
    <row r="33" spans="1:80" x14ac:dyDescent="0.25">
      <c r="A33" s="72"/>
      <c r="B33" s="642"/>
      <c r="C33" s="642"/>
      <c r="D33" s="643"/>
      <c r="E33" s="635"/>
      <c r="F33" s="636"/>
      <c r="G33" s="636"/>
      <c r="H33" s="636"/>
      <c r="I33" s="636"/>
      <c r="J33" s="595"/>
      <c r="K33" s="596"/>
      <c r="L33" s="596"/>
      <c r="M33" s="596"/>
      <c r="N33" s="596"/>
      <c r="O33" s="597"/>
      <c r="P33" s="605"/>
      <c r="Q33" s="605"/>
      <c r="R33" s="605"/>
      <c r="S33" s="605"/>
      <c r="T33" s="605"/>
      <c r="U33" s="606"/>
      <c r="V33" s="604"/>
      <c r="W33" s="605"/>
      <c r="X33" s="605"/>
      <c r="Y33" s="605"/>
      <c r="Z33" s="605"/>
      <c r="AA33" s="606"/>
      <c r="AB33" s="622"/>
      <c r="AC33" s="623"/>
      <c r="AD33" s="623"/>
      <c r="AE33" s="623"/>
      <c r="AF33" s="623"/>
      <c r="AG33" s="624"/>
      <c r="AH33" s="613"/>
      <c r="AI33" s="614"/>
      <c r="AJ33" s="614"/>
      <c r="AK33" s="614"/>
      <c r="AL33" s="614"/>
      <c r="AM33" s="615"/>
      <c r="AN33" s="72"/>
      <c r="AO33" s="674"/>
      <c r="AP33" s="675"/>
      <c r="AQ33" s="675"/>
      <c r="AR33" s="675"/>
      <c r="AS33" s="675"/>
      <c r="AT33" s="676"/>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row>
    <row r="34" spans="1:80" x14ac:dyDescent="0.25">
      <c r="A34" s="72"/>
      <c r="B34" s="642"/>
      <c r="C34" s="642"/>
      <c r="D34" s="643"/>
      <c r="E34" s="635"/>
      <c r="F34" s="636"/>
      <c r="G34" s="636"/>
      <c r="H34" s="636"/>
      <c r="I34" s="636"/>
      <c r="J34" s="595" t="str">
        <f ca="1">IF(AND('R. Gestión '!$K$325="Baja",'R. Gestión '!$O$325="Leve"),CONCATENATE("R",'R. Gestión '!$A$325),"")</f>
        <v/>
      </c>
      <c r="K34" s="596"/>
      <c r="L34" s="596" t="str">
        <f ca="1">IF(AND('R. Gestión '!$K$331="Baja",'R. Gestión '!$O$331="Leve"),CONCATENATE("R",'R. Gestión '!$A$331),"")</f>
        <v/>
      </c>
      <c r="M34" s="596"/>
      <c r="N34" s="596" t="e">
        <f>IF(AND('R. Gestión '!#REF!="Baja",'R. Gestión '!#REF!="Leve"),CONCATENATE("R",'R. Gestión '!#REF!),"")</f>
        <v>#REF!</v>
      </c>
      <c r="O34" s="597"/>
      <c r="P34" s="605" t="str">
        <f ca="1">IF(AND('R. Gestión '!$K$325="Baja",'R. Gestión '!$O$325="Menor"),CONCATENATE("R",'R. Gestión '!$A$325),"")</f>
        <v/>
      </c>
      <c r="Q34" s="605"/>
      <c r="R34" s="605" t="str">
        <f ca="1">IF(AND('R. Gestión '!$K$331="Baja",'R. Gestión '!$O$331="Menor"),CONCATENATE("R",'R. Gestión '!$A$331),"")</f>
        <v/>
      </c>
      <c r="S34" s="605"/>
      <c r="T34" s="605" t="e">
        <f>IF(AND('R. Gestión '!#REF!="Baja",'R. Gestión '!#REF!="Menor"),CONCATENATE("R",'R. Gestión '!#REF!),"")</f>
        <v>#REF!</v>
      </c>
      <c r="U34" s="606"/>
      <c r="V34" s="604" t="str">
        <f ca="1">IF(AND('R. Gestión '!$K$325="Baja",'R. Gestión '!$O$325="Moderado"),CONCATENATE("R",'R. Gestión '!$A$325),"")</f>
        <v/>
      </c>
      <c r="W34" s="605"/>
      <c r="X34" s="605" t="str">
        <f ca="1">IF(AND('R. Gestión '!$K$331="Baja",'R. Gestión '!$O$331="Moderado"),CONCATENATE("R",'R. Gestión '!$A$331),"")</f>
        <v/>
      </c>
      <c r="Y34" s="605"/>
      <c r="Z34" s="605" t="e">
        <f>IF(AND('R. Gestión '!#REF!="Baja",'R. Gestión '!#REF!="Moderado"),CONCATENATE("R",'R. Gestión '!#REF!),"")</f>
        <v>#REF!</v>
      </c>
      <c r="AA34" s="606"/>
      <c r="AB34" s="622" t="str">
        <f ca="1">IF(AND('R. Gestión '!$K$325="Baja",'R. Gestión '!$O$325="Mayor"),CONCATENATE("R",'R. Gestión '!$A$325),"")</f>
        <v/>
      </c>
      <c r="AC34" s="623"/>
      <c r="AD34" s="623" t="str">
        <f ca="1">IF(AND('R. Gestión '!$K$331="Baja",'R. Gestión '!$O$331="Mayor"),CONCATENATE("R",'R. Gestión '!$A$331),"")</f>
        <v/>
      </c>
      <c r="AE34" s="623"/>
      <c r="AF34" s="623" t="e">
        <f>IF(AND('R. Gestión '!#REF!="Baja",'R. Gestión '!#REF!="Mayor"),CONCATENATE("R",'R. Gestión '!#REF!),"")</f>
        <v>#REF!</v>
      </c>
      <c r="AG34" s="624"/>
      <c r="AH34" s="613" t="str">
        <f ca="1">IF(AND('R. Gestión '!$K$325="Baja",'R. Gestión '!$O$325="Catastrófico"),CONCATENATE("R",'R. Gestión '!$A$325),"")</f>
        <v/>
      </c>
      <c r="AI34" s="614"/>
      <c r="AJ34" s="614" t="str">
        <f ca="1">IF(AND('R. Gestión '!$K$331="Baja",'R. Gestión '!$O$331="Catastrófico"),CONCATENATE("R",'R. Gestión '!$A$331),"")</f>
        <v/>
      </c>
      <c r="AK34" s="614"/>
      <c r="AL34" s="614" t="e">
        <f>IF(AND('R. Gestión '!#REF!="Baja",'R. Gestión '!#REF!="Catastrófico"),CONCATENATE("R",'R. Gestión '!#REF!),"")</f>
        <v>#REF!</v>
      </c>
      <c r="AM34" s="615"/>
      <c r="AN34" s="72"/>
      <c r="AO34" s="674"/>
      <c r="AP34" s="675"/>
      <c r="AQ34" s="675"/>
      <c r="AR34" s="675"/>
      <c r="AS34" s="675"/>
      <c r="AT34" s="676"/>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row>
    <row r="35" spans="1:80" x14ac:dyDescent="0.25">
      <c r="A35" s="72"/>
      <c r="B35" s="642"/>
      <c r="C35" s="642"/>
      <c r="D35" s="643"/>
      <c r="E35" s="635"/>
      <c r="F35" s="636"/>
      <c r="G35" s="636"/>
      <c r="H35" s="636"/>
      <c r="I35" s="636"/>
      <c r="J35" s="595"/>
      <c r="K35" s="596"/>
      <c r="L35" s="596"/>
      <c r="M35" s="596"/>
      <c r="N35" s="596"/>
      <c r="O35" s="597"/>
      <c r="P35" s="605"/>
      <c r="Q35" s="605"/>
      <c r="R35" s="605"/>
      <c r="S35" s="605"/>
      <c r="T35" s="605"/>
      <c r="U35" s="606"/>
      <c r="V35" s="604"/>
      <c r="W35" s="605"/>
      <c r="X35" s="605"/>
      <c r="Y35" s="605"/>
      <c r="Z35" s="605"/>
      <c r="AA35" s="606"/>
      <c r="AB35" s="622"/>
      <c r="AC35" s="623"/>
      <c r="AD35" s="623"/>
      <c r="AE35" s="623"/>
      <c r="AF35" s="623"/>
      <c r="AG35" s="624"/>
      <c r="AH35" s="613"/>
      <c r="AI35" s="614"/>
      <c r="AJ35" s="614"/>
      <c r="AK35" s="614"/>
      <c r="AL35" s="614"/>
      <c r="AM35" s="615"/>
      <c r="AN35" s="72"/>
      <c r="AO35" s="674"/>
      <c r="AP35" s="675"/>
      <c r="AQ35" s="675"/>
      <c r="AR35" s="675"/>
      <c r="AS35" s="675"/>
      <c r="AT35" s="676"/>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row>
    <row r="36" spans="1:80" x14ac:dyDescent="0.25">
      <c r="A36" s="72"/>
      <c r="B36" s="642"/>
      <c r="C36" s="642"/>
      <c r="D36" s="643"/>
      <c r="E36" s="635"/>
      <c r="F36" s="636"/>
      <c r="G36" s="636"/>
      <c r="H36" s="636"/>
      <c r="I36" s="636"/>
      <c r="J36" s="595" t="e">
        <f>IF(AND('R. Gestión '!#REF!="Baja",'R. Gestión '!#REF!="Leve"),CONCATENATE("R",'R. Gestión '!#REF!),"")</f>
        <v>#REF!</v>
      </c>
      <c r="K36" s="596"/>
      <c r="L36" s="596" t="e">
        <f>IF(AND('R. Gestión '!#REF!="Baja",'R. Gestión '!#REF!="Leve"),CONCATENATE("R",'R. Gestión '!#REF!),"")</f>
        <v>#REF!</v>
      </c>
      <c r="M36" s="596"/>
      <c r="N36" s="596" t="e">
        <f>IF(AND('R. Gestión '!#REF!="Baja",'R. Gestión '!#REF!="Leve"),CONCATENATE("R",'R. Gestión '!#REF!),"")</f>
        <v>#REF!</v>
      </c>
      <c r="O36" s="597"/>
      <c r="P36" s="605" t="e">
        <f>IF(AND('R. Gestión '!#REF!="Baja",'R. Gestión '!#REF!="Menor"),CONCATENATE("R",'R. Gestión '!#REF!),"")</f>
        <v>#REF!</v>
      </c>
      <c r="Q36" s="605"/>
      <c r="R36" s="605" t="e">
        <f>IF(AND('R. Gestión '!#REF!="Baja",'R. Gestión '!#REF!="Menor"),CONCATENATE("R",'R. Gestión '!#REF!),"")</f>
        <v>#REF!</v>
      </c>
      <c r="S36" s="605"/>
      <c r="T36" s="605" t="e">
        <f>IF(AND('R. Gestión '!#REF!="Baja",'R. Gestión '!#REF!="Menor"),CONCATENATE("R",'R. Gestión '!#REF!),"")</f>
        <v>#REF!</v>
      </c>
      <c r="U36" s="606"/>
      <c r="V36" s="604" t="e">
        <f>IF(AND('R. Gestión '!#REF!="Baja",'R. Gestión '!#REF!="Moderado"),CONCATENATE("R",'R. Gestión '!#REF!),"")</f>
        <v>#REF!</v>
      </c>
      <c r="W36" s="605"/>
      <c r="X36" s="605" t="e">
        <f>IF(AND('R. Gestión '!#REF!="Baja",'R. Gestión '!#REF!="Moderado"),CONCATENATE("R",'R. Gestión '!#REF!),"")</f>
        <v>#REF!</v>
      </c>
      <c r="Y36" s="605"/>
      <c r="Z36" s="605" t="e">
        <f>IF(AND('R. Gestión '!#REF!="Baja",'R. Gestión '!#REF!="Moderado"),CONCATENATE("R",'R. Gestión '!#REF!),"")</f>
        <v>#REF!</v>
      </c>
      <c r="AA36" s="606"/>
      <c r="AB36" s="622" t="e">
        <f>IF(AND('R. Gestión '!#REF!="Baja",'R. Gestión '!#REF!="Mayor"),CONCATENATE("R",'R. Gestión '!#REF!),"")</f>
        <v>#REF!</v>
      </c>
      <c r="AC36" s="623"/>
      <c r="AD36" s="623" t="e">
        <f>IF(AND('R. Gestión '!#REF!="Baja",'R. Gestión '!#REF!="Mayor"),CONCATENATE("R",'R. Gestión '!#REF!),"")</f>
        <v>#REF!</v>
      </c>
      <c r="AE36" s="623"/>
      <c r="AF36" s="623" t="e">
        <f>IF(AND('R. Gestión '!#REF!="Baja",'R. Gestión '!#REF!="Mayor"),CONCATENATE("R",'R. Gestión '!#REF!),"")</f>
        <v>#REF!</v>
      </c>
      <c r="AG36" s="624"/>
      <c r="AH36" s="613" t="e">
        <f>IF(AND('R. Gestión '!#REF!="Baja",'R. Gestión '!#REF!="Catastrófico"),CONCATENATE("R",'R. Gestión '!#REF!),"")</f>
        <v>#REF!</v>
      </c>
      <c r="AI36" s="614"/>
      <c r="AJ36" s="614" t="e">
        <f>IF(AND('R. Gestión '!#REF!="Baja",'R. Gestión '!#REF!="Catastrófico"),CONCATENATE("R",'R. Gestión '!#REF!),"")</f>
        <v>#REF!</v>
      </c>
      <c r="AK36" s="614"/>
      <c r="AL36" s="614" t="e">
        <f>IF(AND('R. Gestión '!#REF!="Baja",'R. Gestión '!#REF!="Catastrófico"),CONCATENATE("R",'R. Gestión '!#REF!),"")</f>
        <v>#REF!</v>
      </c>
      <c r="AM36" s="615"/>
      <c r="AN36" s="72"/>
      <c r="AO36" s="674"/>
      <c r="AP36" s="675"/>
      <c r="AQ36" s="675"/>
      <c r="AR36" s="675"/>
      <c r="AS36" s="675"/>
      <c r="AT36" s="676"/>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row>
    <row r="37" spans="1:80" ht="15.75" thickBot="1" x14ac:dyDescent="0.3">
      <c r="A37" s="72"/>
      <c r="B37" s="642"/>
      <c r="C37" s="642"/>
      <c r="D37" s="643"/>
      <c r="E37" s="638"/>
      <c r="F37" s="639"/>
      <c r="G37" s="639"/>
      <c r="H37" s="639"/>
      <c r="I37" s="639"/>
      <c r="J37" s="598"/>
      <c r="K37" s="599"/>
      <c r="L37" s="599"/>
      <c r="M37" s="599"/>
      <c r="N37" s="599"/>
      <c r="O37" s="600"/>
      <c r="P37" s="608"/>
      <c r="Q37" s="608"/>
      <c r="R37" s="608"/>
      <c r="S37" s="608"/>
      <c r="T37" s="608"/>
      <c r="U37" s="609"/>
      <c r="V37" s="607"/>
      <c r="W37" s="608"/>
      <c r="X37" s="608"/>
      <c r="Y37" s="608"/>
      <c r="Z37" s="608"/>
      <c r="AA37" s="609"/>
      <c r="AB37" s="625"/>
      <c r="AC37" s="626"/>
      <c r="AD37" s="626"/>
      <c r="AE37" s="626"/>
      <c r="AF37" s="626"/>
      <c r="AG37" s="627"/>
      <c r="AH37" s="616"/>
      <c r="AI37" s="617"/>
      <c r="AJ37" s="617"/>
      <c r="AK37" s="617"/>
      <c r="AL37" s="617"/>
      <c r="AM37" s="618"/>
      <c r="AN37" s="72"/>
      <c r="AO37" s="677"/>
      <c r="AP37" s="678"/>
      <c r="AQ37" s="678"/>
      <c r="AR37" s="678"/>
      <c r="AS37" s="678"/>
      <c r="AT37" s="679"/>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row>
    <row r="38" spans="1:80" x14ac:dyDescent="0.25">
      <c r="A38" s="72"/>
      <c r="B38" s="642"/>
      <c r="C38" s="642"/>
      <c r="D38" s="643"/>
      <c r="E38" s="632" t="s">
        <v>97</v>
      </c>
      <c r="F38" s="633"/>
      <c r="G38" s="633"/>
      <c r="H38" s="633"/>
      <c r="I38" s="634"/>
      <c r="J38" s="601" t="e">
        <f>IF(AND('R. Gestión '!#REF!="Muy Baja",'R. Gestión '!#REF!="Leve"),CONCATENATE("R",'R. Gestión '!#REF!),"")</f>
        <v>#REF!</v>
      </c>
      <c r="K38" s="602"/>
      <c r="L38" s="602" t="str">
        <f ca="1">IF(AND('R. Gestión '!$K$31="Muy Baja",'R. Gestión '!$O$31="Leve"),CONCATENATE("R",'R. Gestión '!$A$31),"")</f>
        <v/>
      </c>
      <c r="M38" s="602"/>
      <c r="N38" s="602" t="e">
        <f>IF(AND('R. Gestión '!#REF!="Muy Baja",'R. Gestión '!#REF!="Leve"),CONCATENATE("R",'R. Gestión '!#REF!),"")</f>
        <v>#REF!</v>
      </c>
      <c r="O38" s="603"/>
      <c r="P38" s="601" t="e">
        <f>IF(AND('R. Gestión '!#REF!="Muy Baja",'R. Gestión '!#REF!="Menor"),CONCATENATE("R",'R. Gestión '!#REF!),"")</f>
        <v>#REF!</v>
      </c>
      <c r="Q38" s="602"/>
      <c r="R38" s="602" t="str">
        <f ca="1">IF(AND('R. Gestión '!$K$31="Muy Baja",'R. Gestión '!$O$31="Menor"),CONCATENATE("R",'R. Gestión '!$A$31),"")</f>
        <v/>
      </c>
      <c r="S38" s="602"/>
      <c r="T38" s="602" t="e">
        <f>IF(AND('R. Gestión '!#REF!="Muy Baja",'R. Gestión '!#REF!="Menor"),CONCATENATE("R",'R. Gestión '!#REF!),"")</f>
        <v>#REF!</v>
      </c>
      <c r="U38" s="603"/>
      <c r="V38" s="610" t="e">
        <f>IF(AND('R. Gestión '!#REF!="Muy Baja",'R. Gestión '!#REF!="Moderado"),CONCATENATE("R",'R. Gestión '!#REF!),"")</f>
        <v>#REF!</v>
      </c>
      <c r="W38" s="611"/>
      <c r="X38" s="611" t="str">
        <f ca="1">IF(AND('R. Gestión '!$K$31="Muy Baja",'R. Gestión '!$O$31="Moderado"),CONCATENATE("R",'R. Gestión '!$A$31),"")</f>
        <v/>
      </c>
      <c r="Y38" s="611"/>
      <c r="Z38" s="611" t="e">
        <f>IF(AND('R. Gestión '!#REF!="Muy Baja",'R. Gestión '!#REF!="Moderado"),CONCATENATE("R",'R. Gestión '!#REF!),"")</f>
        <v>#REF!</v>
      </c>
      <c r="AA38" s="612"/>
      <c r="AB38" s="628" t="e">
        <f>IF(AND('R. Gestión '!#REF!="Muy Baja",'R. Gestión '!#REF!="Mayor"),CONCATENATE("R",'R. Gestión '!#REF!),"")</f>
        <v>#REF!</v>
      </c>
      <c r="AC38" s="629"/>
      <c r="AD38" s="629" t="str">
        <f ca="1">IF(AND('R. Gestión '!$K$31="Muy Baja",'R. Gestión '!$O$31="Mayor"),CONCATENATE("R",'R. Gestión '!$A$31),"")</f>
        <v/>
      </c>
      <c r="AE38" s="629"/>
      <c r="AF38" s="629" t="e">
        <f>IF(AND('R. Gestión '!#REF!="Muy Baja",'R. Gestión '!#REF!="Mayor"),CONCATENATE("R",'R. Gestión '!#REF!),"")</f>
        <v>#REF!</v>
      </c>
      <c r="AG38" s="630"/>
      <c r="AH38" s="619" t="e">
        <f>IF(AND('R. Gestión '!#REF!="Muy Baja",'R. Gestión '!#REF!="Catastrófico"),CONCATENATE("R",'R. Gestión '!#REF!),"")</f>
        <v>#REF!</v>
      </c>
      <c r="AI38" s="620"/>
      <c r="AJ38" s="620" t="str">
        <f ca="1">IF(AND('R. Gestión '!$K$31="Muy Baja",'R. Gestión '!$O$31="Catastrófico"),CONCATENATE("R",'R. Gestión '!$A$31),"")</f>
        <v/>
      </c>
      <c r="AK38" s="620"/>
      <c r="AL38" s="620" t="e">
        <f>IF(AND('R. Gestión '!#REF!="Muy Baja",'R. Gestión '!#REF!="Catastrófico"),CONCATENATE("R",'R. Gestión '!#REF!),"")</f>
        <v>#REF!</v>
      </c>
      <c r="AM38" s="621"/>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row>
    <row r="39" spans="1:80" x14ac:dyDescent="0.25">
      <c r="A39" s="72"/>
      <c r="B39" s="642"/>
      <c r="C39" s="642"/>
      <c r="D39" s="643"/>
      <c r="E39" s="635"/>
      <c r="F39" s="636"/>
      <c r="G39" s="636"/>
      <c r="H39" s="636"/>
      <c r="I39" s="637"/>
      <c r="J39" s="595"/>
      <c r="K39" s="596"/>
      <c r="L39" s="596"/>
      <c r="M39" s="596"/>
      <c r="N39" s="596"/>
      <c r="O39" s="597"/>
      <c r="P39" s="595"/>
      <c r="Q39" s="596"/>
      <c r="R39" s="596"/>
      <c r="S39" s="596"/>
      <c r="T39" s="596"/>
      <c r="U39" s="597"/>
      <c r="V39" s="604"/>
      <c r="W39" s="605"/>
      <c r="X39" s="605"/>
      <c r="Y39" s="605"/>
      <c r="Z39" s="605"/>
      <c r="AA39" s="606"/>
      <c r="AB39" s="622"/>
      <c r="AC39" s="623"/>
      <c r="AD39" s="623"/>
      <c r="AE39" s="623"/>
      <c r="AF39" s="623"/>
      <c r="AG39" s="624"/>
      <c r="AH39" s="613"/>
      <c r="AI39" s="614"/>
      <c r="AJ39" s="614"/>
      <c r="AK39" s="614"/>
      <c r="AL39" s="614"/>
      <c r="AM39" s="615"/>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row>
    <row r="40" spans="1:80" x14ac:dyDescent="0.25">
      <c r="A40" s="72"/>
      <c r="B40" s="642"/>
      <c r="C40" s="642"/>
      <c r="D40" s="643"/>
      <c r="E40" s="635"/>
      <c r="F40" s="636"/>
      <c r="G40" s="636"/>
      <c r="H40" s="636"/>
      <c r="I40" s="637"/>
      <c r="J40" s="595" t="str">
        <f ca="1">IF(AND('R. Gestión '!$K$271="Muy Baja",'R. Gestión '!$O$271="Leve"),CONCATENATE("R",'R. Gestión '!$A$271),"")</f>
        <v/>
      </c>
      <c r="K40" s="596"/>
      <c r="L40" s="596" t="str">
        <f ca="1">IF(AND('R. Gestión '!$K$289="Muy Baja",'R. Gestión '!$O$289="Leve"),CONCATENATE("R",'R. Gestión '!$A$289),"")</f>
        <v/>
      </c>
      <c r="M40" s="596"/>
      <c r="N40" s="596" t="str">
        <f ca="1">IF(AND('R. Gestión '!$K$295="Muy Baja",'R. Gestión '!$O$295="Leve"),CONCATENATE("R",'R. Gestión '!$A$295),"")</f>
        <v/>
      </c>
      <c r="O40" s="597"/>
      <c r="P40" s="595" t="str">
        <f ca="1">IF(AND('R. Gestión '!$K$271="Muy Baja",'R. Gestión '!$O$271="Menor"),CONCATENATE("R",'R. Gestión '!$A$271),"")</f>
        <v/>
      </c>
      <c r="Q40" s="596"/>
      <c r="R40" s="596" t="str">
        <f ca="1">IF(AND('R. Gestión '!$K$289="Muy Baja",'R. Gestión '!$O$289="Menor"),CONCATENATE("R",'R. Gestión '!$A$289),"")</f>
        <v/>
      </c>
      <c r="S40" s="596"/>
      <c r="T40" s="596" t="str">
        <f ca="1">IF(AND('R. Gestión '!$K$295="Muy Baja",'R. Gestión '!$O$295="Menor"),CONCATENATE("R",'R. Gestión '!$A$295),"")</f>
        <v/>
      </c>
      <c r="U40" s="597"/>
      <c r="V40" s="604" t="str">
        <f ca="1">IF(AND('R. Gestión '!$K$271="Muy Baja",'R. Gestión '!$O$271="Moderado"),CONCATENATE("R",'R. Gestión '!$A$271),"")</f>
        <v/>
      </c>
      <c r="W40" s="605"/>
      <c r="X40" s="605" t="str">
        <f ca="1">IF(AND('R. Gestión '!$K$289="Muy Baja",'R. Gestión '!$O$289="Moderado"),CONCATENATE("R",'R. Gestión '!$A$289),"")</f>
        <v>RR58</v>
      </c>
      <c r="Y40" s="605"/>
      <c r="Z40" s="605" t="str">
        <f ca="1">IF(AND('R. Gestión '!$K$295="Muy Baja",'R. Gestión '!$O$295="Moderado"),CONCATENATE("R",'R. Gestión '!$A$295),"")</f>
        <v/>
      </c>
      <c r="AA40" s="606"/>
      <c r="AB40" s="622" t="str">
        <f ca="1">IF(AND('R. Gestión '!$K$271="Muy Baja",'R. Gestión '!$O$271="Mayor"),CONCATENATE("R",'R. Gestión '!$A$271),"")</f>
        <v/>
      </c>
      <c r="AC40" s="623"/>
      <c r="AD40" s="623" t="str">
        <f ca="1">IF(AND('R. Gestión '!$K$289="Muy Baja",'R. Gestión '!$O$289="Mayor"),CONCATENATE("R",'R. Gestión '!$A$289),"")</f>
        <v/>
      </c>
      <c r="AE40" s="623"/>
      <c r="AF40" s="623" t="str">
        <f ca="1">IF(AND('R. Gestión '!$K$295="Muy Baja",'R. Gestión '!$O$295="Mayor"),CONCATENATE("R",'R. Gestión '!$A$295),"")</f>
        <v/>
      </c>
      <c r="AG40" s="624"/>
      <c r="AH40" s="613" t="str">
        <f ca="1">IF(AND('R. Gestión '!$K$271="Muy Baja",'R. Gestión '!$O$271="Catastrófico"),CONCATENATE("R",'R. Gestión '!$A$271),"")</f>
        <v/>
      </c>
      <c r="AI40" s="614"/>
      <c r="AJ40" s="614" t="str">
        <f ca="1">IF(AND('R. Gestión '!$K$289="Muy Baja",'R. Gestión '!$O$289="Catastrófico"),CONCATENATE("R",'R. Gestión '!$A$289),"")</f>
        <v/>
      </c>
      <c r="AK40" s="614"/>
      <c r="AL40" s="614" t="str">
        <f ca="1">IF(AND('R. Gestión '!$K$295="Muy Baja",'R. Gestión '!$O$295="Catastrófico"),CONCATENATE("R",'R. Gestión '!$A$295),"")</f>
        <v/>
      </c>
      <c r="AM40" s="615"/>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row>
    <row r="41" spans="1:80" x14ac:dyDescent="0.25">
      <c r="A41" s="72"/>
      <c r="B41" s="642"/>
      <c r="C41" s="642"/>
      <c r="D41" s="643"/>
      <c r="E41" s="635"/>
      <c r="F41" s="636"/>
      <c r="G41" s="636"/>
      <c r="H41" s="636"/>
      <c r="I41" s="637"/>
      <c r="J41" s="595"/>
      <c r="K41" s="596"/>
      <c r="L41" s="596"/>
      <c r="M41" s="596"/>
      <c r="N41" s="596"/>
      <c r="O41" s="597"/>
      <c r="P41" s="595"/>
      <c r="Q41" s="596"/>
      <c r="R41" s="596"/>
      <c r="S41" s="596"/>
      <c r="T41" s="596"/>
      <c r="U41" s="597"/>
      <c r="V41" s="604"/>
      <c r="W41" s="605"/>
      <c r="X41" s="605"/>
      <c r="Y41" s="605"/>
      <c r="Z41" s="605"/>
      <c r="AA41" s="606"/>
      <c r="AB41" s="622"/>
      <c r="AC41" s="623"/>
      <c r="AD41" s="623"/>
      <c r="AE41" s="623"/>
      <c r="AF41" s="623"/>
      <c r="AG41" s="624"/>
      <c r="AH41" s="613"/>
      <c r="AI41" s="614"/>
      <c r="AJ41" s="614"/>
      <c r="AK41" s="614"/>
      <c r="AL41" s="614"/>
      <c r="AM41" s="615"/>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row>
    <row r="42" spans="1:80" x14ac:dyDescent="0.25">
      <c r="A42" s="72"/>
      <c r="B42" s="642"/>
      <c r="C42" s="642"/>
      <c r="D42" s="643"/>
      <c r="E42" s="635"/>
      <c r="F42" s="636"/>
      <c r="G42" s="636"/>
      <c r="H42" s="636"/>
      <c r="I42" s="637"/>
      <c r="J42" s="595" t="str">
        <f ca="1">IF(AND('R. Gestión '!$K$325="Muy Baja",'R. Gestión '!$O$325="Leve"),CONCATENATE("R",'R. Gestión '!$A$325),"")</f>
        <v/>
      </c>
      <c r="K42" s="596"/>
      <c r="L42" s="596" t="str">
        <f ca="1">IF(AND('R. Gestión '!$K$331="Muy Baja",'R. Gestión '!$O$331="Leve"),CONCATENATE("R",'R. Gestión '!$A$331),"")</f>
        <v/>
      </c>
      <c r="M42" s="596"/>
      <c r="N42" s="596" t="e">
        <f>IF(AND('R. Gestión '!#REF!="Muy Baja",'R. Gestión '!#REF!="Leve"),CONCATENATE("R",'R. Gestión '!#REF!),"")</f>
        <v>#REF!</v>
      </c>
      <c r="O42" s="597"/>
      <c r="P42" s="595" t="str">
        <f ca="1">IF(AND('R. Gestión '!$K$325="Muy Baja",'R. Gestión '!$O$325="Menor"),CONCATENATE("R",'R. Gestión '!$A$325),"")</f>
        <v/>
      </c>
      <c r="Q42" s="596"/>
      <c r="R42" s="596" t="str">
        <f ca="1">IF(AND('R. Gestión '!$K$331="Muy Baja",'R. Gestión '!$O$331="Menor"),CONCATENATE("R",'R. Gestión '!$A$331),"")</f>
        <v/>
      </c>
      <c r="S42" s="596"/>
      <c r="T42" s="596" t="e">
        <f>IF(AND('R. Gestión '!#REF!="Muy Baja",'R. Gestión '!#REF!="Menor"),CONCATENATE("R",'R. Gestión '!#REF!),"")</f>
        <v>#REF!</v>
      </c>
      <c r="U42" s="597"/>
      <c r="V42" s="604" t="str">
        <f ca="1">IF(AND('R. Gestión '!$K$325="Muy Baja",'R. Gestión '!$O$325="Moderado"),CONCATENATE("R",'R. Gestión '!$A$325),"")</f>
        <v>RR68</v>
      </c>
      <c r="W42" s="605"/>
      <c r="X42" s="605" t="str">
        <f ca="1">IF(AND('R. Gestión '!$K$331="Muy Baja",'R. Gestión '!$O$331="Moderado"),CONCATENATE("R",'R. Gestión '!$A$331),"")</f>
        <v/>
      </c>
      <c r="Y42" s="605"/>
      <c r="Z42" s="605" t="e">
        <f>IF(AND('R. Gestión '!#REF!="Muy Baja",'R. Gestión '!#REF!="Moderado"),CONCATENATE("R",'R. Gestión '!#REF!),"")</f>
        <v>#REF!</v>
      </c>
      <c r="AA42" s="606"/>
      <c r="AB42" s="622" t="str">
        <f ca="1">IF(AND('R. Gestión '!$K$325="Muy Baja",'R. Gestión '!$O$325="Mayor"),CONCATENATE("R",'R. Gestión '!$A$325),"")</f>
        <v/>
      </c>
      <c r="AC42" s="623"/>
      <c r="AD42" s="623" t="str">
        <f ca="1">IF(AND('R. Gestión '!$K$331="Muy Baja",'R. Gestión '!$O$331="Mayor"),CONCATENATE("R",'R. Gestión '!$A$331),"")</f>
        <v/>
      </c>
      <c r="AE42" s="623"/>
      <c r="AF42" s="623" t="e">
        <f>IF(AND('R. Gestión '!#REF!="Muy Baja",'R. Gestión '!#REF!="Mayor"),CONCATENATE("R",'R. Gestión '!#REF!),"")</f>
        <v>#REF!</v>
      </c>
      <c r="AG42" s="624"/>
      <c r="AH42" s="613" t="str">
        <f ca="1">IF(AND('R. Gestión '!$K$325="Muy Baja",'R. Gestión '!$O$325="Catastrófico"),CONCATENATE("R",'R. Gestión '!$A$325),"")</f>
        <v/>
      </c>
      <c r="AI42" s="614"/>
      <c r="AJ42" s="614" t="str">
        <f ca="1">IF(AND('R. Gestión '!$K$331="Muy Baja",'R. Gestión '!$O$331="Catastrófico"),CONCATENATE("R",'R. Gestión '!$A$331),"")</f>
        <v/>
      </c>
      <c r="AK42" s="614"/>
      <c r="AL42" s="614" t="e">
        <f>IF(AND('R. Gestión '!#REF!="Muy Baja",'R. Gestión '!#REF!="Catastrófico"),CONCATENATE("R",'R. Gestión '!#REF!),"")</f>
        <v>#REF!</v>
      </c>
      <c r="AM42" s="615"/>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row>
    <row r="43" spans="1:80" x14ac:dyDescent="0.25">
      <c r="A43" s="72"/>
      <c r="B43" s="642"/>
      <c r="C43" s="642"/>
      <c r="D43" s="643"/>
      <c r="E43" s="635"/>
      <c r="F43" s="636"/>
      <c r="G43" s="636"/>
      <c r="H43" s="636"/>
      <c r="I43" s="637"/>
      <c r="J43" s="595"/>
      <c r="K43" s="596"/>
      <c r="L43" s="596"/>
      <c r="M43" s="596"/>
      <c r="N43" s="596"/>
      <c r="O43" s="597"/>
      <c r="P43" s="595"/>
      <c r="Q43" s="596"/>
      <c r="R43" s="596"/>
      <c r="S43" s="596"/>
      <c r="T43" s="596"/>
      <c r="U43" s="597"/>
      <c r="V43" s="604"/>
      <c r="W43" s="605"/>
      <c r="X43" s="605"/>
      <c r="Y43" s="605"/>
      <c r="Z43" s="605"/>
      <c r="AA43" s="606"/>
      <c r="AB43" s="622"/>
      <c r="AC43" s="623"/>
      <c r="AD43" s="623"/>
      <c r="AE43" s="623"/>
      <c r="AF43" s="623"/>
      <c r="AG43" s="624"/>
      <c r="AH43" s="613"/>
      <c r="AI43" s="614"/>
      <c r="AJ43" s="614"/>
      <c r="AK43" s="614"/>
      <c r="AL43" s="614"/>
      <c r="AM43" s="615"/>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row>
    <row r="44" spans="1:80" x14ac:dyDescent="0.25">
      <c r="A44" s="72"/>
      <c r="B44" s="642"/>
      <c r="C44" s="642"/>
      <c r="D44" s="643"/>
      <c r="E44" s="635"/>
      <c r="F44" s="636"/>
      <c r="G44" s="636"/>
      <c r="H44" s="636"/>
      <c r="I44" s="637"/>
      <c r="J44" s="595" t="e">
        <f>IF(AND('R. Gestión '!#REF!="Muy Baja",'R. Gestión '!#REF!="Leve"),CONCATENATE("R",'R. Gestión '!#REF!),"")</f>
        <v>#REF!</v>
      </c>
      <c r="K44" s="596"/>
      <c r="L44" s="596" t="e">
        <f>IF(AND('R. Gestión '!#REF!="Muy Baja",'R. Gestión '!#REF!="Leve"),CONCATENATE("R",'R. Gestión '!#REF!),"")</f>
        <v>#REF!</v>
      </c>
      <c r="M44" s="596"/>
      <c r="N44" s="596" t="e">
        <f>IF(AND('R. Gestión '!#REF!="Muy Baja",'R. Gestión '!#REF!="Leve"),CONCATENATE("R",'R. Gestión '!#REF!),"")</f>
        <v>#REF!</v>
      </c>
      <c r="O44" s="597"/>
      <c r="P44" s="595" t="e">
        <f>IF(AND('R. Gestión '!#REF!="Muy Baja",'R. Gestión '!#REF!="Menor"),CONCATENATE("R",'R. Gestión '!#REF!),"")</f>
        <v>#REF!</v>
      </c>
      <c r="Q44" s="596"/>
      <c r="R44" s="596" t="e">
        <f>IF(AND('R. Gestión '!#REF!="Muy Baja",'R. Gestión '!#REF!="Menor"),CONCATENATE("R",'R. Gestión '!#REF!),"")</f>
        <v>#REF!</v>
      </c>
      <c r="S44" s="596"/>
      <c r="T44" s="596" t="e">
        <f>IF(AND('R. Gestión '!#REF!="Muy Baja",'R. Gestión '!#REF!="Menor"),CONCATENATE("R",'R. Gestión '!#REF!),"")</f>
        <v>#REF!</v>
      </c>
      <c r="U44" s="597"/>
      <c r="V44" s="604" t="e">
        <f>IF(AND('R. Gestión '!#REF!="Muy Baja",'R. Gestión '!#REF!="Moderado"),CONCATENATE("R",'R. Gestión '!#REF!),"")</f>
        <v>#REF!</v>
      </c>
      <c r="W44" s="605"/>
      <c r="X44" s="605" t="e">
        <f>IF(AND('R. Gestión '!#REF!="Muy Baja",'R. Gestión '!#REF!="Moderado"),CONCATENATE("R",'R. Gestión '!#REF!),"")</f>
        <v>#REF!</v>
      </c>
      <c r="Y44" s="605"/>
      <c r="Z44" s="605" t="e">
        <f>IF(AND('R. Gestión '!#REF!="Muy Baja",'R. Gestión '!#REF!="Moderado"),CONCATENATE("R",'R. Gestión '!#REF!),"")</f>
        <v>#REF!</v>
      </c>
      <c r="AA44" s="606"/>
      <c r="AB44" s="622" t="e">
        <f>IF(AND('R. Gestión '!#REF!="Muy Baja",'R. Gestión '!#REF!="Mayor"),CONCATENATE("R",'R. Gestión '!#REF!),"")</f>
        <v>#REF!</v>
      </c>
      <c r="AC44" s="623"/>
      <c r="AD44" s="623" t="e">
        <f>IF(AND('R. Gestión '!#REF!="Muy Baja",'R. Gestión '!#REF!="Mayor"),CONCATENATE("R",'R. Gestión '!#REF!),"")</f>
        <v>#REF!</v>
      </c>
      <c r="AE44" s="623"/>
      <c r="AF44" s="623" t="e">
        <f>IF(AND('R. Gestión '!#REF!="Muy Baja",'R. Gestión '!#REF!="Mayor"),CONCATENATE("R",'R. Gestión '!#REF!),"")</f>
        <v>#REF!</v>
      </c>
      <c r="AG44" s="624"/>
      <c r="AH44" s="613" t="e">
        <f>IF(AND('R. Gestión '!#REF!="Muy Baja",'R. Gestión '!#REF!="Catastrófico"),CONCATENATE("R",'R. Gestión '!#REF!),"")</f>
        <v>#REF!</v>
      </c>
      <c r="AI44" s="614"/>
      <c r="AJ44" s="614" t="e">
        <f>IF(AND('R. Gestión '!#REF!="Muy Baja",'R. Gestión '!#REF!="Catastrófico"),CONCATENATE("R",'R. Gestión '!#REF!),"")</f>
        <v>#REF!</v>
      </c>
      <c r="AK44" s="614"/>
      <c r="AL44" s="614" t="e">
        <f>IF(AND('R. Gestión '!#REF!="Muy Baja",'R. Gestión '!#REF!="Catastrófico"),CONCATENATE("R",'R. Gestión '!#REF!),"")</f>
        <v>#REF!</v>
      </c>
      <c r="AM44" s="615"/>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row>
    <row r="45" spans="1:80" ht="15.75" thickBot="1" x14ac:dyDescent="0.3">
      <c r="A45" s="72"/>
      <c r="B45" s="642"/>
      <c r="C45" s="642"/>
      <c r="D45" s="643"/>
      <c r="E45" s="638"/>
      <c r="F45" s="639"/>
      <c r="G45" s="639"/>
      <c r="H45" s="639"/>
      <c r="I45" s="640"/>
      <c r="J45" s="598"/>
      <c r="K45" s="599"/>
      <c r="L45" s="599"/>
      <c r="M45" s="599"/>
      <c r="N45" s="599"/>
      <c r="O45" s="600"/>
      <c r="P45" s="598"/>
      <c r="Q45" s="599"/>
      <c r="R45" s="599"/>
      <c r="S45" s="599"/>
      <c r="T45" s="599"/>
      <c r="U45" s="600"/>
      <c r="V45" s="607"/>
      <c r="W45" s="608"/>
      <c r="X45" s="608"/>
      <c r="Y45" s="608"/>
      <c r="Z45" s="608"/>
      <c r="AA45" s="609"/>
      <c r="AB45" s="625"/>
      <c r="AC45" s="626"/>
      <c r="AD45" s="626"/>
      <c r="AE45" s="626"/>
      <c r="AF45" s="626"/>
      <c r="AG45" s="627"/>
      <c r="AH45" s="616"/>
      <c r="AI45" s="617"/>
      <c r="AJ45" s="617"/>
      <c r="AK45" s="617"/>
      <c r="AL45" s="617"/>
      <c r="AM45" s="618"/>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row>
    <row r="46" spans="1:80" x14ac:dyDescent="0.25">
      <c r="A46" s="72"/>
      <c r="B46" s="72"/>
      <c r="C46" s="72"/>
      <c r="D46" s="72"/>
      <c r="E46" s="72"/>
      <c r="F46" s="72"/>
      <c r="G46" s="72"/>
      <c r="H46" s="72"/>
      <c r="I46" s="72"/>
      <c r="J46" s="632" t="s">
        <v>96</v>
      </c>
      <c r="K46" s="633"/>
      <c r="L46" s="633"/>
      <c r="M46" s="633"/>
      <c r="N46" s="633"/>
      <c r="O46" s="634"/>
      <c r="P46" s="632" t="s">
        <v>95</v>
      </c>
      <c r="Q46" s="633"/>
      <c r="R46" s="633"/>
      <c r="S46" s="633"/>
      <c r="T46" s="633"/>
      <c r="U46" s="634"/>
      <c r="V46" s="632" t="s">
        <v>94</v>
      </c>
      <c r="W46" s="633"/>
      <c r="X46" s="633"/>
      <c r="Y46" s="633"/>
      <c r="Z46" s="633"/>
      <c r="AA46" s="634"/>
      <c r="AB46" s="632" t="s">
        <v>93</v>
      </c>
      <c r="AC46" s="641"/>
      <c r="AD46" s="633"/>
      <c r="AE46" s="633"/>
      <c r="AF46" s="633"/>
      <c r="AG46" s="634"/>
      <c r="AH46" s="632" t="s">
        <v>92</v>
      </c>
      <c r="AI46" s="633"/>
      <c r="AJ46" s="633"/>
      <c r="AK46" s="633"/>
      <c r="AL46" s="633"/>
      <c r="AM46" s="634"/>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x14ac:dyDescent="0.25">
      <c r="A47" s="72"/>
      <c r="B47" s="72"/>
      <c r="C47" s="72"/>
      <c r="D47" s="72"/>
      <c r="E47" s="72"/>
      <c r="F47" s="72"/>
      <c r="G47" s="72"/>
      <c r="H47" s="72"/>
      <c r="I47" s="72"/>
      <c r="J47" s="635"/>
      <c r="K47" s="636"/>
      <c r="L47" s="636"/>
      <c r="M47" s="636"/>
      <c r="N47" s="636"/>
      <c r="O47" s="637"/>
      <c r="P47" s="635"/>
      <c r="Q47" s="636"/>
      <c r="R47" s="636"/>
      <c r="S47" s="636"/>
      <c r="T47" s="636"/>
      <c r="U47" s="637"/>
      <c r="V47" s="635"/>
      <c r="W47" s="636"/>
      <c r="X47" s="636"/>
      <c r="Y47" s="636"/>
      <c r="Z47" s="636"/>
      <c r="AA47" s="637"/>
      <c r="AB47" s="635"/>
      <c r="AC47" s="636"/>
      <c r="AD47" s="636"/>
      <c r="AE47" s="636"/>
      <c r="AF47" s="636"/>
      <c r="AG47" s="637"/>
      <c r="AH47" s="635"/>
      <c r="AI47" s="636"/>
      <c r="AJ47" s="636"/>
      <c r="AK47" s="636"/>
      <c r="AL47" s="636"/>
      <c r="AM47" s="637"/>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x14ac:dyDescent="0.25">
      <c r="A48" s="72"/>
      <c r="B48" s="72"/>
      <c r="C48" s="72"/>
      <c r="D48" s="72"/>
      <c r="E48" s="72"/>
      <c r="F48" s="72"/>
      <c r="G48" s="72"/>
      <c r="H48" s="72"/>
      <c r="I48" s="72"/>
      <c r="J48" s="635"/>
      <c r="K48" s="636"/>
      <c r="L48" s="636"/>
      <c r="M48" s="636"/>
      <c r="N48" s="636"/>
      <c r="O48" s="637"/>
      <c r="P48" s="635"/>
      <c r="Q48" s="636"/>
      <c r="R48" s="636"/>
      <c r="S48" s="636"/>
      <c r="T48" s="636"/>
      <c r="U48" s="637"/>
      <c r="V48" s="635"/>
      <c r="W48" s="636"/>
      <c r="X48" s="636"/>
      <c r="Y48" s="636"/>
      <c r="Z48" s="636"/>
      <c r="AA48" s="637"/>
      <c r="AB48" s="635"/>
      <c r="AC48" s="636"/>
      <c r="AD48" s="636"/>
      <c r="AE48" s="636"/>
      <c r="AF48" s="636"/>
      <c r="AG48" s="637"/>
      <c r="AH48" s="635"/>
      <c r="AI48" s="636"/>
      <c r="AJ48" s="636"/>
      <c r="AK48" s="636"/>
      <c r="AL48" s="636"/>
      <c r="AM48" s="637"/>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x14ac:dyDescent="0.25">
      <c r="A49" s="72"/>
      <c r="B49" s="72"/>
      <c r="C49" s="72"/>
      <c r="D49" s="72"/>
      <c r="E49" s="72"/>
      <c r="F49" s="72"/>
      <c r="G49" s="72"/>
      <c r="H49" s="72"/>
      <c r="I49" s="72"/>
      <c r="J49" s="635"/>
      <c r="K49" s="636"/>
      <c r="L49" s="636"/>
      <c r="M49" s="636"/>
      <c r="N49" s="636"/>
      <c r="O49" s="637"/>
      <c r="P49" s="635"/>
      <c r="Q49" s="636"/>
      <c r="R49" s="636"/>
      <c r="S49" s="636"/>
      <c r="T49" s="636"/>
      <c r="U49" s="637"/>
      <c r="V49" s="635"/>
      <c r="W49" s="636"/>
      <c r="X49" s="636"/>
      <c r="Y49" s="636"/>
      <c r="Z49" s="636"/>
      <c r="AA49" s="637"/>
      <c r="AB49" s="635"/>
      <c r="AC49" s="636"/>
      <c r="AD49" s="636"/>
      <c r="AE49" s="636"/>
      <c r="AF49" s="636"/>
      <c r="AG49" s="637"/>
      <c r="AH49" s="635"/>
      <c r="AI49" s="636"/>
      <c r="AJ49" s="636"/>
      <c r="AK49" s="636"/>
      <c r="AL49" s="636"/>
      <c r="AM49" s="637"/>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x14ac:dyDescent="0.25">
      <c r="A50" s="72"/>
      <c r="B50" s="72"/>
      <c r="C50" s="72"/>
      <c r="D50" s="72"/>
      <c r="E50" s="72"/>
      <c r="F50" s="72"/>
      <c r="G50" s="72"/>
      <c r="H50" s="72"/>
      <c r="I50" s="72"/>
      <c r="J50" s="635"/>
      <c r="K50" s="636"/>
      <c r="L50" s="636"/>
      <c r="M50" s="636"/>
      <c r="N50" s="636"/>
      <c r="O50" s="637"/>
      <c r="P50" s="635"/>
      <c r="Q50" s="636"/>
      <c r="R50" s="636"/>
      <c r="S50" s="636"/>
      <c r="T50" s="636"/>
      <c r="U50" s="637"/>
      <c r="V50" s="635"/>
      <c r="W50" s="636"/>
      <c r="X50" s="636"/>
      <c r="Y50" s="636"/>
      <c r="Z50" s="636"/>
      <c r="AA50" s="637"/>
      <c r="AB50" s="635"/>
      <c r="AC50" s="636"/>
      <c r="AD50" s="636"/>
      <c r="AE50" s="636"/>
      <c r="AF50" s="636"/>
      <c r="AG50" s="637"/>
      <c r="AH50" s="635"/>
      <c r="AI50" s="636"/>
      <c r="AJ50" s="636"/>
      <c r="AK50" s="636"/>
      <c r="AL50" s="636"/>
      <c r="AM50" s="637"/>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75" thickBot="1" x14ac:dyDescent="0.3">
      <c r="A51" s="72"/>
      <c r="B51" s="72"/>
      <c r="C51" s="72"/>
      <c r="D51" s="72"/>
      <c r="E51" s="72"/>
      <c r="F51" s="72"/>
      <c r="G51" s="72"/>
      <c r="H51" s="72"/>
      <c r="I51" s="72"/>
      <c r="J51" s="638"/>
      <c r="K51" s="639"/>
      <c r="L51" s="639"/>
      <c r="M51" s="639"/>
      <c r="N51" s="639"/>
      <c r="O51" s="640"/>
      <c r="P51" s="638"/>
      <c r="Q51" s="639"/>
      <c r="R51" s="639"/>
      <c r="S51" s="639"/>
      <c r="T51" s="639"/>
      <c r="U51" s="640"/>
      <c r="V51" s="638"/>
      <c r="W51" s="639"/>
      <c r="X51" s="639"/>
      <c r="Y51" s="639"/>
      <c r="Z51" s="639"/>
      <c r="AA51" s="640"/>
      <c r="AB51" s="638"/>
      <c r="AC51" s="639"/>
      <c r="AD51" s="639"/>
      <c r="AE51" s="639"/>
      <c r="AF51" s="639"/>
      <c r="AG51" s="640"/>
      <c r="AH51" s="638"/>
      <c r="AI51" s="639"/>
      <c r="AJ51" s="639"/>
      <c r="AK51" s="639"/>
      <c r="AL51" s="639"/>
      <c r="AM51" s="640"/>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x14ac:dyDescent="0.2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x14ac:dyDescent="0.2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row>
    <row r="63" spans="1:80" x14ac:dyDescent="0.2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row>
    <row r="64" spans="1:80" x14ac:dyDescent="0.2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row>
    <row r="65" spans="1:8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row>
    <row r="66" spans="1:8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row>
    <row r="67" spans="1:8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row>
    <row r="68" spans="1:8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row>
    <row r="69" spans="1:8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row>
    <row r="70" spans="1:8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row>
    <row r="71" spans="1:8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row>
    <row r="72" spans="1:8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row>
    <row r="73" spans="1:8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row>
    <row r="74" spans="1:8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row>
    <row r="75" spans="1:8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row>
    <row r="76" spans="1:8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row>
    <row r="77" spans="1:8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row>
    <row r="78" spans="1:8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row>
    <row r="79" spans="1:8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row>
    <row r="80" spans="1:8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row>
    <row r="81" spans="1:63"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row>
    <row r="82" spans="1:63"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row>
    <row r="83" spans="1:63"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row>
    <row r="84" spans="1:63"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row>
    <row r="85" spans="1:63"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row>
    <row r="86" spans="1:63"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row>
    <row r="87" spans="1:63"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row>
    <row r="88" spans="1:63"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row>
    <row r="89" spans="1:63"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row>
    <row r="90" spans="1:63"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row>
    <row r="91" spans="1:63"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row>
    <row r="92" spans="1:63"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row>
    <row r="93" spans="1:63"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row>
    <row r="94" spans="1:63"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row>
    <row r="95" spans="1:63"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row>
    <row r="96" spans="1:63"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row>
    <row r="97" spans="1:63"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row>
    <row r="98" spans="1:63"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row>
    <row r="99" spans="1:63"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row>
    <row r="100" spans="1:63"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row>
    <row r="101" spans="1:63"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row>
    <row r="102" spans="1:63"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row>
    <row r="103" spans="1:63"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row>
    <row r="104" spans="1:63"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row>
    <row r="105" spans="1:63"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row>
    <row r="106" spans="1:63"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row>
    <row r="107" spans="1:63"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row>
    <row r="108" spans="1:63"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row>
    <row r="109" spans="1:63"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row>
    <row r="110" spans="1:63"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row>
    <row r="111" spans="1:63"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row>
    <row r="112" spans="1:63"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row>
    <row r="113" spans="1:63"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row>
    <row r="114" spans="1:63"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row>
    <row r="115" spans="1:63"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row>
    <row r="116" spans="1:63"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row>
    <row r="117" spans="1:63"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row>
    <row r="118" spans="1:63"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row>
    <row r="119" spans="1:63"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row>
    <row r="120" spans="1:63"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row>
    <row r="121" spans="1:63"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row>
    <row r="122" spans="1:63" x14ac:dyDescent="0.25">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row>
    <row r="123" spans="1:63" x14ac:dyDescent="0.25">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row>
    <row r="124" spans="1:63" x14ac:dyDescent="0.25">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row>
    <row r="125" spans="1:63" x14ac:dyDescent="0.25">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row>
    <row r="126" spans="1:63" x14ac:dyDescent="0.25">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row>
    <row r="127" spans="1:63" x14ac:dyDescent="0.25">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row>
    <row r="128" spans="1:63" x14ac:dyDescent="0.25">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row>
    <row r="129" spans="2:63" x14ac:dyDescent="0.25">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row>
    <row r="130" spans="2:63" x14ac:dyDescent="0.25">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row>
    <row r="131" spans="2:63" x14ac:dyDescent="0.25">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row>
    <row r="132" spans="2:63" x14ac:dyDescent="0.25">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row>
    <row r="133" spans="2:63" x14ac:dyDescent="0.25">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row>
    <row r="134" spans="2:63" x14ac:dyDescent="0.25">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row>
    <row r="135" spans="2:63" x14ac:dyDescent="0.25">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row>
    <row r="136" spans="2:63" x14ac:dyDescent="0.25">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row>
    <row r="137" spans="2:63" x14ac:dyDescent="0.25">
      <c r="B137" s="72"/>
      <c r="C137" s="72"/>
      <c r="D137" s="72"/>
      <c r="E137" s="72"/>
      <c r="F137" s="72"/>
      <c r="G137" s="72"/>
      <c r="H137" s="72"/>
      <c r="I137" s="72"/>
    </row>
    <row r="138" spans="2:63" x14ac:dyDescent="0.25">
      <c r="B138" s="72"/>
      <c r="C138" s="72"/>
      <c r="D138" s="72"/>
      <c r="E138" s="72"/>
      <c r="F138" s="72"/>
      <c r="G138" s="72"/>
      <c r="H138" s="72"/>
      <c r="I138" s="72"/>
    </row>
    <row r="139" spans="2:63" x14ac:dyDescent="0.25">
      <c r="B139" s="72"/>
      <c r="C139" s="72"/>
      <c r="D139" s="72"/>
      <c r="E139" s="72"/>
      <c r="F139" s="72"/>
      <c r="G139" s="72"/>
      <c r="H139" s="72"/>
      <c r="I139" s="72"/>
    </row>
    <row r="140" spans="2:63" x14ac:dyDescent="0.25">
      <c r="B140" s="72"/>
      <c r="C140" s="72"/>
      <c r="D140" s="72"/>
      <c r="E140" s="72"/>
      <c r="F140" s="72"/>
      <c r="G140" s="72"/>
      <c r="H140" s="72"/>
      <c r="I140" s="72"/>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AS50" sqref="AS50"/>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row>
    <row r="2" spans="1:91" ht="18" customHeight="1" x14ac:dyDescent="0.25">
      <c r="A2" s="72"/>
      <c r="B2" s="709" t="s">
        <v>126</v>
      </c>
      <c r="C2" s="710"/>
      <c r="D2" s="710"/>
      <c r="E2" s="710"/>
      <c r="F2" s="710"/>
      <c r="G2" s="710"/>
      <c r="H2" s="710"/>
      <c r="I2" s="710"/>
      <c r="J2" s="631" t="s">
        <v>1</v>
      </c>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row>
    <row r="3" spans="1:91" ht="18.75" customHeight="1" x14ac:dyDescent="0.25">
      <c r="A3" s="72"/>
      <c r="B3" s="710"/>
      <c r="C3" s="710"/>
      <c r="D3" s="710"/>
      <c r="E3" s="710"/>
      <c r="F3" s="710"/>
      <c r="G3" s="710"/>
      <c r="H3" s="710"/>
      <c r="I3" s="710"/>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row>
    <row r="4" spans="1:91" ht="15" customHeight="1" x14ac:dyDescent="0.25">
      <c r="A4" s="72"/>
      <c r="B4" s="710"/>
      <c r="C4" s="710"/>
      <c r="D4" s="710"/>
      <c r="E4" s="710"/>
      <c r="F4" s="710"/>
      <c r="G4" s="710"/>
      <c r="H4" s="710"/>
      <c r="I4" s="710"/>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row>
    <row r="5" spans="1:91" ht="15.75" thickBot="1" x14ac:dyDescent="0.3">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row>
    <row r="6" spans="1:91" ht="15" customHeight="1" x14ac:dyDescent="0.25">
      <c r="A6" s="72"/>
      <c r="B6" s="642" t="s">
        <v>3</v>
      </c>
      <c r="C6" s="642"/>
      <c r="D6" s="643"/>
      <c r="E6" s="680" t="s">
        <v>100</v>
      </c>
      <c r="F6" s="681"/>
      <c r="G6" s="681"/>
      <c r="H6" s="681"/>
      <c r="I6" s="682"/>
      <c r="J6" s="35" t="e">
        <f>IF(AND('R. Gestión '!#REF!="Muy Alta",'R. Gestión '!#REF!="Leve"),CONCATENATE("R1C",'R. Gestión '!#REF!),"")</f>
        <v>#REF!</v>
      </c>
      <c r="K6" s="36" t="e">
        <f>IF(AND('R. Gestión '!#REF!="Muy Alta",'R. Gestión '!#REF!="Leve"),CONCATENATE("R1C",'R. Gestión '!#REF!),"")</f>
        <v>#REF!</v>
      </c>
      <c r="L6" s="36" t="e">
        <f>IF(AND('R. Gestión '!#REF!="Muy Alta",'R. Gestión '!#REF!="Leve"),CONCATENATE("R1C",'R. Gestión '!#REF!),"")</f>
        <v>#REF!</v>
      </c>
      <c r="M6" s="36" t="e">
        <f>IF(AND('R. Gestión '!#REF!="Muy Alta",'R. Gestión '!#REF!="Leve"),CONCATENATE("R1C",'R. Gestión '!#REF!),"")</f>
        <v>#REF!</v>
      </c>
      <c r="N6" s="36" t="e">
        <f>IF(AND('R. Gestión '!#REF!="Muy Alta",'R. Gestión '!#REF!="Leve"),CONCATENATE("R1C",'R. Gestión '!#REF!),"")</f>
        <v>#REF!</v>
      </c>
      <c r="O6" s="37" t="e">
        <f>IF(AND('R. Gestión '!#REF!="Muy Alta",'R. Gestión '!#REF!="Leve"),CONCATENATE("R1C",'R. Gestión '!#REF!),"")</f>
        <v>#REF!</v>
      </c>
      <c r="P6" s="35" t="e">
        <f>IF(AND('R. Gestión '!#REF!="Muy Alta",'R. Gestión '!#REF!="Menor"),CONCATENATE("R1C",'R. Gestión '!#REF!),"")</f>
        <v>#REF!</v>
      </c>
      <c r="Q6" s="36" t="e">
        <f>IF(AND('R. Gestión '!#REF!="Muy Alta",'R. Gestión '!#REF!="Menor"),CONCATENATE("R1C",'R. Gestión '!#REF!),"")</f>
        <v>#REF!</v>
      </c>
      <c r="R6" s="36" t="e">
        <f>IF(AND('R. Gestión '!#REF!="Muy Alta",'R. Gestión '!#REF!="Menor"),CONCATENATE("R1C",'R. Gestión '!#REF!),"")</f>
        <v>#REF!</v>
      </c>
      <c r="S6" s="36" t="e">
        <f>IF(AND('R. Gestión '!#REF!="Muy Alta",'R. Gestión '!#REF!="Menor"),CONCATENATE("R1C",'R. Gestión '!#REF!),"")</f>
        <v>#REF!</v>
      </c>
      <c r="T6" s="36" t="e">
        <f>IF(AND('R. Gestión '!#REF!="Muy Alta",'R. Gestión '!#REF!="Menor"),CONCATENATE("R1C",'R. Gestión '!#REF!),"")</f>
        <v>#REF!</v>
      </c>
      <c r="U6" s="37" t="e">
        <f>IF(AND('R. Gestión '!#REF!="Muy Alta",'R. Gestión '!#REF!="Menor"),CONCATENATE("R1C",'R. Gestión '!#REF!),"")</f>
        <v>#REF!</v>
      </c>
      <c r="V6" s="35" t="e">
        <f>IF(AND('R. Gestión '!#REF!="Muy Alta",'R. Gestión '!#REF!="Moderado"),CONCATENATE("R1C",'R. Gestión '!#REF!),"")</f>
        <v>#REF!</v>
      </c>
      <c r="W6" s="36" t="e">
        <f>IF(AND('R. Gestión '!#REF!="Muy Alta",'R. Gestión '!#REF!="Moderado"),CONCATENATE("R1C",'R. Gestión '!#REF!),"")</f>
        <v>#REF!</v>
      </c>
      <c r="X6" s="36" t="e">
        <f>IF(AND('R. Gestión '!#REF!="Muy Alta",'R. Gestión '!#REF!="Moderado"),CONCATENATE("R1C",'R. Gestión '!#REF!),"")</f>
        <v>#REF!</v>
      </c>
      <c r="Y6" s="36" t="e">
        <f>IF(AND('R. Gestión '!#REF!="Muy Alta",'R. Gestión '!#REF!="Moderado"),CONCATENATE("R1C",'R. Gestión '!#REF!),"")</f>
        <v>#REF!</v>
      </c>
      <c r="Z6" s="36" t="e">
        <f>IF(AND('R. Gestión '!#REF!="Muy Alta",'R. Gestión '!#REF!="Moderado"),CONCATENATE("R1C",'R. Gestión '!#REF!),"")</f>
        <v>#REF!</v>
      </c>
      <c r="AA6" s="37" t="e">
        <f>IF(AND('R. Gestión '!#REF!="Muy Alta",'R. Gestión '!#REF!="Moderado"),CONCATENATE("R1C",'R. Gestión '!#REF!),"")</f>
        <v>#REF!</v>
      </c>
      <c r="AB6" s="35" t="e">
        <f>IF(AND('R. Gestión '!#REF!="Muy Alta",'R. Gestión '!#REF!="Mayor"),CONCATENATE("R1C",'R. Gestión '!#REF!),"")</f>
        <v>#REF!</v>
      </c>
      <c r="AC6" s="36" t="e">
        <f>IF(AND('R. Gestión '!#REF!="Muy Alta",'R. Gestión '!#REF!="Mayor"),CONCATENATE("R1C",'R. Gestión '!#REF!),"")</f>
        <v>#REF!</v>
      </c>
      <c r="AD6" s="36" t="e">
        <f>IF(AND('R. Gestión '!#REF!="Muy Alta",'R. Gestión '!#REF!="Mayor"),CONCATENATE("R1C",'R. Gestión '!#REF!),"")</f>
        <v>#REF!</v>
      </c>
      <c r="AE6" s="36" t="e">
        <f>IF(AND('R. Gestión '!#REF!="Muy Alta",'R. Gestión '!#REF!="Mayor"),CONCATENATE("R1C",'R. Gestión '!#REF!),"")</f>
        <v>#REF!</v>
      </c>
      <c r="AF6" s="36" t="e">
        <f>IF(AND('R. Gestión '!#REF!="Muy Alta",'R. Gestión '!#REF!="Mayor"),CONCATENATE("R1C",'R. Gestión '!#REF!),"")</f>
        <v>#REF!</v>
      </c>
      <c r="AG6" s="37" t="e">
        <f>IF(AND('R. Gestión '!#REF!="Muy Alta",'R. Gestión '!#REF!="Mayor"),CONCATENATE("R1C",'R. Gestión '!#REF!),"")</f>
        <v>#REF!</v>
      </c>
      <c r="AH6" s="38" t="e">
        <f>IF(AND('R. Gestión '!#REF!="Muy Alta",'R. Gestión '!#REF!="Catastrófico"),CONCATENATE("R1C",'R. Gestión '!#REF!),"")</f>
        <v>#REF!</v>
      </c>
      <c r="AI6" s="39" t="e">
        <f>IF(AND('R. Gestión '!#REF!="Muy Alta",'R. Gestión '!#REF!="Catastrófico"),CONCATENATE("R1C",'R. Gestión '!#REF!),"")</f>
        <v>#REF!</v>
      </c>
      <c r="AJ6" s="39" t="e">
        <f>IF(AND('R. Gestión '!#REF!="Muy Alta",'R. Gestión '!#REF!="Catastrófico"),CONCATENATE("R1C",'R. Gestión '!#REF!),"")</f>
        <v>#REF!</v>
      </c>
      <c r="AK6" s="39" t="e">
        <f>IF(AND('R. Gestión '!#REF!="Muy Alta",'R. Gestión '!#REF!="Catastrófico"),CONCATENATE("R1C",'R. Gestión '!#REF!),"")</f>
        <v>#REF!</v>
      </c>
      <c r="AL6" s="39" t="e">
        <f>IF(AND('R. Gestión '!#REF!="Muy Alta",'R. Gestión '!#REF!="Catastrófico"),CONCATENATE("R1C",'R. Gestión '!#REF!),"")</f>
        <v>#REF!</v>
      </c>
      <c r="AM6" s="40" t="e">
        <f>IF(AND('R. Gestión '!#REF!="Muy Alta",'R. Gestión '!#REF!="Catastrófico"),CONCATENATE("R1C",'R. Gestión '!#REF!),"")</f>
        <v>#REF!</v>
      </c>
      <c r="AN6" s="72"/>
      <c r="AO6" s="700" t="s">
        <v>65</v>
      </c>
      <c r="AP6" s="701"/>
      <c r="AQ6" s="701"/>
      <c r="AR6" s="701"/>
      <c r="AS6" s="701"/>
      <c r="AT6" s="70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row>
    <row r="7" spans="1:91" ht="15" customHeight="1" x14ac:dyDescent="0.25">
      <c r="A7" s="72"/>
      <c r="B7" s="642"/>
      <c r="C7" s="642"/>
      <c r="D7" s="643"/>
      <c r="E7" s="683"/>
      <c r="F7" s="684"/>
      <c r="G7" s="684"/>
      <c r="H7" s="684"/>
      <c r="I7" s="685"/>
      <c r="J7" s="41" t="str">
        <f ca="1">IF(AND('R. Gestión '!$AC$31="Muy Alta",'R. Gestión '!$AE$31="Leve"),CONCATENATE("R2C",'R. Gestión '!$R$31),"")</f>
        <v/>
      </c>
      <c r="K7" s="42" t="str">
        <f ca="1">IF(AND('R. Gestión '!$AC$32="Muy Alta",'R. Gestión '!$AE$32="Leve"),CONCATENATE("R2C",'R. Gestión '!$R$32),"")</f>
        <v/>
      </c>
      <c r="L7" s="42" t="str">
        <f ca="1">IF(AND('R. Gestión '!$AC$33="Muy Alta",'R. Gestión '!$AE$33="Leve"),CONCATENATE("R2C",'R. Gestión '!$R$33),"")</f>
        <v/>
      </c>
      <c r="M7" s="42" t="str">
        <f>IF(AND('R. Gestión '!$AC$34="Muy Alta",'R. Gestión '!$AE$34="Leve"),CONCATENATE("R2C",'R. Gestión '!$R$34),"")</f>
        <v/>
      </c>
      <c r="N7" s="42" t="str">
        <f>IF(AND('R. Gestión '!$AC$35="Muy Alta",'R. Gestión '!$AE$35="Leve"),CONCATENATE("R2C",'R. Gestión '!$R$35),"")</f>
        <v/>
      </c>
      <c r="O7" s="43" t="str">
        <f>IF(AND('R. Gestión '!$AC$36="Muy Alta",'R. Gestión '!$AE$36="Leve"),CONCATENATE("R2C",'R. Gestión '!$R$36),"")</f>
        <v/>
      </c>
      <c r="P7" s="41" t="str">
        <f ca="1">IF(AND('R. Gestión '!$AC$31="Muy Alta",'R. Gestión '!$AE$31="Menor"),CONCATENATE("R2C",'R. Gestión '!$R$31),"")</f>
        <v/>
      </c>
      <c r="Q7" s="42" t="str">
        <f ca="1">IF(AND('R. Gestión '!$AC$32="Muy Alta",'R. Gestión '!$AE$32="Menor"),CONCATENATE("R2C",'R. Gestión '!$R$32),"")</f>
        <v/>
      </c>
      <c r="R7" s="42" t="str">
        <f ca="1">IF(AND('R. Gestión '!$AC$33="Muy Alta",'R. Gestión '!$AE$33="Menor"),CONCATENATE("R2C",'R. Gestión '!$R$33),"")</f>
        <v/>
      </c>
      <c r="S7" s="42" t="str">
        <f>IF(AND('R. Gestión '!$AC$34="Muy Alta",'R. Gestión '!$AE$34="Menor"),CONCATENATE("R2C",'R. Gestión '!$R$34),"")</f>
        <v/>
      </c>
      <c r="T7" s="42" t="str">
        <f>IF(AND('R. Gestión '!$AC$35="Muy Alta",'R. Gestión '!$AE$35="Menor"),CONCATENATE("R2C",'R. Gestión '!$R$35),"")</f>
        <v/>
      </c>
      <c r="U7" s="43" t="str">
        <f>IF(AND('R. Gestión '!$AC$36="Muy Alta",'R. Gestión '!$AE$36="Menor"),CONCATENATE("R2C",'R. Gestión '!$R$36),"")</f>
        <v/>
      </c>
      <c r="V7" s="41" t="str">
        <f ca="1">IF(AND('R. Gestión '!$AC$31="Muy Alta",'R. Gestión '!$AE$31="Moderado"),CONCATENATE("R2C",'R. Gestión '!$R$31),"")</f>
        <v/>
      </c>
      <c r="W7" s="42" t="str">
        <f ca="1">IF(AND('R. Gestión '!$AC$32="Muy Alta",'R. Gestión '!$AE$32="Moderado"),CONCATENATE("R2C",'R. Gestión '!$R$32),"")</f>
        <v/>
      </c>
      <c r="X7" s="42" t="str">
        <f ca="1">IF(AND('R. Gestión '!$AC$33="Muy Alta",'R. Gestión '!$AE$33="Moderado"),CONCATENATE("R2C",'R. Gestión '!$R$33),"")</f>
        <v/>
      </c>
      <c r="Y7" s="42" t="str">
        <f>IF(AND('R. Gestión '!$AC$34="Muy Alta",'R. Gestión '!$AE$34="Moderado"),CONCATENATE("R2C",'R. Gestión '!$R$34),"")</f>
        <v/>
      </c>
      <c r="Z7" s="42" t="str">
        <f>IF(AND('R. Gestión '!$AC$35="Muy Alta",'R. Gestión '!$AE$35="Moderado"),CONCATENATE("R2C",'R. Gestión '!$R$35),"")</f>
        <v/>
      </c>
      <c r="AA7" s="43" t="str">
        <f>IF(AND('R. Gestión '!$AC$36="Muy Alta",'R. Gestión '!$AE$36="Moderado"),CONCATENATE("R2C",'R. Gestión '!$R$36),"")</f>
        <v/>
      </c>
      <c r="AB7" s="41" t="str">
        <f ca="1">IF(AND('R. Gestión '!$AC$31="Muy Alta",'R. Gestión '!$AE$31="Mayor"),CONCATENATE("R2C",'R. Gestión '!$R$31),"")</f>
        <v/>
      </c>
      <c r="AC7" s="42" t="str">
        <f ca="1">IF(AND('R. Gestión '!$AC$32="Muy Alta",'R. Gestión '!$AE$32="Mayor"),CONCATENATE("R2C",'R. Gestión '!$R$32),"")</f>
        <v/>
      </c>
      <c r="AD7" s="42" t="str">
        <f ca="1">IF(AND('R. Gestión '!$AC$33="Muy Alta",'R. Gestión '!$AE$33="Mayor"),CONCATENATE("R2C",'R. Gestión '!$R$33),"")</f>
        <v/>
      </c>
      <c r="AE7" s="42" t="str">
        <f>IF(AND('R. Gestión '!$AC$34="Muy Alta",'R. Gestión '!$AE$34="Mayor"),CONCATENATE("R2C",'R. Gestión '!$R$34),"")</f>
        <v/>
      </c>
      <c r="AF7" s="42" t="str">
        <f>IF(AND('R. Gestión '!$AC$35="Muy Alta",'R. Gestión '!$AE$35="Mayor"),CONCATENATE("R2C",'R. Gestión '!$R$35),"")</f>
        <v/>
      </c>
      <c r="AG7" s="43" t="str">
        <f>IF(AND('R. Gestión '!$AC$36="Muy Alta",'R. Gestión '!$AE$36="Mayor"),CONCATENATE("R2C",'R. Gestión '!$R$36),"")</f>
        <v/>
      </c>
      <c r="AH7" s="44" t="str">
        <f ca="1">IF(AND('R. Gestión '!$AC$31="Muy Alta",'R. Gestión '!$AE$31="Catastrófico"),CONCATENATE("R2C",'R. Gestión '!$R$31),"")</f>
        <v/>
      </c>
      <c r="AI7" s="45" t="str">
        <f ca="1">IF(AND('R. Gestión '!$AC$32="Muy Alta",'R. Gestión '!$AE$32="Catastrófico"),CONCATENATE("R2C",'R. Gestión '!$R$32),"")</f>
        <v/>
      </c>
      <c r="AJ7" s="45" t="str">
        <f ca="1">IF(AND('R. Gestión '!$AC$33="Muy Alta",'R. Gestión '!$AE$33="Catastrófico"),CONCATENATE("R2C",'R. Gestión '!$R$33),"")</f>
        <v/>
      </c>
      <c r="AK7" s="45" t="str">
        <f>IF(AND('R. Gestión '!$AC$34="Muy Alta",'R. Gestión '!$AE$34="Catastrófico"),CONCATENATE("R2C",'R. Gestión '!$R$34),"")</f>
        <v/>
      </c>
      <c r="AL7" s="45" t="str">
        <f>IF(AND('R. Gestión '!$AC$35="Muy Alta",'R. Gestión '!$AE$35="Catastrófico"),CONCATENATE("R2C",'R. Gestión '!$R$35),"")</f>
        <v/>
      </c>
      <c r="AM7" s="46" t="str">
        <f>IF(AND('R. Gestión '!$AC$36="Muy Alta",'R. Gestión '!$AE$36="Catastrófico"),CONCATENATE("R2C",'R. Gestión '!$R$36),"")</f>
        <v/>
      </c>
      <c r="AN7" s="72"/>
      <c r="AO7" s="703"/>
      <c r="AP7" s="704"/>
      <c r="AQ7" s="704"/>
      <c r="AR7" s="704"/>
      <c r="AS7" s="704"/>
      <c r="AT7" s="705"/>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row>
    <row r="8" spans="1:91" ht="15" customHeight="1" x14ac:dyDescent="0.25">
      <c r="A8" s="72"/>
      <c r="B8" s="642"/>
      <c r="C8" s="642"/>
      <c r="D8" s="643"/>
      <c r="E8" s="683"/>
      <c r="F8" s="684"/>
      <c r="G8" s="684"/>
      <c r="H8" s="684"/>
      <c r="I8" s="685"/>
      <c r="J8" s="41" t="e">
        <f>IF(AND('R. Gestión '!#REF!="Muy Alta",'R. Gestión '!#REF!="Leve"),CONCATENATE("R3C",'R. Gestión '!#REF!),"")</f>
        <v>#REF!</v>
      </c>
      <c r="K8" s="42" t="e">
        <f>IF(AND('R. Gestión '!#REF!="Muy Alta",'R. Gestión '!#REF!="Leve"),CONCATENATE("R3C",'R. Gestión '!#REF!),"")</f>
        <v>#REF!</v>
      </c>
      <c r="L8" s="42" t="e">
        <f>IF(AND('R. Gestión '!#REF!="Muy Alta",'R. Gestión '!#REF!="Leve"),CONCATENATE("R3C",'R. Gestión '!#REF!),"")</f>
        <v>#REF!</v>
      </c>
      <c r="M8" s="42" t="e">
        <f>IF(AND('R. Gestión '!#REF!="Muy Alta",'R. Gestión '!#REF!="Leve"),CONCATENATE("R3C",'R. Gestión '!#REF!),"")</f>
        <v>#REF!</v>
      </c>
      <c r="N8" s="42" t="e">
        <f>IF(AND('R. Gestión '!#REF!="Muy Alta",'R. Gestión '!#REF!="Leve"),CONCATENATE("R3C",'R. Gestión '!#REF!),"")</f>
        <v>#REF!</v>
      </c>
      <c r="O8" s="43" t="e">
        <f>IF(AND('R. Gestión '!#REF!="Muy Alta",'R. Gestión '!#REF!="Leve"),CONCATENATE("R3C",'R. Gestión '!#REF!),"")</f>
        <v>#REF!</v>
      </c>
      <c r="P8" s="41" t="e">
        <f>IF(AND('R. Gestión '!#REF!="Muy Alta",'R. Gestión '!#REF!="Menor"),CONCATENATE("R3C",'R. Gestión '!#REF!),"")</f>
        <v>#REF!</v>
      </c>
      <c r="Q8" s="42" t="e">
        <f>IF(AND('R. Gestión '!#REF!="Muy Alta",'R. Gestión '!#REF!="Menor"),CONCATENATE("R3C",'R. Gestión '!#REF!),"")</f>
        <v>#REF!</v>
      </c>
      <c r="R8" s="42" t="e">
        <f>IF(AND('R. Gestión '!#REF!="Muy Alta",'R. Gestión '!#REF!="Menor"),CONCATENATE("R3C",'R. Gestión '!#REF!),"")</f>
        <v>#REF!</v>
      </c>
      <c r="S8" s="42" t="e">
        <f>IF(AND('R. Gestión '!#REF!="Muy Alta",'R. Gestión '!#REF!="Menor"),CONCATENATE("R3C",'R. Gestión '!#REF!),"")</f>
        <v>#REF!</v>
      </c>
      <c r="T8" s="42" t="e">
        <f>IF(AND('R. Gestión '!#REF!="Muy Alta",'R. Gestión '!#REF!="Menor"),CONCATENATE("R3C",'R. Gestión '!#REF!),"")</f>
        <v>#REF!</v>
      </c>
      <c r="U8" s="43" t="e">
        <f>IF(AND('R. Gestión '!#REF!="Muy Alta",'R. Gestión '!#REF!="Menor"),CONCATENATE("R3C",'R. Gestión '!#REF!),"")</f>
        <v>#REF!</v>
      </c>
      <c r="V8" s="41" t="e">
        <f>IF(AND('R. Gestión '!#REF!="Muy Alta",'R. Gestión '!#REF!="Moderado"),CONCATENATE("R3C",'R. Gestión '!#REF!),"")</f>
        <v>#REF!</v>
      </c>
      <c r="W8" s="42" t="e">
        <f>IF(AND('R. Gestión '!#REF!="Muy Alta",'R. Gestión '!#REF!="Moderado"),CONCATENATE("R3C",'R. Gestión '!#REF!),"")</f>
        <v>#REF!</v>
      </c>
      <c r="X8" s="42" t="e">
        <f>IF(AND('R. Gestión '!#REF!="Muy Alta",'R. Gestión '!#REF!="Moderado"),CONCATENATE("R3C",'R. Gestión '!#REF!),"")</f>
        <v>#REF!</v>
      </c>
      <c r="Y8" s="42" t="e">
        <f>IF(AND('R. Gestión '!#REF!="Muy Alta",'R. Gestión '!#REF!="Moderado"),CONCATENATE("R3C",'R. Gestión '!#REF!),"")</f>
        <v>#REF!</v>
      </c>
      <c r="Z8" s="42" t="e">
        <f>IF(AND('R. Gestión '!#REF!="Muy Alta",'R. Gestión '!#REF!="Moderado"),CONCATENATE("R3C",'R. Gestión '!#REF!),"")</f>
        <v>#REF!</v>
      </c>
      <c r="AA8" s="43" t="e">
        <f>IF(AND('R. Gestión '!#REF!="Muy Alta",'R. Gestión '!#REF!="Moderado"),CONCATENATE("R3C",'R. Gestión '!#REF!),"")</f>
        <v>#REF!</v>
      </c>
      <c r="AB8" s="41" t="e">
        <f>IF(AND('R. Gestión '!#REF!="Muy Alta",'R. Gestión '!#REF!="Mayor"),CONCATENATE("R3C",'R. Gestión '!#REF!),"")</f>
        <v>#REF!</v>
      </c>
      <c r="AC8" s="42" t="e">
        <f>IF(AND('R. Gestión '!#REF!="Muy Alta",'R. Gestión '!#REF!="Mayor"),CONCATENATE("R3C",'R. Gestión '!#REF!),"")</f>
        <v>#REF!</v>
      </c>
      <c r="AD8" s="42" t="e">
        <f>IF(AND('R. Gestión '!#REF!="Muy Alta",'R. Gestión '!#REF!="Mayor"),CONCATENATE("R3C",'R. Gestión '!#REF!),"")</f>
        <v>#REF!</v>
      </c>
      <c r="AE8" s="42" t="e">
        <f>IF(AND('R. Gestión '!#REF!="Muy Alta",'R. Gestión '!#REF!="Mayor"),CONCATENATE("R3C",'R. Gestión '!#REF!),"")</f>
        <v>#REF!</v>
      </c>
      <c r="AF8" s="42" t="e">
        <f>IF(AND('R. Gestión '!#REF!="Muy Alta",'R. Gestión '!#REF!="Mayor"),CONCATENATE("R3C",'R. Gestión '!#REF!),"")</f>
        <v>#REF!</v>
      </c>
      <c r="AG8" s="43" t="e">
        <f>IF(AND('R. Gestión '!#REF!="Muy Alta",'R. Gestión '!#REF!="Mayor"),CONCATENATE("R3C",'R. Gestión '!#REF!),"")</f>
        <v>#REF!</v>
      </c>
      <c r="AH8" s="44" t="e">
        <f>IF(AND('R. Gestión '!#REF!="Muy Alta",'R. Gestión '!#REF!="Catastrófico"),CONCATENATE("R3C",'R. Gestión '!#REF!),"")</f>
        <v>#REF!</v>
      </c>
      <c r="AI8" s="45" t="e">
        <f>IF(AND('R. Gestión '!#REF!="Muy Alta",'R. Gestión '!#REF!="Catastrófico"),CONCATENATE("R3C",'R. Gestión '!#REF!),"")</f>
        <v>#REF!</v>
      </c>
      <c r="AJ8" s="45" t="e">
        <f>IF(AND('R. Gestión '!#REF!="Muy Alta",'R. Gestión '!#REF!="Catastrófico"),CONCATENATE("R3C",'R. Gestión '!#REF!),"")</f>
        <v>#REF!</v>
      </c>
      <c r="AK8" s="45" t="e">
        <f>IF(AND('R. Gestión '!#REF!="Muy Alta",'R. Gestión '!#REF!="Catastrófico"),CONCATENATE("R3C",'R. Gestión '!#REF!),"")</f>
        <v>#REF!</v>
      </c>
      <c r="AL8" s="45" t="e">
        <f>IF(AND('R. Gestión '!#REF!="Muy Alta",'R. Gestión '!#REF!="Catastrófico"),CONCATENATE("R3C",'R. Gestión '!#REF!),"")</f>
        <v>#REF!</v>
      </c>
      <c r="AM8" s="46" t="e">
        <f>IF(AND('R. Gestión '!#REF!="Muy Alta",'R. Gestión '!#REF!="Catastrófico"),CONCATENATE("R3C",'R. Gestión '!#REF!),"")</f>
        <v>#REF!</v>
      </c>
      <c r="AN8" s="72"/>
      <c r="AO8" s="703"/>
      <c r="AP8" s="704"/>
      <c r="AQ8" s="704"/>
      <c r="AR8" s="704"/>
      <c r="AS8" s="704"/>
      <c r="AT8" s="705"/>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row>
    <row r="9" spans="1:91" ht="15" customHeight="1" x14ac:dyDescent="0.25">
      <c r="A9" s="72"/>
      <c r="B9" s="642"/>
      <c r="C9" s="642"/>
      <c r="D9" s="643"/>
      <c r="E9" s="683"/>
      <c r="F9" s="684"/>
      <c r="G9" s="684"/>
      <c r="H9" s="684"/>
      <c r="I9" s="685"/>
      <c r="J9" s="41" t="str">
        <f ca="1">IF(AND('R. Gestión '!$AC$271="Muy Alta",'R. Gestión '!$AE$271="Leve"),CONCATENATE("R4C",'R. Gestión '!$R$271),"")</f>
        <v/>
      </c>
      <c r="K9" s="42" t="str">
        <f ca="1">IF(AND('R. Gestión '!$AC$272="Muy Alta",'R. Gestión '!$AE$272="Leve"),CONCATENATE("R4C",'R. Gestión '!$R$272),"")</f>
        <v/>
      </c>
      <c r="L9" s="42" t="str">
        <f>IF(AND('R. Gestión '!$AC$273="Muy Alta",'R. Gestión '!$AE$273="Leve"),CONCATENATE("R4C",'R. Gestión '!$R$273),"")</f>
        <v/>
      </c>
      <c r="M9" s="42" t="str">
        <f>IF(AND('R. Gestión '!$AC$274="Muy Alta",'R. Gestión '!$AE$274="Leve"),CONCATENATE("R4C",'R. Gestión '!$R$274),"")</f>
        <v/>
      </c>
      <c r="N9" s="42" t="str">
        <f>IF(AND('R. Gestión '!$AC$275="Muy Alta",'R. Gestión '!$AE$275="Leve"),CONCATENATE("R4C",'R. Gestión '!$R$275),"")</f>
        <v/>
      </c>
      <c r="O9" s="43" t="str">
        <f>IF(AND('R. Gestión '!$AC$276="Muy Alta",'R. Gestión '!$AE$276="Leve"),CONCATENATE("R4C",'R. Gestión '!$R$276),"")</f>
        <v/>
      </c>
      <c r="P9" s="41" t="str">
        <f ca="1">IF(AND('R. Gestión '!$AC$271="Muy Alta",'R. Gestión '!$AE$271="Menor"),CONCATENATE("R4C",'R. Gestión '!$R$271),"")</f>
        <v/>
      </c>
      <c r="Q9" s="42" t="str">
        <f ca="1">IF(AND('R. Gestión '!$AC$272="Muy Alta",'R. Gestión '!$AE$272="Menor"),CONCATENATE("R4C",'R. Gestión '!$R$272),"")</f>
        <v/>
      </c>
      <c r="R9" s="42" t="str">
        <f>IF(AND('R. Gestión '!$AC$273="Muy Alta",'R. Gestión '!$AE$273="Menor"),CONCATENATE("R4C",'R. Gestión '!$R$273),"")</f>
        <v/>
      </c>
      <c r="S9" s="42" t="str">
        <f>IF(AND('R. Gestión '!$AC$274="Muy Alta",'R. Gestión '!$AE$274="Menor"),CONCATENATE("R4C",'R. Gestión '!$R$274),"")</f>
        <v/>
      </c>
      <c r="T9" s="42" t="str">
        <f>IF(AND('R. Gestión '!$AC$275="Muy Alta",'R. Gestión '!$AE$275="Menor"),CONCATENATE("R4C",'R. Gestión '!$R$275),"")</f>
        <v/>
      </c>
      <c r="U9" s="43" t="str">
        <f>IF(AND('R. Gestión '!$AC$276="Muy Alta",'R. Gestión '!$AE$276="Menor"),CONCATENATE("R4C",'R. Gestión '!$R$276),"")</f>
        <v/>
      </c>
      <c r="V9" s="41" t="str">
        <f ca="1">IF(AND('R. Gestión '!$AC$271="Muy Alta",'R. Gestión '!$AE$271="Moderado"),CONCATENATE("R4C",'R. Gestión '!$R$271),"")</f>
        <v/>
      </c>
      <c r="W9" s="42" t="str">
        <f ca="1">IF(AND('R. Gestión '!$AC$272="Muy Alta",'R. Gestión '!$AE$272="Moderado"),CONCATENATE("R4C",'R. Gestión '!$R$272),"")</f>
        <v/>
      </c>
      <c r="X9" s="42" t="str">
        <f>IF(AND('R. Gestión '!$AC$273="Muy Alta",'R. Gestión '!$AE$273="Moderado"),CONCATENATE("R4C",'R. Gestión '!$R$273),"")</f>
        <v/>
      </c>
      <c r="Y9" s="42" t="str">
        <f>IF(AND('R. Gestión '!$AC$274="Muy Alta",'R. Gestión '!$AE$274="Moderado"),CONCATENATE("R4C",'R. Gestión '!$R$274),"")</f>
        <v/>
      </c>
      <c r="Z9" s="42" t="str">
        <f>IF(AND('R. Gestión '!$AC$275="Muy Alta",'R. Gestión '!$AE$275="Moderado"),CONCATENATE("R4C",'R. Gestión '!$R$275),"")</f>
        <v/>
      </c>
      <c r="AA9" s="43" t="str">
        <f>IF(AND('R. Gestión '!$AC$276="Muy Alta",'R. Gestión '!$AE$276="Moderado"),CONCATENATE("R4C",'R. Gestión '!$R$276),"")</f>
        <v/>
      </c>
      <c r="AB9" s="41" t="str">
        <f ca="1">IF(AND('R. Gestión '!$AC$271="Muy Alta",'R. Gestión '!$AE$271="Mayor"),CONCATENATE("R4C",'R. Gestión '!$R$271),"")</f>
        <v/>
      </c>
      <c r="AC9" s="42" t="str">
        <f ca="1">IF(AND('R. Gestión '!$AC$272="Muy Alta",'R. Gestión '!$AE$272="Mayor"),CONCATENATE("R4C",'R. Gestión '!$R$272),"")</f>
        <v/>
      </c>
      <c r="AD9" s="42" t="str">
        <f>IF(AND('R. Gestión '!$AC$273="Muy Alta",'R. Gestión '!$AE$273="Mayor"),CONCATENATE("R4C",'R. Gestión '!$R$273),"")</f>
        <v/>
      </c>
      <c r="AE9" s="42" t="str">
        <f>IF(AND('R. Gestión '!$AC$274="Muy Alta",'R. Gestión '!$AE$274="Mayor"),CONCATENATE("R4C",'R. Gestión '!$R$274),"")</f>
        <v/>
      </c>
      <c r="AF9" s="42" t="str">
        <f>IF(AND('R. Gestión '!$AC$275="Muy Alta",'R. Gestión '!$AE$275="Mayor"),CONCATENATE("R4C",'R. Gestión '!$R$275),"")</f>
        <v/>
      </c>
      <c r="AG9" s="43" t="str">
        <f>IF(AND('R. Gestión '!$AC$276="Muy Alta",'R. Gestión '!$AE$276="Mayor"),CONCATENATE("R4C",'R. Gestión '!$R$276),"")</f>
        <v/>
      </c>
      <c r="AH9" s="44" t="str">
        <f ca="1">IF(AND('R. Gestión '!$AC$271="Muy Alta",'R. Gestión '!$AE$271="Catastrófico"),CONCATENATE("R4C",'R. Gestión '!$R$271),"")</f>
        <v/>
      </c>
      <c r="AI9" s="45" t="str">
        <f ca="1">IF(AND('R. Gestión '!$AC$272="Muy Alta",'R. Gestión '!$AE$272="Catastrófico"),CONCATENATE("R4C",'R. Gestión '!$R$272),"")</f>
        <v/>
      </c>
      <c r="AJ9" s="45" t="str">
        <f>IF(AND('R. Gestión '!$AC$273="Muy Alta",'R. Gestión '!$AE$273="Catastrófico"),CONCATENATE("R4C",'R. Gestión '!$R$273),"")</f>
        <v/>
      </c>
      <c r="AK9" s="45" t="str">
        <f>IF(AND('R. Gestión '!$AC$274="Muy Alta",'R. Gestión '!$AE$274="Catastrófico"),CONCATENATE("R4C",'R. Gestión '!$R$274),"")</f>
        <v/>
      </c>
      <c r="AL9" s="45" t="str">
        <f>IF(AND('R. Gestión '!$AC$275="Muy Alta",'R. Gestión '!$AE$275="Catastrófico"),CONCATENATE("R4C",'R. Gestión '!$R$275),"")</f>
        <v/>
      </c>
      <c r="AM9" s="46" t="str">
        <f>IF(AND('R. Gestión '!$AC$276="Muy Alta",'R. Gestión '!$AE$276="Catastrófico"),CONCATENATE("R4C",'R. Gestión '!$R$276),"")</f>
        <v/>
      </c>
      <c r="AN9" s="72"/>
      <c r="AO9" s="703"/>
      <c r="AP9" s="704"/>
      <c r="AQ9" s="704"/>
      <c r="AR9" s="704"/>
      <c r="AS9" s="704"/>
      <c r="AT9" s="705"/>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row>
    <row r="10" spans="1:91" ht="15" customHeight="1" x14ac:dyDescent="0.25">
      <c r="A10" s="72"/>
      <c r="B10" s="642"/>
      <c r="C10" s="642"/>
      <c r="D10" s="643"/>
      <c r="E10" s="683"/>
      <c r="F10" s="684"/>
      <c r="G10" s="684"/>
      <c r="H10" s="684"/>
      <c r="I10" s="685"/>
      <c r="J10" s="41" t="str">
        <f ca="1">IF(AND('R. Gestión '!$AC$289="Muy Alta",'R. Gestión '!$AE$289="Leve"),CONCATENATE("R5C",'R. Gestión '!$R$289),"")</f>
        <v/>
      </c>
      <c r="K10" s="42" t="str">
        <f>IF(AND('R. Gestión '!$AC$290="Muy Alta",'R. Gestión '!$AE$290="Leve"),CONCATENATE("R5C",'R. Gestión '!$R$290),"")</f>
        <v/>
      </c>
      <c r="L10" s="42" t="str">
        <f>IF(AND('R. Gestión '!$AC$291="Muy Alta",'R. Gestión '!$AE$291="Leve"),CONCATENATE("R5C",'R. Gestión '!$R$291),"")</f>
        <v/>
      </c>
      <c r="M10" s="42" t="str">
        <f>IF(AND('R. Gestión '!$AC$292="Muy Alta",'R. Gestión '!$AE$292="Leve"),CONCATENATE("R5C",'R. Gestión '!$R$292),"")</f>
        <v/>
      </c>
      <c r="N10" s="42" t="str">
        <f>IF(AND('R. Gestión '!$AC$293="Muy Alta",'R. Gestión '!$AE$293="Leve"),CONCATENATE("R5C",'R. Gestión '!$R$293),"")</f>
        <v/>
      </c>
      <c r="O10" s="43" t="str">
        <f>IF(AND('R. Gestión '!$AC$294="Muy Alta",'R. Gestión '!$AE$294="Leve"),CONCATENATE("R5C",'R. Gestión '!$R$294),"")</f>
        <v/>
      </c>
      <c r="P10" s="41" t="str">
        <f ca="1">IF(AND('R. Gestión '!$AC$289="Muy Alta",'R. Gestión '!$AE$289="Menor"),CONCATENATE("R5C",'R. Gestión '!$R$289),"")</f>
        <v/>
      </c>
      <c r="Q10" s="42" t="str">
        <f>IF(AND('R. Gestión '!$AC$290="Muy Alta",'R. Gestión '!$AE$290="Menor"),CONCATENATE("R5C",'R. Gestión '!$R$290),"")</f>
        <v/>
      </c>
      <c r="R10" s="42" t="str">
        <f>IF(AND('R. Gestión '!$AC$291="Muy Alta",'R. Gestión '!$AE$291="Menor"),CONCATENATE("R5C",'R. Gestión '!$R$291),"")</f>
        <v/>
      </c>
      <c r="S10" s="42" t="str">
        <f>IF(AND('R. Gestión '!$AC$292="Muy Alta",'R. Gestión '!$AE$292="Menor"),CONCATENATE("R5C",'R. Gestión '!$R$292),"")</f>
        <v/>
      </c>
      <c r="T10" s="42" t="str">
        <f>IF(AND('R. Gestión '!$AC$293="Muy Alta",'R. Gestión '!$AE$293="Menor"),CONCATENATE("R5C",'R. Gestión '!$R$293),"")</f>
        <v/>
      </c>
      <c r="U10" s="43" t="str">
        <f>IF(AND('R. Gestión '!$AC$294="Muy Alta",'R. Gestión '!$AE$294="Menor"),CONCATENATE("R5C",'R. Gestión '!$R$294),"")</f>
        <v/>
      </c>
      <c r="V10" s="41" t="str">
        <f ca="1">IF(AND('R. Gestión '!$AC$289="Muy Alta",'R. Gestión '!$AE$289="Moderado"),CONCATENATE("R5C",'R. Gestión '!$R$289),"")</f>
        <v/>
      </c>
      <c r="W10" s="42" t="str">
        <f>IF(AND('R. Gestión '!$AC$290="Muy Alta",'R. Gestión '!$AE$290="Moderado"),CONCATENATE("R5C",'R. Gestión '!$R$290),"")</f>
        <v/>
      </c>
      <c r="X10" s="42" t="str">
        <f>IF(AND('R. Gestión '!$AC$291="Muy Alta",'R. Gestión '!$AE$291="Moderado"),CONCATENATE("R5C",'R. Gestión '!$R$291),"")</f>
        <v/>
      </c>
      <c r="Y10" s="42" t="str">
        <f>IF(AND('R. Gestión '!$AC$292="Muy Alta",'R. Gestión '!$AE$292="Moderado"),CONCATENATE("R5C",'R. Gestión '!$R$292),"")</f>
        <v/>
      </c>
      <c r="Z10" s="42" t="str">
        <f>IF(AND('R. Gestión '!$AC$293="Muy Alta",'R. Gestión '!$AE$293="Moderado"),CONCATENATE("R5C",'R. Gestión '!$R$293),"")</f>
        <v/>
      </c>
      <c r="AA10" s="43" t="str">
        <f>IF(AND('R. Gestión '!$AC$294="Muy Alta",'R. Gestión '!$AE$294="Moderado"),CONCATENATE("R5C",'R. Gestión '!$R$294),"")</f>
        <v/>
      </c>
      <c r="AB10" s="41" t="str">
        <f ca="1">IF(AND('R. Gestión '!$AC$289="Muy Alta",'R. Gestión '!$AE$289="Mayor"),CONCATENATE("R5C",'R. Gestión '!$R$289),"")</f>
        <v/>
      </c>
      <c r="AC10" s="42" t="str">
        <f>IF(AND('R. Gestión '!$AC$290="Muy Alta",'R. Gestión '!$AE$290="Mayor"),CONCATENATE("R5C",'R. Gestión '!$R$290),"")</f>
        <v/>
      </c>
      <c r="AD10" s="42" t="str">
        <f>IF(AND('R. Gestión '!$AC$291="Muy Alta",'R. Gestión '!$AE$291="Mayor"),CONCATENATE("R5C",'R. Gestión '!$R$291),"")</f>
        <v/>
      </c>
      <c r="AE10" s="42" t="str">
        <f>IF(AND('R. Gestión '!$AC$292="Muy Alta",'R. Gestión '!$AE$292="Mayor"),CONCATENATE("R5C",'R. Gestión '!$R$292),"")</f>
        <v/>
      </c>
      <c r="AF10" s="42" t="str">
        <f>IF(AND('R. Gestión '!$AC$293="Muy Alta",'R. Gestión '!$AE$293="Mayor"),CONCATENATE("R5C",'R. Gestión '!$R$293),"")</f>
        <v/>
      </c>
      <c r="AG10" s="43" t="str">
        <f>IF(AND('R. Gestión '!$AC$294="Muy Alta",'R. Gestión '!$AE$294="Mayor"),CONCATENATE("R5C",'R. Gestión '!$R$294),"")</f>
        <v/>
      </c>
      <c r="AH10" s="44" t="str">
        <f ca="1">IF(AND('R. Gestión '!$AC$289="Muy Alta",'R. Gestión '!$AE$289="Catastrófico"),CONCATENATE("R5C",'R. Gestión '!$R$289),"")</f>
        <v/>
      </c>
      <c r="AI10" s="45" t="str">
        <f>IF(AND('R. Gestión '!$AC$290="Muy Alta",'R. Gestión '!$AE$290="Catastrófico"),CONCATENATE("R5C",'R. Gestión '!$R$290),"")</f>
        <v/>
      </c>
      <c r="AJ10" s="45" t="str">
        <f>IF(AND('R. Gestión '!$AC$291="Muy Alta",'R. Gestión '!$AE$291="Catastrófico"),CONCATENATE("R5C",'R. Gestión '!$R$291),"")</f>
        <v/>
      </c>
      <c r="AK10" s="45" t="str">
        <f>IF(AND('R. Gestión '!$AC$292="Muy Alta",'R. Gestión '!$AE$292="Catastrófico"),CONCATENATE("R5C",'R. Gestión '!$R$292),"")</f>
        <v/>
      </c>
      <c r="AL10" s="45" t="str">
        <f>IF(AND('R. Gestión '!$AC$293="Muy Alta",'R. Gestión '!$AE$293="Catastrófico"),CONCATENATE("R5C",'R. Gestión '!$R$293),"")</f>
        <v/>
      </c>
      <c r="AM10" s="46" t="str">
        <f>IF(AND('R. Gestión '!$AC$294="Muy Alta",'R. Gestión '!$AE$294="Catastrófico"),CONCATENATE("R5C",'R. Gestión '!$R$294),"")</f>
        <v/>
      </c>
      <c r="AN10" s="72"/>
      <c r="AO10" s="703"/>
      <c r="AP10" s="704"/>
      <c r="AQ10" s="704"/>
      <c r="AR10" s="704"/>
      <c r="AS10" s="704"/>
      <c r="AT10" s="705"/>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row>
    <row r="11" spans="1:91" ht="15" customHeight="1" x14ac:dyDescent="0.25">
      <c r="A11" s="72"/>
      <c r="B11" s="642"/>
      <c r="C11" s="642"/>
      <c r="D11" s="643"/>
      <c r="E11" s="683"/>
      <c r="F11" s="684"/>
      <c r="G11" s="684"/>
      <c r="H11" s="684"/>
      <c r="I11" s="685"/>
      <c r="J11" s="41" t="str">
        <f ca="1">IF(AND('R. Gestión '!$AC$295="Muy Alta",'R. Gestión '!$AE$295="Leve"),CONCATENATE("R6C",'R. Gestión '!$R$295),"")</f>
        <v/>
      </c>
      <c r="K11" s="42" t="str">
        <f>IF(AND('R. Gestión '!$AC$296="Muy Alta",'R. Gestión '!$AE$296="Leve"),CONCATENATE("R6C",'R. Gestión '!$R$296),"")</f>
        <v/>
      </c>
      <c r="L11" s="42" t="str">
        <f>IF(AND('R. Gestión '!$AC$297="Muy Alta",'R. Gestión '!$AE$297="Leve"),CONCATENATE("R6C",'R. Gestión '!$R$297),"")</f>
        <v/>
      </c>
      <c r="M11" s="42" t="str">
        <f>IF(AND('R. Gestión '!$AC$298="Muy Alta",'R. Gestión '!$AE$298="Leve"),CONCATENATE("R6C",'R. Gestión '!$R$298),"")</f>
        <v/>
      </c>
      <c r="N11" s="42" t="str">
        <f>IF(AND('R. Gestión '!$AC$299="Muy Alta",'R. Gestión '!$AE$299="Leve"),CONCATENATE("R6C",'R. Gestión '!$R$299),"")</f>
        <v/>
      </c>
      <c r="O11" s="43" t="str">
        <f>IF(AND('R. Gestión '!$AC$300="Muy Alta",'R. Gestión '!$AE$300="Leve"),CONCATENATE("R6C",'R. Gestión '!$R$300),"")</f>
        <v/>
      </c>
      <c r="P11" s="41" t="str">
        <f ca="1">IF(AND('R. Gestión '!$AC$295="Muy Alta",'R. Gestión '!$AE$295="Menor"),CONCATENATE("R6C",'R. Gestión '!$R$295),"")</f>
        <v/>
      </c>
      <c r="Q11" s="42" t="str">
        <f>IF(AND('R. Gestión '!$AC$296="Muy Alta",'R. Gestión '!$AE$296="Menor"),CONCATENATE("R6C",'R. Gestión '!$R$296),"")</f>
        <v/>
      </c>
      <c r="R11" s="42" t="str">
        <f>IF(AND('R. Gestión '!$AC$297="Muy Alta",'R. Gestión '!$AE$297="Menor"),CONCATENATE("R6C",'R. Gestión '!$R$297),"")</f>
        <v/>
      </c>
      <c r="S11" s="42" t="str">
        <f>IF(AND('R. Gestión '!$AC$298="Muy Alta",'R. Gestión '!$AE$298="Menor"),CONCATENATE("R6C",'R. Gestión '!$R$298),"")</f>
        <v/>
      </c>
      <c r="T11" s="42" t="str">
        <f>IF(AND('R. Gestión '!$AC$299="Muy Alta",'R. Gestión '!$AE$299="Menor"),CONCATENATE("R6C",'R. Gestión '!$R$299),"")</f>
        <v/>
      </c>
      <c r="U11" s="43" t="str">
        <f>IF(AND('R. Gestión '!$AC$300="Muy Alta",'R. Gestión '!$AE$300="Menor"),CONCATENATE("R6C",'R. Gestión '!$R$300),"")</f>
        <v/>
      </c>
      <c r="V11" s="41" t="str">
        <f ca="1">IF(AND('R. Gestión '!$AC$295="Muy Alta",'R. Gestión '!$AE$295="Moderado"),CONCATENATE("R6C",'R. Gestión '!$R$295),"")</f>
        <v/>
      </c>
      <c r="W11" s="42" t="str">
        <f>IF(AND('R. Gestión '!$AC$296="Muy Alta",'R. Gestión '!$AE$296="Moderado"),CONCATENATE("R6C",'R. Gestión '!$R$296),"")</f>
        <v/>
      </c>
      <c r="X11" s="42" t="str">
        <f>IF(AND('R. Gestión '!$AC$297="Muy Alta",'R. Gestión '!$AE$297="Moderado"),CONCATENATE("R6C",'R. Gestión '!$R$297),"")</f>
        <v/>
      </c>
      <c r="Y11" s="42" t="str">
        <f>IF(AND('R. Gestión '!$AC$298="Muy Alta",'R. Gestión '!$AE$298="Moderado"),CONCATENATE("R6C",'R. Gestión '!$R$298),"")</f>
        <v/>
      </c>
      <c r="Z11" s="42" t="str">
        <f>IF(AND('R. Gestión '!$AC$299="Muy Alta",'R. Gestión '!$AE$299="Moderado"),CONCATENATE("R6C",'R. Gestión '!$R$299),"")</f>
        <v/>
      </c>
      <c r="AA11" s="43" t="str">
        <f>IF(AND('R. Gestión '!$AC$300="Muy Alta",'R. Gestión '!$AE$300="Moderado"),CONCATENATE("R6C",'R. Gestión '!$R$300),"")</f>
        <v/>
      </c>
      <c r="AB11" s="41" t="str">
        <f ca="1">IF(AND('R. Gestión '!$AC$295="Muy Alta",'R. Gestión '!$AE$295="Mayor"),CONCATENATE("R6C",'R. Gestión '!$R$295),"")</f>
        <v/>
      </c>
      <c r="AC11" s="42" t="str">
        <f>IF(AND('R. Gestión '!$AC$296="Muy Alta",'R. Gestión '!$AE$296="Mayor"),CONCATENATE("R6C",'R. Gestión '!$R$296),"")</f>
        <v/>
      </c>
      <c r="AD11" s="42" t="str">
        <f>IF(AND('R. Gestión '!$AC$297="Muy Alta",'R. Gestión '!$AE$297="Mayor"),CONCATENATE("R6C",'R. Gestión '!$R$297),"")</f>
        <v/>
      </c>
      <c r="AE11" s="42" t="str">
        <f>IF(AND('R. Gestión '!$AC$298="Muy Alta",'R. Gestión '!$AE$298="Mayor"),CONCATENATE("R6C",'R. Gestión '!$R$298),"")</f>
        <v/>
      </c>
      <c r="AF11" s="42" t="str">
        <f>IF(AND('R. Gestión '!$AC$299="Muy Alta",'R. Gestión '!$AE$299="Mayor"),CONCATENATE("R6C",'R. Gestión '!$R$299),"")</f>
        <v/>
      </c>
      <c r="AG11" s="43" t="str">
        <f>IF(AND('R. Gestión '!$AC$300="Muy Alta",'R. Gestión '!$AE$300="Mayor"),CONCATENATE("R6C",'R. Gestión '!$R$300),"")</f>
        <v/>
      </c>
      <c r="AH11" s="44" t="str">
        <f ca="1">IF(AND('R. Gestión '!$AC$295="Muy Alta",'R. Gestión '!$AE$295="Catastrófico"),CONCATENATE("R6C",'R. Gestión '!$R$295),"")</f>
        <v/>
      </c>
      <c r="AI11" s="45" t="str">
        <f>IF(AND('R. Gestión '!$AC$296="Muy Alta",'R. Gestión '!$AE$296="Catastrófico"),CONCATENATE("R6C",'R. Gestión '!$R$296),"")</f>
        <v/>
      </c>
      <c r="AJ11" s="45" t="str">
        <f>IF(AND('R. Gestión '!$AC$297="Muy Alta",'R. Gestión '!$AE$297="Catastrófico"),CONCATENATE("R6C",'R. Gestión '!$R$297),"")</f>
        <v/>
      </c>
      <c r="AK11" s="45" t="str">
        <f>IF(AND('R. Gestión '!$AC$298="Muy Alta",'R. Gestión '!$AE$298="Catastrófico"),CONCATENATE("R6C",'R. Gestión '!$R$298),"")</f>
        <v/>
      </c>
      <c r="AL11" s="45" t="str">
        <f>IF(AND('R. Gestión '!$AC$299="Muy Alta",'R. Gestión '!$AE$299="Catastrófico"),CONCATENATE("R6C",'R. Gestión '!$R$299),"")</f>
        <v/>
      </c>
      <c r="AM11" s="46" t="str">
        <f>IF(AND('R. Gestión '!$AC$300="Muy Alta",'R. Gestión '!$AE$300="Catastrófico"),CONCATENATE("R6C",'R. Gestión '!$R$300),"")</f>
        <v/>
      </c>
      <c r="AN11" s="72"/>
      <c r="AO11" s="703"/>
      <c r="AP11" s="704"/>
      <c r="AQ11" s="704"/>
      <c r="AR11" s="704"/>
      <c r="AS11" s="704"/>
      <c r="AT11" s="705"/>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row>
    <row r="12" spans="1:91" ht="15" customHeight="1" x14ac:dyDescent="0.25">
      <c r="A12" s="72"/>
      <c r="B12" s="642"/>
      <c r="C12" s="642"/>
      <c r="D12" s="643"/>
      <c r="E12" s="683"/>
      <c r="F12" s="684"/>
      <c r="G12" s="684"/>
      <c r="H12" s="684"/>
      <c r="I12" s="685"/>
      <c r="J12" s="41" t="str">
        <f ca="1">IF(AND('R. Gestión '!$AC$325="Muy Alta",'R. Gestión '!$AE$325="Leve"),CONCATENATE("R7C",'R. Gestión '!$R$325),"")</f>
        <v/>
      </c>
      <c r="K12" s="42" t="str">
        <f>IF(AND('R. Gestión '!$AC$326="Muy Alta",'R. Gestión '!$AE$326="Leve"),CONCATENATE("R7C",'R. Gestión '!$R$326),"")</f>
        <v/>
      </c>
      <c r="L12" s="42" t="str">
        <f>IF(AND('R. Gestión '!$AC$327="Muy Alta",'R. Gestión '!$AE$327="Leve"),CONCATENATE("R7C",'R. Gestión '!$R$327),"")</f>
        <v/>
      </c>
      <c r="M12" s="42" t="str">
        <f>IF(AND('R. Gestión '!$AC$328="Muy Alta",'R. Gestión '!$AE$328="Leve"),CONCATENATE("R7C",'R. Gestión '!$R$328),"")</f>
        <v/>
      </c>
      <c r="N12" s="42" t="str">
        <f>IF(AND('R. Gestión '!$AC$329="Muy Alta",'R. Gestión '!$AE$329="Leve"),CONCATENATE("R7C",'R. Gestión '!$R$329),"")</f>
        <v/>
      </c>
      <c r="O12" s="43" t="str">
        <f>IF(AND('R. Gestión '!$AC$330="Muy Alta",'R. Gestión '!$AE$330="Leve"),CONCATENATE("R7C",'R. Gestión '!$R$330),"")</f>
        <v/>
      </c>
      <c r="P12" s="41" t="str">
        <f ca="1">IF(AND('R. Gestión '!$AC$325="Muy Alta",'R. Gestión '!$AE$325="Menor"),CONCATENATE("R7C",'R. Gestión '!$R$325),"")</f>
        <v/>
      </c>
      <c r="Q12" s="42" t="str">
        <f>IF(AND('R. Gestión '!$AC$326="Muy Alta",'R. Gestión '!$AE$326="Menor"),CONCATENATE("R7C",'R. Gestión '!$R$326),"")</f>
        <v/>
      </c>
      <c r="R12" s="42" t="str">
        <f>IF(AND('R. Gestión '!$AC$327="Muy Alta",'R. Gestión '!$AE$327="Menor"),CONCATENATE("R7C",'R. Gestión '!$R$327),"")</f>
        <v/>
      </c>
      <c r="S12" s="42" t="str">
        <f>IF(AND('R. Gestión '!$AC$328="Muy Alta",'R. Gestión '!$AE$328="Menor"),CONCATENATE("R7C",'R. Gestión '!$R$328),"")</f>
        <v/>
      </c>
      <c r="T12" s="42" t="str">
        <f>IF(AND('R. Gestión '!$AC$329="Muy Alta",'R. Gestión '!$AE$329="Menor"),CONCATENATE("R7C",'R. Gestión '!$R$329),"")</f>
        <v/>
      </c>
      <c r="U12" s="43" t="str">
        <f>IF(AND('R. Gestión '!$AC$330="Muy Alta",'R. Gestión '!$AE$330="Menor"),CONCATENATE("R7C",'R. Gestión '!$R$330),"")</f>
        <v/>
      </c>
      <c r="V12" s="41" t="str">
        <f ca="1">IF(AND('R. Gestión '!$AC$325="Muy Alta",'R. Gestión '!$AE$325="Moderado"),CONCATENATE("R7C",'R. Gestión '!$R$325),"")</f>
        <v/>
      </c>
      <c r="W12" s="42" t="str">
        <f>IF(AND('R. Gestión '!$AC$326="Muy Alta",'R. Gestión '!$AE$326="Moderado"),CONCATENATE("R7C",'R. Gestión '!$R$326),"")</f>
        <v/>
      </c>
      <c r="X12" s="42" t="str">
        <f>IF(AND('R. Gestión '!$AC$327="Muy Alta",'R. Gestión '!$AE$327="Moderado"),CONCATENATE("R7C",'R. Gestión '!$R$327),"")</f>
        <v/>
      </c>
      <c r="Y12" s="42" t="str">
        <f>IF(AND('R. Gestión '!$AC$328="Muy Alta",'R. Gestión '!$AE$328="Moderado"),CONCATENATE("R7C",'R. Gestión '!$R$328),"")</f>
        <v/>
      </c>
      <c r="Z12" s="42" t="str">
        <f>IF(AND('R. Gestión '!$AC$329="Muy Alta",'R. Gestión '!$AE$329="Moderado"),CONCATENATE("R7C",'R. Gestión '!$R$329),"")</f>
        <v/>
      </c>
      <c r="AA12" s="43" t="str">
        <f>IF(AND('R. Gestión '!$AC$330="Muy Alta",'R. Gestión '!$AE$330="Moderado"),CONCATENATE("R7C",'R. Gestión '!$R$330),"")</f>
        <v/>
      </c>
      <c r="AB12" s="41" t="str">
        <f ca="1">IF(AND('R. Gestión '!$AC$325="Muy Alta",'R. Gestión '!$AE$325="Mayor"),CONCATENATE("R7C",'R. Gestión '!$R$325),"")</f>
        <v/>
      </c>
      <c r="AC12" s="42" t="str">
        <f>IF(AND('R. Gestión '!$AC$326="Muy Alta",'R. Gestión '!$AE$326="Mayor"),CONCATENATE("R7C",'R. Gestión '!$R$326),"")</f>
        <v/>
      </c>
      <c r="AD12" s="42" t="str">
        <f>IF(AND('R. Gestión '!$AC$327="Muy Alta",'R. Gestión '!$AE$327="Mayor"),CONCATENATE("R7C",'R. Gestión '!$R$327),"")</f>
        <v/>
      </c>
      <c r="AE12" s="42" t="str">
        <f>IF(AND('R. Gestión '!$AC$328="Muy Alta",'R. Gestión '!$AE$328="Mayor"),CONCATENATE("R7C",'R. Gestión '!$R$328),"")</f>
        <v/>
      </c>
      <c r="AF12" s="42" t="str">
        <f>IF(AND('R. Gestión '!$AC$329="Muy Alta",'R. Gestión '!$AE$329="Mayor"),CONCATENATE("R7C",'R. Gestión '!$R$329),"")</f>
        <v/>
      </c>
      <c r="AG12" s="43" t="str">
        <f>IF(AND('R. Gestión '!$AC$330="Muy Alta",'R. Gestión '!$AE$330="Mayor"),CONCATENATE("R7C",'R. Gestión '!$R$330),"")</f>
        <v/>
      </c>
      <c r="AH12" s="44" t="str">
        <f ca="1">IF(AND('R. Gestión '!$AC$325="Muy Alta",'R. Gestión '!$AE$325="Catastrófico"),CONCATENATE("R7C",'R. Gestión '!$R$325),"")</f>
        <v/>
      </c>
      <c r="AI12" s="45" t="str">
        <f>IF(AND('R. Gestión '!$AC$326="Muy Alta",'R. Gestión '!$AE$326="Catastrófico"),CONCATENATE("R7C",'R. Gestión '!$R$326),"")</f>
        <v/>
      </c>
      <c r="AJ12" s="45" t="str">
        <f>IF(AND('R. Gestión '!$AC$327="Muy Alta",'R. Gestión '!$AE$327="Catastrófico"),CONCATENATE("R7C",'R. Gestión '!$R$327),"")</f>
        <v/>
      </c>
      <c r="AK12" s="45" t="str">
        <f>IF(AND('R. Gestión '!$AC$328="Muy Alta",'R. Gestión '!$AE$328="Catastrófico"),CONCATENATE("R7C",'R. Gestión '!$R$328),"")</f>
        <v/>
      </c>
      <c r="AL12" s="45" t="str">
        <f>IF(AND('R. Gestión '!$AC$329="Muy Alta",'R. Gestión '!$AE$329="Catastrófico"),CONCATENATE("R7C",'R. Gestión '!$R$329),"")</f>
        <v/>
      </c>
      <c r="AM12" s="46" t="str">
        <f>IF(AND('R. Gestión '!$AC$330="Muy Alta",'R. Gestión '!$AE$330="Catastrófico"),CONCATENATE("R7C",'R. Gestión '!$R$330),"")</f>
        <v/>
      </c>
      <c r="AN12" s="72"/>
      <c r="AO12" s="703"/>
      <c r="AP12" s="704"/>
      <c r="AQ12" s="704"/>
      <c r="AR12" s="704"/>
      <c r="AS12" s="704"/>
      <c r="AT12" s="705"/>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row>
    <row r="13" spans="1:91" ht="15" customHeight="1" x14ac:dyDescent="0.25">
      <c r="A13" s="72"/>
      <c r="B13" s="642"/>
      <c r="C13" s="642"/>
      <c r="D13" s="643"/>
      <c r="E13" s="683"/>
      <c r="F13" s="684"/>
      <c r="G13" s="684"/>
      <c r="H13" s="684"/>
      <c r="I13" s="685"/>
      <c r="J13" s="41" t="str">
        <f ca="1">IF(AND('R. Gestión '!$AC$331="Muy Alta",'R. Gestión '!$AE$331="Leve"),CONCATENATE("R8C",'R. Gestión '!$R$331),"")</f>
        <v/>
      </c>
      <c r="K13" s="42" t="str">
        <f>IF(AND('R. Gestión '!$AC$332="Muy Alta",'R. Gestión '!$AE$332="Leve"),CONCATENATE("R8C",'R. Gestión '!$R$332),"")</f>
        <v/>
      </c>
      <c r="L13" s="42" t="str">
        <f>IF(AND('R. Gestión '!$AC$333="Muy Alta",'R. Gestión '!$AE$333="Leve"),CONCATENATE("R8C",'R. Gestión '!$R$333),"")</f>
        <v/>
      </c>
      <c r="M13" s="42" t="str">
        <f>IF(AND('R. Gestión '!$AC$334="Muy Alta",'R. Gestión '!$AE$334="Leve"),CONCATENATE("R8C",'R. Gestión '!$R$334),"")</f>
        <v/>
      </c>
      <c r="N13" s="42" t="str">
        <f>IF(AND('R. Gestión '!$AC$335="Muy Alta",'R. Gestión '!$AE$335="Leve"),CONCATENATE("R8C",'R. Gestión '!$R$335),"")</f>
        <v/>
      </c>
      <c r="O13" s="43" t="str">
        <f>IF(AND('R. Gestión '!$AC$336="Muy Alta",'R. Gestión '!$AE$336="Leve"),CONCATENATE("R8C",'R. Gestión '!$R$336),"")</f>
        <v/>
      </c>
      <c r="P13" s="41" t="str">
        <f ca="1">IF(AND('R. Gestión '!$AC$331="Muy Alta",'R. Gestión '!$AE$331="Menor"),CONCATENATE("R8C",'R. Gestión '!$R$331),"")</f>
        <v/>
      </c>
      <c r="Q13" s="42" t="str">
        <f>IF(AND('R. Gestión '!$AC$332="Muy Alta",'R. Gestión '!$AE$332="Menor"),CONCATENATE("R8C",'R. Gestión '!$R$332),"")</f>
        <v/>
      </c>
      <c r="R13" s="42" t="str">
        <f>IF(AND('R. Gestión '!$AC$333="Muy Alta",'R. Gestión '!$AE$333="Menor"),CONCATENATE("R8C",'R. Gestión '!$R$333),"")</f>
        <v/>
      </c>
      <c r="S13" s="42" t="str">
        <f>IF(AND('R. Gestión '!$AC$334="Muy Alta",'R. Gestión '!$AE$334="Menor"),CONCATENATE("R8C",'R. Gestión '!$R$334),"")</f>
        <v/>
      </c>
      <c r="T13" s="42" t="str">
        <f>IF(AND('R. Gestión '!$AC$335="Muy Alta",'R. Gestión '!$AE$335="Menor"),CONCATENATE("R8C",'R. Gestión '!$R$335),"")</f>
        <v/>
      </c>
      <c r="U13" s="43" t="str">
        <f>IF(AND('R. Gestión '!$AC$336="Muy Alta",'R. Gestión '!$AE$336="Menor"),CONCATENATE("R8C",'R. Gestión '!$R$336),"")</f>
        <v/>
      </c>
      <c r="V13" s="41" t="str">
        <f ca="1">IF(AND('R. Gestión '!$AC$331="Muy Alta",'R. Gestión '!$AE$331="Moderado"),CONCATENATE("R8C",'R. Gestión '!$R$331),"")</f>
        <v/>
      </c>
      <c r="W13" s="42" t="str">
        <f>IF(AND('R. Gestión '!$AC$332="Muy Alta",'R. Gestión '!$AE$332="Moderado"),CONCATENATE("R8C",'R. Gestión '!$R$332),"")</f>
        <v/>
      </c>
      <c r="X13" s="42" t="str">
        <f>IF(AND('R. Gestión '!$AC$333="Muy Alta",'R. Gestión '!$AE$333="Moderado"),CONCATENATE("R8C",'R. Gestión '!$R$333),"")</f>
        <v/>
      </c>
      <c r="Y13" s="42" t="str">
        <f>IF(AND('R. Gestión '!$AC$334="Muy Alta",'R. Gestión '!$AE$334="Moderado"),CONCATENATE("R8C",'R. Gestión '!$R$334),"")</f>
        <v/>
      </c>
      <c r="Z13" s="42" t="str">
        <f>IF(AND('R. Gestión '!$AC$335="Muy Alta",'R. Gestión '!$AE$335="Moderado"),CONCATENATE("R8C",'R. Gestión '!$R$335),"")</f>
        <v/>
      </c>
      <c r="AA13" s="43" t="str">
        <f>IF(AND('R. Gestión '!$AC$336="Muy Alta",'R. Gestión '!$AE$336="Moderado"),CONCATENATE("R8C",'R. Gestión '!$R$336),"")</f>
        <v/>
      </c>
      <c r="AB13" s="41" t="str">
        <f ca="1">IF(AND('R. Gestión '!$AC$331="Muy Alta",'R. Gestión '!$AE$331="Mayor"),CONCATENATE("R8C",'R. Gestión '!$R$331),"")</f>
        <v/>
      </c>
      <c r="AC13" s="42" t="str">
        <f>IF(AND('R. Gestión '!$AC$332="Muy Alta",'R. Gestión '!$AE$332="Mayor"),CONCATENATE("R8C",'R. Gestión '!$R$332),"")</f>
        <v/>
      </c>
      <c r="AD13" s="42" t="str">
        <f>IF(AND('R. Gestión '!$AC$333="Muy Alta",'R. Gestión '!$AE$333="Mayor"),CONCATENATE("R8C",'R. Gestión '!$R$333),"")</f>
        <v/>
      </c>
      <c r="AE13" s="42" t="str">
        <f>IF(AND('R. Gestión '!$AC$334="Muy Alta",'R. Gestión '!$AE$334="Mayor"),CONCATENATE("R8C",'R. Gestión '!$R$334),"")</f>
        <v/>
      </c>
      <c r="AF13" s="42" t="str">
        <f>IF(AND('R. Gestión '!$AC$335="Muy Alta",'R. Gestión '!$AE$335="Mayor"),CONCATENATE("R8C",'R. Gestión '!$R$335),"")</f>
        <v/>
      </c>
      <c r="AG13" s="43" t="str">
        <f>IF(AND('R. Gestión '!$AC$336="Muy Alta",'R. Gestión '!$AE$336="Mayor"),CONCATENATE("R8C",'R. Gestión '!$R$336),"")</f>
        <v/>
      </c>
      <c r="AH13" s="44" t="str">
        <f ca="1">IF(AND('R. Gestión '!$AC$331="Muy Alta",'R. Gestión '!$AE$331="Catastrófico"),CONCATENATE("R8C",'R. Gestión '!$R$331),"")</f>
        <v/>
      </c>
      <c r="AI13" s="45" t="str">
        <f>IF(AND('R. Gestión '!$AC$332="Muy Alta",'R. Gestión '!$AE$332="Catastrófico"),CONCATENATE("R8C",'R. Gestión '!$R$332),"")</f>
        <v/>
      </c>
      <c r="AJ13" s="45" t="str">
        <f>IF(AND('R. Gestión '!$AC$333="Muy Alta",'R. Gestión '!$AE$333="Catastrófico"),CONCATENATE("R8C",'R. Gestión '!$R$333),"")</f>
        <v/>
      </c>
      <c r="AK13" s="45" t="str">
        <f>IF(AND('R. Gestión '!$AC$334="Muy Alta",'R. Gestión '!$AE$334="Catastrófico"),CONCATENATE("R8C",'R. Gestión '!$R$334),"")</f>
        <v/>
      </c>
      <c r="AL13" s="45" t="str">
        <f>IF(AND('R. Gestión '!$AC$335="Muy Alta",'R. Gestión '!$AE$335="Catastrófico"),CONCATENATE("R8C",'R. Gestión '!$R$335),"")</f>
        <v/>
      </c>
      <c r="AM13" s="46" t="str">
        <f>IF(AND('R. Gestión '!$AC$336="Muy Alta",'R. Gestión '!$AE$336="Catastrófico"),CONCATENATE("R8C",'R. Gestión '!$R$336),"")</f>
        <v/>
      </c>
      <c r="AN13" s="72"/>
      <c r="AO13" s="703"/>
      <c r="AP13" s="704"/>
      <c r="AQ13" s="704"/>
      <c r="AR13" s="704"/>
      <c r="AS13" s="704"/>
      <c r="AT13" s="705"/>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row>
    <row r="14" spans="1:91" ht="15" customHeight="1" x14ac:dyDescent="0.25">
      <c r="A14" s="72"/>
      <c r="B14" s="642"/>
      <c r="C14" s="642"/>
      <c r="D14" s="643"/>
      <c r="E14" s="683"/>
      <c r="F14" s="684"/>
      <c r="G14" s="684"/>
      <c r="H14" s="684"/>
      <c r="I14" s="685"/>
      <c r="J14" s="41" t="e">
        <f>IF(AND('R. Gestión '!#REF!="Muy Alta",'R. Gestión '!#REF!="Leve"),CONCATENATE("R9C",'R. Gestión '!#REF!),"")</f>
        <v>#REF!</v>
      </c>
      <c r="K14" s="42" t="e">
        <f>IF(AND('R. Gestión '!#REF!="Muy Alta",'R. Gestión '!#REF!="Leve"),CONCATENATE("R9C",'R. Gestión '!#REF!),"")</f>
        <v>#REF!</v>
      </c>
      <c r="L14" s="42" t="e">
        <f>IF(AND('R. Gestión '!#REF!="Muy Alta",'R. Gestión '!#REF!="Leve"),CONCATENATE("R9C",'R. Gestión '!#REF!),"")</f>
        <v>#REF!</v>
      </c>
      <c r="M14" s="42" t="e">
        <f>IF(AND('R. Gestión '!#REF!="Muy Alta",'R. Gestión '!#REF!="Leve"),CONCATENATE("R9C",'R. Gestión '!#REF!),"")</f>
        <v>#REF!</v>
      </c>
      <c r="N14" s="42" t="e">
        <f>IF(AND('R. Gestión '!#REF!="Muy Alta",'R. Gestión '!#REF!="Leve"),CONCATENATE("R9C",'R. Gestión '!#REF!),"")</f>
        <v>#REF!</v>
      </c>
      <c r="O14" s="43" t="e">
        <f>IF(AND('R. Gestión '!#REF!="Muy Alta",'R. Gestión '!#REF!="Leve"),CONCATENATE("R9C",'R. Gestión '!#REF!),"")</f>
        <v>#REF!</v>
      </c>
      <c r="P14" s="41" t="e">
        <f>IF(AND('R. Gestión '!#REF!="Muy Alta",'R. Gestión '!#REF!="Menor"),CONCATENATE("R9C",'R. Gestión '!#REF!),"")</f>
        <v>#REF!</v>
      </c>
      <c r="Q14" s="42" t="e">
        <f>IF(AND('R. Gestión '!#REF!="Muy Alta",'R. Gestión '!#REF!="Menor"),CONCATENATE("R9C",'R. Gestión '!#REF!),"")</f>
        <v>#REF!</v>
      </c>
      <c r="R14" s="42" t="e">
        <f>IF(AND('R. Gestión '!#REF!="Muy Alta",'R. Gestión '!#REF!="Menor"),CONCATENATE("R9C",'R. Gestión '!#REF!),"")</f>
        <v>#REF!</v>
      </c>
      <c r="S14" s="42" t="e">
        <f>IF(AND('R. Gestión '!#REF!="Muy Alta",'R. Gestión '!#REF!="Menor"),CONCATENATE("R9C",'R. Gestión '!#REF!),"")</f>
        <v>#REF!</v>
      </c>
      <c r="T14" s="42" t="e">
        <f>IF(AND('R. Gestión '!#REF!="Muy Alta",'R. Gestión '!#REF!="Menor"),CONCATENATE("R9C",'R. Gestión '!#REF!),"")</f>
        <v>#REF!</v>
      </c>
      <c r="U14" s="43" t="e">
        <f>IF(AND('R. Gestión '!#REF!="Muy Alta",'R. Gestión '!#REF!="Menor"),CONCATENATE("R9C",'R. Gestión '!#REF!),"")</f>
        <v>#REF!</v>
      </c>
      <c r="V14" s="41" t="e">
        <f>IF(AND('R. Gestión '!#REF!="Muy Alta",'R. Gestión '!#REF!="Moderado"),CONCATENATE("R9C",'R. Gestión '!#REF!),"")</f>
        <v>#REF!</v>
      </c>
      <c r="W14" s="42" t="e">
        <f>IF(AND('R. Gestión '!#REF!="Muy Alta",'R. Gestión '!#REF!="Moderado"),CONCATENATE("R9C",'R. Gestión '!#REF!),"")</f>
        <v>#REF!</v>
      </c>
      <c r="X14" s="42" t="e">
        <f>IF(AND('R. Gestión '!#REF!="Muy Alta",'R. Gestión '!#REF!="Moderado"),CONCATENATE("R9C",'R. Gestión '!#REF!),"")</f>
        <v>#REF!</v>
      </c>
      <c r="Y14" s="42" t="e">
        <f>IF(AND('R. Gestión '!#REF!="Muy Alta",'R. Gestión '!#REF!="Moderado"),CONCATENATE("R9C",'R. Gestión '!#REF!),"")</f>
        <v>#REF!</v>
      </c>
      <c r="Z14" s="42" t="e">
        <f>IF(AND('R. Gestión '!#REF!="Muy Alta",'R. Gestión '!#REF!="Moderado"),CONCATENATE("R9C",'R. Gestión '!#REF!),"")</f>
        <v>#REF!</v>
      </c>
      <c r="AA14" s="43" t="e">
        <f>IF(AND('R. Gestión '!#REF!="Muy Alta",'R. Gestión '!#REF!="Moderado"),CONCATENATE("R9C",'R. Gestión '!#REF!),"")</f>
        <v>#REF!</v>
      </c>
      <c r="AB14" s="41" t="e">
        <f>IF(AND('R. Gestión '!#REF!="Muy Alta",'R. Gestión '!#REF!="Mayor"),CONCATENATE("R9C",'R. Gestión '!#REF!),"")</f>
        <v>#REF!</v>
      </c>
      <c r="AC14" s="42" t="e">
        <f>IF(AND('R. Gestión '!#REF!="Muy Alta",'R. Gestión '!#REF!="Mayor"),CONCATENATE("R9C",'R. Gestión '!#REF!),"")</f>
        <v>#REF!</v>
      </c>
      <c r="AD14" s="42" t="e">
        <f>IF(AND('R. Gestión '!#REF!="Muy Alta",'R. Gestión '!#REF!="Mayor"),CONCATENATE("R9C",'R. Gestión '!#REF!),"")</f>
        <v>#REF!</v>
      </c>
      <c r="AE14" s="42" t="e">
        <f>IF(AND('R. Gestión '!#REF!="Muy Alta",'R. Gestión '!#REF!="Mayor"),CONCATENATE("R9C",'R. Gestión '!#REF!),"")</f>
        <v>#REF!</v>
      </c>
      <c r="AF14" s="42" t="e">
        <f>IF(AND('R. Gestión '!#REF!="Muy Alta",'R. Gestión '!#REF!="Mayor"),CONCATENATE("R9C",'R. Gestión '!#REF!),"")</f>
        <v>#REF!</v>
      </c>
      <c r="AG14" s="43" t="e">
        <f>IF(AND('R. Gestión '!#REF!="Muy Alta",'R. Gestión '!#REF!="Mayor"),CONCATENATE("R9C",'R. Gestión '!#REF!),"")</f>
        <v>#REF!</v>
      </c>
      <c r="AH14" s="44" t="e">
        <f>IF(AND('R. Gestión '!#REF!="Muy Alta",'R. Gestión '!#REF!="Catastrófico"),CONCATENATE("R9C",'R. Gestión '!#REF!),"")</f>
        <v>#REF!</v>
      </c>
      <c r="AI14" s="45" t="e">
        <f>IF(AND('R. Gestión '!#REF!="Muy Alta",'R. Gestión '!#REF!="Catastrófico"),CONCATENATE("R9C",'R. Gestión '!#REF!),"")</f>
        <v>#REF!</v>
      </c>
      <c r="AJ14" s="45" t="e">
        <f>IF(AND('R. Gestión '!#REF!="Muy Alta",'R. Gestión '!#REF!="Catastrófico"),CONCATENATE("R9C",'R. Gestión '!#REF!),"")</f>
        <v>#REF!</v>
      </c>
      <c r="AK14" s="45" t="e">
        <f>IF(AND('R. Gestión '!#REF!="Muy Alta",'R. Gestión '!#REF!="Catastrófico"),CONCATENATE("R9C",'R. Gestión '!#REF!),"")</f>
        <v>#REF!</v>
      </c>
      <c r="AL14" s="45" t="e">
        <f>IF(AND('R. Gestión '!#REF!="Muy Alta",'R. Gestión '!#REF!="Catastrófico"),CONCATENATE("R9C",'R. Gestión '!#REF!),"")</f>
        <v>#REF!</v>
      </c>
      <c r="AM14" s="46" t="e">
        <f>IF(AND('R. Gestión '!#REF!="Muy Alta",'R. Gestión '!#REF!="Catastrófico"),CONCATENATE("R9C",'R. Gestión '!#REF!),"")</f>
        <v>#REF!</v>
      </c>
      <c r="AN14" s="72"/>
      <c r="AO14" s="703"/>
      <c r="AP14" s="704"/>
      <c r="AQ14" s="704"/>
      <c r="AR14" s="704"/>
      <c r="AS14" s="704"/>
      <c r="AT14" s="705"/>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row>
    <row r="15" spans="1:91" ht="15.75" customHeight="1" thickBot="1" x14ac:dyDescent="0.3">
      <c r="A15" s="72"/>
      <c r="B15" s="642"/>
      <c r="C15" s="642"/>
      <c r="D15" s="643"/>
      <c r="E15" s="686"/>
      <c r="F15" s="687"/>
      <c r="G15" s="687"/>
      <c r="H15" s="687"/>
      <c r="I15" s="688"/>
      <c r="J15" s="47" t="e">
        <f>IF(AND('R. Gestión '!#REF!="Muy Alta",'R. Gestión '!#REF!="Leve"),CONCATENATE("R10C",'R. Gestión '!#REF!),"")</f>
        <v>#REF!</v>
      </c>
      <c r="K15" s="48" t="e">
        <f>IF(AND('R. Gestión '!#REF!="Muy Alta",'R. Gestión '!#REF!="Leve"),CONCATENATE("R10C",'R. Gestión '!#REF!),"")</f>
        <v>#REF!</v>
      </c>
      <c r="L15" s="48" t="e">
        <f>IF(AND('R. Gestión '!#REF!="Muy Alta",'R. Gestión '!#REF!="Leve"),CONCATENATE("R10C",'R. Gestión '!#REF!),"")</f>
        <v>#REF!</v>
      </c>
      <c r="M15" s="48" t="e">
        <f>IF(AND('R. Gestión '!#REF!="Muy Alta",'R. Gestión '!#REF!="Leve"),CONCATENATE("R10C",'R. Gestión '!#REF!),"")</f>
        <v>#REF!</v>
      </c>
      <c r="N15" s="48" t="e">
        <f>IF(AND('R. Gestión '!#REF!="Muy Alta",'R. Gestión '!#REF!="Leve"),CONCATENATE("R10C",'R. Gestión '!#REF!),"")</f>
        <v>#REF!</v>
      </c>
      <c r="O15" s="49" t="e">
        <f>IF(AND('R. Gestión '!#REF!="Muy Alta",'R. Gestión '!#REF!="Leve"),CONCATENATE("R10C",'R. Gestión '!#REF!),"")</f>
        <v>#REF!</v>
      </c>
      <c r="P15" s="41" t="e">
        <f>IF(AND('R. Gestión '!#REF!="Muy Alta",'R. Gestión '!#REF!="Menor"),CONCATENATE("R10C",'R. Gestión '!#REF!),"")</f>
        <v>#REF!</v>
      </c>
      <c r="Q15" s="42" t="e">
        <f>IF(AND('R. Gestión '!#REF!="Muy Alta",'R. Gestión '!#REF!="Menor"),CONCATENATE("R10C",'R. Gestión '!#REF!),"")</f>
        <v>#REF!</v>
      </c>
      <c r="R15" s="42" t="e">
        <f>IF(AND('R. Gestión '!#REF!="Muy Alta",'R. Gestión '!#REF!="Menor"),CONCATENATE("R10C",'R. Gestión '!#REF!),"")</f>
        <v>#REF!</v>
      </c>
      <c r="S15" s="42" t="e">
        <f>IF(AND('R. Gestión '!#REF!="Muy Alta",'R. Gestión '!#REF!="Menor"),CONCATENATE("R10C",'R. Gestión '!#REF!),"")</f>
        <v>#REF!</v>
      </c>
      <c r="T15" s="42" t="e">
        <f>IF(AND('R. Gestión '!#REF!="Muy Alta",'R. Gestión '!#REF!="Menor"),CONCATENATE("R10C",'R. Gestión '!#REF!),"")</f>
        <v>#REF!</v>
      </c>
      <c r="U15" s="43" t="e">
        <f>IF(AND('R. Gestión '!#REF!="Muy Alta",'R. Gestión '!#REF!="Menor"),CONCATENATE("R10C",'R. Gestión '!#REF!),"")</f>
        <v>#REF!</v>
      </c>
      <c r="V15" s="47" t="e">
        <f>IF(AND('R. Gestión '!#REF!="Muy Alta",'R. Gestión '!#REF!="Moderado"),CONCATENATE("R10C",'R. Gestión '!#REF!),"")</f>
        <v>#REF!</v>
      </c>
      <c r="W15" s="48" t="e">
        <f>IF(AND('R. Gestión '!#REF!="Muy Alta",'R. Gestión '!#REF!="Moderado"),CONCATENATE("R10C",'R. Gestión '!#REF!),"")</f>
        <v>#REF!</v>
      </c>
      <c r="X15" s="48" t="e">
        <f>IF(AND('R. Gestión '!#REF!="Muy Alta",'R. Gestión '!#REF!="Moderado"),CONCATENATE("R10C",'R. Gestión '!#REF!),"")</f>
        <v>#REF!</v>
      </c>
      <c r="Y15" s="48" t="e">
        <f>IF(AND('R. Gestión '!#REF!="Muy Alta",'R. Gestión '!#REF!="Moderado"),CONCATENATE("R10C",'R. Gestión '!#REF!),"")</f>
        <v>#REF!</v>
      </c>
      <c r="Z15" s="48" t="e">
        <f>IF(AND('R. Gestión '!#REF!="Muy Alta",'R. Gestión '!#REF!="Moderado"),CONCATENATE("R10C",'R. Gestión '!#REF!),"")</f>
        <v>#REF!</v>
      </c>
      <c r="AA15" s="49" t="e">
        <f>IF(AND('R. Gestión '!#REF!="Muy Alta",'R. Gestión '!#REF!="Moderado"),CONCATENATE("R10C",'R. Gestión '!#REF!),"")</f>
        <v>#REF!</v>
      </c>
      <c r="AB15" s="41" t="e">
        <f>IF(AND('R. Gestión '!#REF!="Muy Alta",'R. Gestión '!#REF!="Mayor"),CONCATENATE("R10C",'R. Gestión '!#REF!),"")</f>
        <v>#REF!</v>
      </c>
      <c r="AC15" s="42" t="e">
        <f>IF(AND('R. Gestión '!#REF!="Muy Alta",'R. Gestión '!#REF!="Mayor"),CONCATENATE("R10C",'R. Gestión '!#REF!),"")</f>
        <v>#REF!</v>
      </c>
      <c r="AD15" s="42" t="e">
        <f>IF(AND('R. Gestión '!#REF!="Muy Alta",'R. Gestión '!#REF!="Mayor"),CONCATENATE("R10C",'R. Gestión '!#REF!),"")</f>
        <v>#REF!</v>
      </c>
      <c r="AE15" s="42" t="e">
        <f>IF(AND('R. Gestión '!#REF!="Muy Alta",'R. Gestión '!#REF!="Mayor"),CONCATENATE("R10C",'R. Gestión '!#REF!),"")</f>
        <v>#REF!</v>
      </c>
      <c r="AF15" s="42" t="e">
        <f>IF(AND('R. Gestión '!#REF!="Muy Alta",'R. Gestión '!#REF!="Mayor"),CONCATENATE("R10C",'R. Gestión '!#REF!),"")</f>
        <v>#REF!</v>
      </c>
      <c r="AG15" s="43" t="e">
        <f>IF(AND('R. Gestión '!#REF!="Muy Alta",'R. Gestión '!#REF!="Mayor"),CONCATENATE("R10C",'R. Gestión '!#REF!),"")</f>
        <v>#REF!</v>
      </c>
      <c r="AH15" s="50" t="e">
        <f>IF(AND('R. Gestión '!#REF!="Muy Alta",'R. Gestión '!#REF!="Catastrófico"),CONCATENATE("R10C",'R. Gestión '!#REF!),"")</f>
        <v>#REF!</v>
      </c>
      <c r="AI15" s="51" t="e">
        <f>IF(AND('R. Gestión '!#REF!="Muy Alta",'R. Gestión '!#REF!="Catastrófico"),CONCATENATE("R10C",'R. Gestión '!#REF!),"")</f>
        <v>#REF!</v>
      </c>
      <c r="AJ15" s="51" t="e">
        <f>IF(AND('R. Gestión '!#REF!="Muy Alta",'R. Gestión '!#REF!="Catastrófico"),CONCATENATE("R10C",'R. Gestión '!#REF!),"")</f>
        <v>#REF!</v>
      </c>
      <c r="AK15" s="51" t="e">
        <f>IF(AND('R. Gestión '!#REF!="Muy Alta",'R. Gestión '!#REF!="Catastrófico"),CONCATENATE("R10C",'R. Gestión '!#REF!),"")</f>
        <v>#REF!</v>
      </c>
      <c r="AL15" s="51" t="e">
        <f>IF(AND('R. Gestión '!#REF!="Muy Alta",'R. Gestión '!#REF!="Catastrófico"),CONCATENATE("R10C",'R. Gestión '!#REF!),"")</f>
        <v>#REF!</v>
      </c>
      <c r="AM15" s="52" t="e">
        <f>IF(AND('R. Gestión '!#REF!="Muy Alta",'R. Gestión '!#REF!="Catastrófico"),CONCATENATE("R10C",'R. Gestión '!#REF!),"")</f>
        <v>#REF!</v>
      </c>
      <c r="AN15" s="72"/>
      <c r="AO15" s="706"/>
      <c r="AP15" s="707"/>
      <c r="AQ15" s="707"/>
      <c r="AR15" s="707"/>
      <c r="AS15" s="707"/>
      <c r="AT15" s="708"/>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row>
    <row r="16" spans="1:91" ht="15" customHeight="1" x14ac:dyDescent="0.25">
      <c r="A16" s="72"/>
      <c r="B16" s="642"/>
      <c r="C16" s="642"/>
      <c r="D16" s="643"/>
      <c r="E16" s="680" t="s">
        <v>99</v>
      </c>
      <c r="F16" s="681"/>
      <c r="G16" s="681"/>
      <c r="H16" s="681"/>
      <c r="I16" s="681"/>
      <c r="J16" s="53" t="e">
        <f>IF(AND('R. Gestión '!#REF!="Alta",'R. Gestión '!#REF!="Leve"),CONCATENATE("R1C",'R. Gestión '!#REF!),"")</f>
        <v>#REF!</v>
      </c>
      <c r="K16" s="54" t="e">
        <f>IF(AND('R. Gestión '!#REF!="Alta",'R. Gestión '!#REF!="Leve"),CONCATENATE("R1C",'R. Gestión '!#REF!),"")</f>
        <v>#REF!</v>
      </c>
      <c r="L16" s="54" t="e">
        <f>IF(AND('R. Gestión '!#REF!="Alta",'R. Gestión '!#REF!="Leve"),CONCATENATE("R1C",'R. Gestión '!#REF!),"")</f>
        <v>#REF!</v>
      </c>
      <c r="M16" s="54" t="e">
        <f>IF(AND('R. Gestión '!#REF!="Alta",'R. Gestión '!#REF!="Leve"),CONCATENATE("R1C",'R. Gestión '!#REF!),"")</f>
        <v>#REF!</v>
      </c>
      <c r="N16" s="54" t="e">
        <f>IF(AND('R. Gestión '!#REF!="Alta",'R. Gestión '!#REF!="Leve"),CONCATENATE("R1C",'R. Gestión '!#REF!),"")</f>
        <v>#REF!</v>
      </c>
      <c r="O16" s="55" t="e">
        <f>IF(AND('R. Gestión '!#REF!="Alta",'R. Gestión '!#REF!="Leve"),CONCATENATE("R1C",'R. Gestión '!#REF!),"")</f>
        <v>#REF!</v>
      </c>
      <c r="P16" s="53" t="e">
        <f>IF(AND('R. Gestión '!#REF!="Alta",'R. Gestión '!#REF!="Menor"),CONCATENATE("R1C",'R. Gestión '!#REF!),"")</f>
        <v>#REF!</v>
      </c>
      <c r="Q16" s="54" t="e">
        <f>IF(AND('R. Gestión '!#REF!="Alta",'R. Gestión '!#REF!="Menor"),CONCATENATE("R1C",'R. Gestión '!#REF!),"")</f>
        <v>#REF!</v>
      </c>
      <c r="R16" s="54" t="e">
        <f>IF(AND('R. Gestión '!#REF!="Alta",'R. Gestión '!#REF!="Menor"),CONCATENATE("R1C",'R. Gestión '!#REF!),"")</f>
        <v>#REF!</v>
      </c>
      <c r="S16" s="54" t="e">
        <f>IF(AND('R. Gestión '!#REF!="Alta",'R. Gestión '!#REF!="Menor"),CONCATENATE("R1C",'R. Gestión '!#REF!),"")</f>
        <v>#REF!</v>
      </c>
      <c r="T16" s="54" t="e">
        <f>IF(AND('R. Gestión '!#REF!="Alta",'R. Gestión '!#REF!="Menor"),CONCATENATE("R1C",'R. Gestión '!#REF!),"")</f>
        <v>#REF!</v>
      </c>
      <c r="U16" s="55" t="e">
        <f>IF(AND('R. Gestión '!#REF!="Alta",'R. Gestión '!#REF!="Menor"),CONCATENATE("R1C",'R. Gestión '!#REF!),"")</f>
        <v>#REF!</v>
      </c>
      <c r="V16" s="35" t="e">
        <f>IF(AND('R. Gestión '!#REF!="Alta",'R. Gestión '!#REF!="Moderado"),CONCATENATE("R1C",'R. Gestión '!#REF!),"")</f>
        <v>#REF!</v>
      </c>
      <c r="W16" s="36" t="e">
        <f>IF(AND('R. Gestión '!#REF!="Alta",'R. Gestión '!#REF!="Moderado"),CONCATENATE("R1C",'R. Gestión '!#REF!),"")</f>
        <v>#REF!</v>
      </c>
      <c r="X16" s="36" t="e">
        <f>IF(AND('R. Gestión '!#REF!="Alta",'R. Gestión '!#REF!="Moderado"),CONCATENATE("R1C",'R. Gestión '!#REF!),"")</f>
        <v>#REF!</v>
      </c>
      <c r="Y16" s="36" t="e">
        <f>IF(AND('R. Gestión '!#REF!="Alta",'R. Gestión '!#REF!="Moderado"),CONCATENATE("R1C",'R. Gestión '!#REF!),"")</f>
        <v>#REF!</v>
      </c>
      <c r="Z16" s="36" t="e">
        <f>IF(AND('R. Gestión '!#REF!="Alta",'R. Gestión '!#REF!="Moderado"),CONCATENATE("R1C",'R. Gestión '!#REF!),"")</f>
        <v>#REF!</v>
      </c>
      <c r="AA16" s="37" t="e">
        <f>IF(AND('R. Gestión '!#REF!="Alta",'R. Gestión '!#REF!="Moderado"),CONCATENATE("R1C",'R. Gestión '!#REF!),"")</f>
        <v>#REF!</v>
      </c>
      <c r="AB16" s="35" t="e">
        <f>IF(AND('R. Gestión '!#REF!="Alta",'R. Gestión '!#REF!="Mayor"),CONCATENATE("R1C",'R. Gestión '!#REF!),"")</f>
        <v>#REF!</v>
      </c>
      <c r="AC16" s="36" t="e">
        <f>IF(AND('R. Gestión '!#REF!="Alta",'R. Gestión '!#REF!="Mayor"),CONCATENATE("R1C",'R. Gestión '!#REF!),"")</f>
        <v>#REF!</v>
      </c>
      <c r="AD16" s="36" t="e">
        <f>IF(AND('R. Gestión '!#REF!="Alta",'R. Gestión '!#REF!="Mayor"),CONCATENATE("R1C",'R. Gestión '!#REF!),"")</f>
        <v>#REF!</v>
      </c>
      <c r="AE16" s="36" t="e">
        <f>IF(AND('R. Gestión '!#REF!="Alta",'R. Gestión '!#REF!="Mayor"),CONCATENATE("R1C",'R. Gestión '!#REF!),"")</f>
        <v>#REF!</v>
      </c>
      <c r="AF16" s="36" t="e">
        <f>IF(AND('R. Gestión '!#REF!="Alta",'R. Gestión '!#REF!="Mayor"),CONCATENATE("R1C",'R. Gestión '!#REF!),"")</f>
        <v>#REF!</v>
      </c>
      <c r="AG16" s="37" t="e">
        <f>IF(AND('R. Gestión '!#REF!="Alta",'R. Gestión '!#REF!="Mayor"),CONCATENATE("R1C",'R. Gestión '!#REF!),"")</f>
        <v>#REF!</v>
      </c>
      <c r="AH16" s="38" t="e">
        <f>IF(AND('R. Gestión '!#REF!="Alta",'R. Gestión '!#REF!="Catastrófico"),CONCATENATE("R1C",'R. Gestión '!#REF!),"")</f>
        <v>#REF!</v>
      </c>
      <c r="AI16" s="39" t="e">
        <f>IF(AND('R. Gestión '!#REF!="Alta",'R. Gestión '!#REF!="Catastrófico"),CONCATENATE("R1C",'R. Gestión '!#REF!),"")</f>
        <v>#REF!</v>
      </c>
      <c r="AJ16" s="39" t="e">
        <f>IF(AND('R. Gestión '!#REF!="Alta",'R. Gestión '!#REF!="Catastrófico"),CONCATENATE("R1C",'R. Gestión '!#REF!),"")</f>
        <v>#REF!</v>
      </c>
      <c r="AK16" s="39" t="e">
        <f>IF(AND('R. Gestión '!#REF!="Alta",'R. Gestión '!#REF!="Catastrófico"),CONCATENATE("R1C",'R. Gestión '!#REF!),"")</f>
        <v>#REF!</v>
      </c>
      <c r="AL16" s="39" t="e">
        <f>IF(AND('R. Gestión '!#REF!="Alta",'R. Gestión '!#REF!="Catastrófico"),CONCATENATE("R1C",'R. Gestión '!#REF!),"")</f>
        <v>#REF!</v>
      </c>
      <c r="AM16" s="40" t="e">
        <f>IF(AND('R. Gestión '!#REF!="Alta",'R. Gestión '!#REF!="Catastrófico"),CONCATENATE("R1C",'R. Gestión '!#REF!),"")</f>
        <v>#REF!</v>
      </c>
      <c r="AN16" s="72"/>
      <c r="AO16" s="690" t="s">
        <v>66</v>
      </c>
      <c r="AP16" s="691"/>
      <c r="AQ16" s="691"/>
      <c r="AR16" s="691"/>
      <c r="AS16" s="691"/>
      <c r="AT16" s="69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row>
    <row r="17" spans="1:76" ht="15" customHeight="1" x14ac:dyDescent="0.25">
      <c r="A17" s="72"/>
      <c r="B17" s="642"/>
      <c r="C17" s="642"/>
      <c r="D17" s="643"/>
      <c r="E17" s="699"/>
      <c r="F17" s="684"/>
      <c r="G17" s="684"/>
      <c r="H17" s="684"/>
      <c r="I17" s="684"/>
      <c r="J17" s="56" t="str">
        <f ca="1">IF(AND('R. Gestión '!$AC$31="Alta",'R. Gestión '!$AE$31="Leve"),CONCATENATE("R2C",'R. Gestión '!$R$31),"")</f>
        <v/>
      </c>
      <c r="K17" s="57" t="str">
        <f ca="1">IF(AND('R. Gestión '!$AC$32="Alta",'R. Gestión '!$AE$32="Leve"),CONCATENATE("R2C",'R. Gestión '!$R$32),"")</f>
        <v/>
      </c>
      <c r="L17" s="57" t="str">
        <f ca="1">IF(AND('R. Gestión '!$AC$33="Alta",'R. Gestión '!$AE$33="Leve"),CONCATENATE("R2C",'R. Gestión '!$R$33),"")</f>
        <v/>
      </c>
      <c r="M17" s="57" t="str">
        <f>IF(AND('R. Gestión '!$AC$34="Alta",'R. Gestión '!$AE$34="Leve"),CONCATENATE("R2C",'R. Gestión '!$R$34),"")</f>
        <v/>
      </c>
      <c r="N17" s="57" t="str">
        <f>IF(AND('R. Gestión '!$AC$35="Alta",'R. Gestión '!$AE$35="Leve"),CONCATENATE("R2C",'R. Gestión '!$R$35),"")</f>
        <v/>
      </c>
      <c r="O17" s="58" t="str">
        <f>IF(AND('R. Gestión '!$AC$36="Alta",'R. Gestión '!$AE$36="Leve"),CONCATENATE("R2C",'R. Gestión '!$R$36),"")</f>
        <v/>
      </c>
      <c r="P17" s="56" t="str">
        <f ca="1">IF(AND('R. Gestión '!$AC$31="Alta",'R. Gestión '!$AE$31="Menor"),CONCATENATE("R2C",'R. Gestión '!$R$31),"")</f>
        <v/>
      </c>
      <c r="Q17" s="57" t="str">
        <f ca="1">IF(AND('R. Gestión '!$AC$32="Alta",'R. Gestión '!$AE$32="Menor"),CONCATENATE("R2C",'R. Gestión '!$R$32),"")</f>
        <v/>
      </c>
      <c r="R17" s="57" t="str">
        <f ca="1">IF(AND('R. Gestión '!$AC$33="Alta",'R. Gestión '!$AE$33="Menor"),CONCATENATE("R2C",'R. Gestión '!$R$33),"")</f>
        <v/>
      </c>
      <c r="S17" s="57" t="str">
        <f>IF(AND('R. Gestión '!$AC$34="Alta",'R. Gestión '!$AE$34="Menor"),CONCATENATE("R2C",'R. Gestión '!$R$34),"")</f>
        <v/>
      </c>
      <c r="T17" s="57" t="str">
        <f>IF(AND('R. Gestión '!$AC$35="Alta",'R. Gestión '!$AE$35="Menor"),CONCATENATE("R2C",'R. Gestión '!$R$35),"")</f>
        <v/>
      </c>
      <c r="U17" s="58" t="str">
        <f>IF(AND('R. Gestión '!$AC$36="Alta",'R. Gestión '!$AE$36="Menor"),CONCATENATE("R2C",'R. Gestión '!$R$36),"")</f>
        <v/>
      </c>
      <c r="V17" s="41" t="str">
        <f ca="1">IF(AND('R. Gestión '!$AC$31="Alta",'R. Gestión '!$AE$31="Moderado"),CONCATENATE("R2C",'R. Gestión '!$R$31),"")</f>
        <v/>
      </c>
      <c r="W17" s="42" t="str">
        <f ca="1">IF(AND('R. Gestión '!$AC$32="Alta",'R. Gestión '!$AE$32="Moderado"),CONCATENATE("R2C",'R. Gestión '!$R$32),"")</f>
        <v/>
      </c>
      <c r="X17" s="42" t="str">
        <f ca="1">IF(AND('R. Gestión '!$AC$33="Alta",'R. Gestión '!$AE$33="Moderado"),CONCATENATE("R2C",'R. Gestión '!$R$33),"")</f>
        <v/>
      </c>
      <c r="Y17" s="42" t="str">
        <f>IF(AND('R. Gestión '!$AC$34="Alta",'R. Gestión '!$AE$34="Moderado"),CONCATENATE("R2C",'R. Gestión '!$R$34),"")</f>
        <v/>
      </c>
      <c r="Z17" s="42" t="str">
        <f>IF(AND('R. Gestión '!$AC$35="Alta",'R. Gestión '!$AE$35="Moderado"),CONCATENATE("R2C",'R. Gestión '!$R$35),"")</f>
        <v/>
      </c>
      <c r="AA17" s="43" t="str">
        <f>IF(AND('R. Gestión '!$AC$36="Alta",'R. Gestión '!$AE$36="Moderado"),CONCATENATE("R2C",'R. Gestión '!$R$36),"")</f>
        <v/>
      </c>
      <c r="AB17" s="41" t="str">
        <f ca="1">IF(AND('R. Gestión '!$AC$31="Alta",'R. Gestión '!$AE$31="Mayor"),CONCATENATE("R2C",'R. Gestión '!$R$31),"")</f>
        <v/>
      </c>
      <c r="AC17" s="42" t="str">
        <f ca="1">IF(AND('R. Gestión '!$AC$32="Alta",'R. Gestión '!$AE$32="Mayor"),CONCATENATE("R2C",'R. Gestión '!$R$32),"")</f>
        <v/>
      </c>
      <c r="AD17" s="42" t="str">
        <f ca="1">IF(AND('R. Gestión '!$AC$33="Alta",'R. Gestión '!$AE$33="Mayor"),CONCATENATE("R2C",'R. Gestión '!$R$33),"")</f>
        <v/>
      </c>
      <c r="AE17" s="42" t="str">
        <f>IF(AND('R. Gestión '!$AC$34="Alta",'R. Gestión '!$AE$34="Mayor"),CONCATENATE("R2C",'R. Gestión '!$R$34),"")</f>
        <v/>
      </c>
      <c r="AF17" s="42" t="str">
        <f>IF(AND('R. Gestión '!$AC$35="Alta",'R. Gestión '!$AE$35="Mayor"),CONCATENATE("R2C",'R. Gestión '!$R$35),"")</f>
        <v/>
      </c>
      <c r="AG17" s="43" t="str">
        <f>IF(AND('R. Gestión '!$AC$36="Alta",'R. Gestión '!$AE$36="Mayor"),CONCATENATE("R2C",'R. Gestión '!$R$36),"")</f>
        <v/>
      </c>
      <c r="AH17" s="44" t="str">
        <f ca="1">IF(AND('R. Gestión '!$AC$31="Alta",'R. Gestión '!$AE$31="Catastrófico"),CONCATENATE("R2C",'R. Gestión '!$R$31),"")</f>
        <v/>
      </c>
      <c r="AI17" s="45" t="str">
        <f ca="1">IF(AND('R. Gestión '!$AC$32="Alta",'R. Gestión '!$AE$32="Catastrófico"),CONCATENATE("R2C",'R. Gestión '!$R$32),"")</f>
        <v/>
      </c>
      <c r="AJ17" s="45" t="str">
        <f ca="1">IF(AND('R. Gestión '!$AC$33="Alta",'R. Gestión '!$AE$33="Catastrófico"),CONCATENATE("R2C",'R. Gestión '!$R$33),"")</f>
        <v/>
      </c>
      <c r="AK17" s="45" t="str">
        <f>IF(AND('R. Gestión '!$AC$34="Alta",'R. Gestión '!$AE$34="Catastrófico"),CONCATENATE("R2C",'R. Gestión '!$R$34),"")</f>
        <v/>
      </c>
      <c r="AL17" s="45" t="str">
        <f>IF(AND('R. Gestión '!$AC$35="Alta",'R. Gestión '!$AE$35="Catastrófico"),CONCATENATE("R2C",'R. Gestión '!$R$35),"")</f>
        <v/>
      </c>
      <c r="AM17" s="46" t="str">
        <f>IF(AND('R. Gestión '!$AC$36="Alta",'R. Gestión '!$AE$36="Catastrófico"),CONCATENATE("R2C",'R. Gestión '!$R$36),"")</f>
        <v/>
      </c>
      <c r="AN17" s="72"/>
      <c r="AO17" s="693"/>
      <c r="AP17" s="694"/>
      <c r="AQ17" s="694"/>
      <c r="AR17" s="694"/>
      <c r="AS17" s="694"/>
      <c r="AT17" s="695"/>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row>
    <row r="18" spans="1:76" ht="15" customHeight="1" x14ac:dyDescent="0.25">
      <c r="A18" s="72"/>
      <c r="B18" s="642"/>
      <c r="C18" s="642"/>
      <c r="D18" s="643"/>
      <c r="E18" s="683"/>
      <c r="F18" s="684"/>
      <c r="G18" s="684"/>
      <c r="H18" s="684"/>
      <c r="I18" s="684"/>
      <c r="J18" s="56" t="e">
        <f>IF(AND('R. Gestión '!#REF!="Alta",'R. Gestión '!#REF!="Leve"),CONCATENATE("R3C",'R. Gestión '!#REF!),"")</f>
        <v>#REF!</v>
      </c>
      <c r="K18" s="57" t="e">
        <f>IF(AND('R. Gestión '!#REF!="Alta",'R. Gestión '!#REF!="Leve"),CONCATENATE("R3C",'R. Gestión '!#REF!),"")</f>
        <v>#REF!</v>
      </c>
      <c r="L18" s="57" t="e">
        <f>IF(AND('R. Gestión '!#REF!="Alta",'R. Gestión '!#REF!="Leve"),CONCATENATE("R3C",'R. Gestión '!#REF!),"")</f>
        <v>#REF!</v>
      </c>
      <c r="M18" s="57" t="e">
        <f>IF(AND('R. Gestión '!#REF!="Alta",'R. Gestión '!#REF!="Leve"),CONCATENATE("R3C",'R. Gestión '!#REF!),"")</f>
        <v>#REF!</v>
      </c>
      <c r="N18" s="57" t="e">
        <f>IF(AND('R. Gestión '!#REF!="Alta",'R. Gestión '!#REF!="Leve"),CONCATENATE("R3C",'R. Gestión '!#REF!),"")</f>
        <v>#REF!</v>
      </c>
      <c r="O18" s="58" t="e">
        <f>IF(AND('R. Gestión '!#REF!="Alta",'R. Gestión '!#REF!="Leve"),CONCATENATE("R3C",'R. Gestión '!#REF!),"")</f>
        <v>#REF!</v>
      </c>
      <c r="P18" s="56" t="e">
        <f>IF(AND('R. Gestión '!#REF!="Alta",'R. Gestión '!#REF!="Menor"),CONCATENATE("R3C",'R. Gestión '!#REF!),"")</f>
        <v>#REF!</v>
      </c>
      <c r="Q18" s="57" t="e">
        <f>IF(AND('R. Gestión '!#REF!="Alta",'R. Gestión '!#REF!="Menor"),CONCATENATE("R3C",'R. Gestión '!#REF!),"")</f>
        <v>#REF!</v>
      </c>
      <c r="R18" s="57" t="e">
        <f>IF(AND('R. Gestión '!#REF!="Alta",'R. Gestión '!#REF!="Menor"),CONCATENATE("R3C",'R. Gestión '!#REF!),"")</f>
        <v>#REF!</v>
      </c>
      <c r="S18" s="57" t="e">
        <f>IF(AND('R. Gestión '!#REF!="Alta",'R. Gestión '!#REF!="Menor"),CONCATENATE("R3C",'R. Gestión '!#REF!),"")</f>
        <v>#REF!</v>
      </c>
      <c r="T18" s="57" t="e">
        <f>IF(AND('R. Gestión '!#REF!="Alta",'R. Gestión '!#REF!="Menor"),CONCATENATE("R3C",'R. Gestión '!#REF!),"")</f>
        <v>#REF!</v>
      </c>
      <c r="U18" s="58" t="e">
        <f>IF(AND('R. Gestión '!#REF!="Alta",'R. Gestión '!#REF!="Menor"),CONCATENATE("R3C",'R. Gestión '!#REF!),"")</f>
        <v>#REF!</v>
      </c>
      <c r="V18" s="41" t="e">
        <f>IF(AND('R. Gestión '!#REF!="Alta",'R. Gestión '!#REF!="Moderado"),CONCATENATE("R3C",'R. Gestión '!#REF!),"")</f>
        <v>#REF!</v>
      </c>
      <c r="W18" s="42" t="e">
        <f>IF(AND('R. Gestión '!#REF!="Alta",'R. Gestión '!#REF!="Moderado"),CONCATENATE("R3C",'R. Gestión '!#REF!),"")</f>
        <v>#REF!</v>
      </c>
      <c r="X18" s="42" t="e">
        <f>IF(AND('R. Gestión '!#REF!="Alta",'R. Gestión '!#REF!="Moderado"),CONCATENATE("R3C",'R. Gestión '!#REF!),"")</f>
        <v>#REF!</v>
      </c>
      <c r="Y18" s="42" t="e">
        <f>IF(AND('R. Gestión '!#REF!="Alta",'R. Gestión '!#REF!="Moderado"),CONCATENATE("R3C",'R. Gestión '!#REF!),"")</f>
        <v>#REF!</v>
      </c>
      <c r="Z18" s="42" t="e">
        <f>IF(AND('R. Gestión '!#REF!="Alta",'R. Gestión '!#REF!="Moderado"),CONCATENATE("R3C",'R. Gestión '!#REF!),"")</f>
        <v>#REF!</v>
      </c>
      <c r="AA18" s="43" t="e">
        <f>IF(AND('R. Gestión '!#REF!="Alta",'R. Gestión '!#REF!="Moderado"),CONCATENATE("R3C",'R. Gestión '!#REF!),"")</f>
        <v>#REF!</v>
      </c>
      <c r="AB18" s="41" t="e">
        <f>IF(AND('R. Gestión '!#REF!="Alta",'R. Gestión '!#REF!="Mayor"),CONCATENATE("R3C",'R. Gestión '!#REF!),"")</f>
        <v>#REF!</v>
      </c>
      <c r="AC18" s="42" t="e">
        <f>IF(AND('R. Gestión '!#REF!="Alta",'R. Gestión '!#REF!="Mayor"),CONCATENATE("R3C",'R. Gestión '!#REF!),"")</f>
        <v>#REF!</v>
      </c>
      <c r="AD18" s="42" t="e">
        <f>IF(AND('R. Gestión '!#REF!="Alta",'R. Gestión '!#REF!="Mayor"),CONCATENATE("R3C",'R. Gestión '!#REF!),"")</f>
        <v>#REF!</v>
      </c>
      <c r="AE18" s="42" t="e">
        <f>IF(AND('R. Gestión '!#REF!="Alta",'R. Gestión '!#REF!="Mayor"),CONCATENATE("R3C",'R. Gestión '!#REF!),"")</f>
        <v>#REF!</v>
      </c>
      <c r="AF18" s="42" t="e">
        <f>IF(AND('R. Gestión '!#REF!="Alta",'R. Gestión '!#REF!="Mayor"),CONCATENATE("R3C",'R. Gestión '!#REF!),"")</f>
        <v>#REF!</v>
      </c>
      <c r="AG18" s="43" t="e">
        <f>IF(AND('R. Gestión '!#REF!="Alta",'R. Gestión '!#REF!="Mayor"),CONCATENATE("R3C",'R. Gestión '!#REF!),"")</f>
        <v>#REF!</v>
      </c>
      <c r="AH18" s="44" t="e">
        <f>IF(AND('R. Gestión '!#REF!="Alta",'R. Gestión '!#REF!="Catastrófico"),CONCATENATE("R3C",'R. Gestión '!#REF!),"")</f>
        <v>#REF!</v>
      </c>
      <c r="AI18" s="45" t="e">
        <f>IF(AND('R. Gestión '!#REF!="Alta",'R. Gestión '!#REF!="Catastrófico"),CONCATENATE("R3C",'R. Gestión '!#REF!),"")</f>
        <v>#REF!</v>
      </c>
      <c r="AJ18" s="45" t="e">
        <f>IF(AND('R. Gestión '!#REF!="Alta",'R. Gestión '!#REF!="Catastrófico"),CONCATENATE("R3C",'R. Gestión '!#REF!),"")</f>
        <v>#REF!</v>
      </c>
      <c r="AK18" s="45" t="e">
        <f>IF(AND('R. Gestión '!#REF!="Alta",'R. Gestión '!#REF!="Catastrófico"),CONCATENATE("R3C",'R. Gestión '!#REF!),"")</f>
        <v>#REF!</v>
      </c>
      <c r="AL18" s="45" t="e">
        <f>IF(AND('R. Gestión '!#REF!="Alta",'R. Gestión '!#REF!="Catastrófico"),CONCATENATE("R3C",'R. Gestión '!#REF!),"")</f>
        <v>#REF!</v>
      </c>
      <c r="AM18" s="46" t="e">
        <f>IF(AND('R. Gestión '!#REF!="Alta",'R. Gestión '!#REF!="Catastrófico"),CONCATENATE("R3C",'R. Gestión '!#REF!),"")</f>
        <v>#REF!</v>
      </c>
      <c r="AN18" s="72"/>
      <c r="AO18" s="693"/>
      <c r="AP18" s="694"/>
      <c r="AQ18" s="694"/>
      <c r="AR18" s="694"/>
      <c r="AS18" s="694"/>
      <c r="AT18" s="695"/>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row>
    <row r="19" spans="1:76" ht="15" customHeight="1" x14ac:dyDescent="0.25">
      <c r="A19" s="72"/>
      <c r="B19" s="642"/>
      <c r="C19" s="642"/>
      <c r="D19" s="643"/>
      <c r="E19" s="683"/>
      <c r="F19" s="684"/>
      <c r="G19" s="684"/>
      <c r="H19" s="684"/>
      <c r="I19" s="684"/>
      <c r="J19" s="56" t="str">
        <f ca="1">IF(AND('R. Gestión '!$AC$271="Alta",'R. Gestión '!$AE$271="Leve"),CONCATENATE("R4C",'R. Gestión '!$R$271),"")</f>
        <v/>
      </c>
      <c r="K19" s="57" t="str">
        <f ca="1">IF(AND('R. Gestión '!$AC$272="Alta",'R. Gestión '!$AE$272="Leve"),CONCATENATE("R4C",'R. Gestión '!$R$272),"")</f>
        <v/>
      </c>
      <c r="L19" s="57" t="str">
        <f>IF(AND('R. Gestión '!$AC$273="Alta",'R. Gestión '!$AE$273="Leve"),CONCATENATE("R4C",'R. Gestión '!$R$273),"")</f>
        <v/>
      </c>
      <c r="M19" s="57" t="str">
        <f>IF(AND('R. Gestión '!$AC$274="Alta",'R. Gestión '!$AE$274="Leve"),CONCATENATE("R4C",'R. Gestión '!$R$274),"")</f>
        <v/>
      </c>
      <c r="N19" s="57" t="str">
        <f>IF(AND('R. Gestión '!$AC$275="Alta",'R. Gestión '!$AE$275="Leve"),CONCATENATE("R4C",'R. Gestión '!$R$275),"")</f>
        <v/>
      </c>
      <c r="O19" s="58" t="str">
        <f>IF(AND('R. Gestión '!$AC$276="Alta",'R. Gestión '!$AE$276="Leve"),CONCATENATE("R4C",'R. Gestión '!$R$276),"")</f>
        <v/>
      </c>
      <c r="P19" s="56" t="str">
        <f ca="1">IF(AND('R. Gestión '!$AC$271="Alta",'R. Gestión '!$AE$271="Menor"),CONCATENATE("R4C",'R. Gestión '!$R$271),"")</f>
        <v/>
      </c>
      <c r="Q19" s="57" t="str">
        <f ca="1">IF(AND('R. Gestión '!$AC$272="Alta",'R. Gestión '!$AE$272="Menor"),CONCATENATE("R4C",'R. Gestión '!$R$272),"")</f>
        <v/>
      </c>
      <c r="R19" s="57" t="str">
        <f>IF(AND('R. Gestión '!$AC$273="Alta",'R. Gestión '!$AE$273="Menor"),CONCATENATE("R4C",'R. Gestión '!$R$273),"")</f>
        <v/>
      </c>
      <c r="S19" s="57" t="str">
        <f>IF(AND('R. Gestión '!$AC$274="Alta",'R. Gestión '!$AE$274="Menor"),CONCATENATE("R4C",'R. Gestión '!$R$274),"")</f>
        <v/>
      </c>
      <c r="T19" s="57" t="str">
        <f>IF(AND('R. Gestión '!$AC$275="Alta",'R. Gestión '!$AE$275="Menor"),CONCATENATE("R4C",'R. Gestión '!$R$275),"")</f>
        <v/>
      </c>
      <c r="U19" s="58" t="str">
        <f>IF(AND('R. Gestión '!$AC$276="Alta",'R. Gestión '!$AE$276="Menor"),CONCATENATE("R4C",'R. Gestión '!$R$276),"")</f>
        <v/>
      </c>
      <c r="V19" s="41" t="str">
        <f ca="1">IF(AND('R. Gestión '!$AC$271="Alta",'R. Gestión '!$AE$271="Moderado"),CONCATENATE("R4C",'R. Gestión '!$R$271),"")</f>
        <v/>
      </c>
      <c r="W19" s="42" t="str">
        <f ca="1">IF(AND('R. Gestión '!$AC$272="Alta",'R. Gestión '!$AE$272="Moderado"),CONCATENATE("R4C",'R. Gestión '!$R$272),"")</f>
        <v/>
      </c>
      <c r="X19" s="42" t="str">
        <f>IF(AND('R. Gestión '!$AC$273="Alta",'R. Gestión '!$AE$273="Moderado"),CONCATENATE("R4C",'R. Gestión '!$R$273),"")</f>
        <v/>
      </c>
      <c r="Y19" s="42" t="str">
        <f>IF(AND('R. Gestión '!$AC$274="Alta",'R. Gestión '!$AE$274="Moderado"),CONCATENATE("R4C",'R. Gestión '!$R$274),"")</f>
        <v/>
      </c>
      <c r="Z19" s="42" t="str">
        <f>IF(AND('R. Gestión '!$AC$275="Alta",'R. Gestión '!$AE$275="Moderado"),CONCATENATE("R4C",'R. Gestión '!$R$275),"")</f>
        <v/>
      </c>
      <c r="AA19" s="43" t="str">
        <f>IF(AND('R. Gestión '!$AC$276="Alta",'R. Gestión '!$AE$276="Moderado"),CONCATENATE("R4C",'R. Gestión '!$R$276),"")</f>
        <v/>
      </c>
      <c r="AB19" s="41" t="str">
        <f ca="1">IF(AND('R. Gestión '!$AC$271="Alta",'R. Gestión '!$AE$271="Mayor"),CONCATENATE("R4C",'R. Gestión '!$R$271),"")</f>
        <v/>
      </c>
      <c r="AC19" s="42" t="str">
        <f ca="1">IF(AND('R. Gestión '!$AC$272="Alta",'R. Gestión '!$AE$272="Mayor"),CONCATENATE("R4C",'R. Gestión '!$R$272),"")</f>
        <v/>
      </c>
      <c r="AD19" s="42" t="str">
        <f>IF(AND('R. Gestión '!$AC$273="Alta",'R. Gestión '!$AE$273="Mayor"),CONCATENATE("R4C",'R. Gestión '!$R$273),"")</f>
        <v/>
      </c>
      <c r="AE19" s="42" t="str">
        <f>IF(AND('R. Gestión '!$AC$274="Alta",'R. Gestión '!$AE$274="Mayor"),CONCATENATE("R4C",'R. Gestión '!$R$274),"")</f>
        <v/>
      </c>
      <c r="AF19" s="42" t="str">
        <f>IF(AND('R. Gestión '!$AC$275="Alta",'R. Gestión '!$AE$275="Mayor"),CONCATENATE("R4C",'R. Gestión '!$R$275),"")</f>
        <v/>
      </c>
      <c r="AG19" s="43" t="str">
        <f>IF(AND('R. Gestión '!$AC$276="Alta",'R. Gestión '!$AE$276="Mayor"),CONCATENATE("R4C",'R. Gestión '!$R$276),"")</f>
        <v/>
      </c>
      <c r="AH19" s="44" t="str">
        <f ca="1">IF(AND('R. Gestión '!$AC$271="Alta",'R. Gestión '!$AE$271="Catastrófico"),CONCATENATE("R4C",'R. Gestión '!$R$271),"")</f>
        <v/>
      </c>
      <c r="AI19" s="45" t="str">
        <f ca="1">IF(AND('R. Gestión '!$AC$272="Alta",'R. Gestión '!$AE$272="Catastrófico"),CONCATENATE("R4C",'R. Gestión '!$R$272),"")</f>
        <v/>
      </c>
      <c r="AJ19" s="45" t="str">
        <f>IF(AND('R. Gestión '!$AC$273="Alta",'R. Gestión '!$AE$273="Catastrófico"),CONCATENATE("R4C",'R. Gestión '!$R$273),"")</f>
        <v/>
      </c>
      <c r="AK19" s="45" t="str">
        <f>IF(AND('R. Gestión '!$AC$274="Alta",'R. Gestión '!$AE$274="Catastrófico"),CONCATENATE("R4C",'R. Gestión '!$R$274),"")</f>
        <v/>
      </c>
      <c r="AL19" s="45" t="str">
        <f>IF(AND('R. Gestión '!$AC$275="Alta",'R. Gestión '!$AE$275="Catastrófico"),CONCATENATE("R4C",'R. Gestión '!$R$275),"")</f>
        <v/>
      </c>
      <c r="AM19" s="46" t="str">
        <f>IF(AND('R. Gestión '!$AC$276="Alta",'R. Gestión '!$AE$276="Catastrófico"),CONCATENATE("R4C",'R. Gestión '!$R$276),"")</f>
        <v/>
      </c>
      <c r="AN19" s="72"/>
      <c r="AO19" s="693"/>
      <c r="AP19" s="694"/>
      <c r="AQ19" s="694"/>
      <c r="AR19" s="694"/>
      <c r="AS19" s="694"/>
      <c r="AT19" s="695"/>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row>
    <row r="20" spans="1:76" ht="15" customHeight="1" x14ac:dyDescent="0.25">
      <c r="A20" s="72"/>
      <c r="B20" s="642"/>
      <c r="C20" s="642"/>
      <c r="D20" s="643"/>
      <c r="E20" s="683"/>
      <c r="F20" s="684"/>
      <c r="G20" s="684"/>
      <c r="H20" s="684"/>
      <c r="I20" s="684"/>
      <c r="J20" s="56" t="str">
        <f ca="1">IF(AND('R. Gestión '!$AC$289="Alta",'R. Gestión '!$AE$289="Leve"),CONCATENATE("R5C",'R. Gestión '!$R$289),"")</f>
        <v/>
      </c>
      <c r="K20" s="57" t="str">
        <f>IF(AND('R. Gestión '!$AC$290="Alta",'R. Gestión '!$AE$290="Leve"),CONCATENATE("R5C",'R. Gestión '!$R$290),"")</f>
        <v/>
      </c>
      <c r="L20" s="57" t="str">
        <f>IF(AND('R. Gestión '!$AC$291="Alta",'R. Gestión '!$AE$291="Leve"),CONCATENATE("R5C",'R. Gestión '!$R$291),"")</f>
        <v/>
      </c>
      <c r="M20" s="57" t="str">
        <f>IF(AND('R. Gestión '!$AC$292="Alta",'R. Gestión '!$AE$292="Leve"),CONCATENATE("R5C",'R. Gestión '!$R$292),"")</f>
        <v/>
      </c>
      <c r="N20" s="57" t="str">
        <f>IF(AND('R. Gestión '!$AC$293="Alta",'R. Gestión '!$AE$293="Leve"),CONCATENATE("R5C",'R. Gestión '!$R$293),"")</f>
        <v/>
      </c>
      <c r="O20" s="58" t="str">
        <f>IF(AND('R. Gestión '!$AC$294="Alta",'R. Gestión '!$AE$294="Leve"),CONCATENATE("R5C",'R. Gestión '!$R$294),"")</f>
        <v/>
      </c>
      <c r="P20" s="56" t="str">
        <f ca="1">IF(AND('R. Gestión '!$AC$289="Alta",'R. Gestión '!$AE$289="Menor"),CONCATENATE("R5C",'R. Gestión '!$R$289),"")</f>
        <v/>
      </c>
      <c r="Q20" s="57" t="str">
        <f>IF(AND('R. Gestión '!$AC$290="Alta",'R. Gestión '!$AE$290="Menor"),CONCATENATE("R5C",'R. Gestión '!$R$290),"")</f>
        <v/>
      </c>
      <c r="R20" s="57" t="str">
        <f>IF(AND('R. Gestión '!$AC$291="Alta",'R. Gestión '!$AE$291="Menor"),CONCATENATE("R5C",'R. Gestión '!$R$291),"")</f>
        <v/>
      </c>
      <c r="S20" s="57" t="str">
        <f>IF(AND('R. Gestión '!$AC$292="Alta",'R. Gestión '!$AE$292="Menor"),CONCATENATE("R5C",'R. Gestión '!$R$292),"")</f>
        <v/>
      </c>
      <c r="T20" s="57" t="str">
        <f>IF(AND('R. Gestión '!$AC$293="Alta",'R. Gestión '!$AE$293="Menor"),CONCATENATE("R5C",'R. Gestión '!$R$293),"")</f>
        <v/>
      </c>
      <c r="U20" s="58" t="str">
        <f>IF(AND('R. Gestión '!$AC$294="Alta",'R. Gestión '!$AE$294="Menor"),CONCATENATE("R5C",'R. Gestión '!$R$294),"")</f>
        <v/>
      </c>
      <c r="V20" s="41" t="str">
        <f ca="1">IF(AND('R. Gestión '!$AC$289="Alta",'R. Gestión '!$AE$289="Moderado"),CONCATENATE("R5C",'R. Gestión '!$R$289),"")</f>
        <v/>
      </c>
      <c r="W20" s="42" t="str">
        <f>IF(AND('R. Gestión '!$AC$290="Alta",'R. Gestión '!$AE$290="Moderado"),CONCATENATE("R5C",'R. Gestión '!$R$290),"")</f>
        <v/>
      </c>
      <c r="X20" s="42" t="str">
        <f>IF(AND('R. Gestión '!$AC$291="Alta",'R. Gestión '!$AE$291="Moderado"),CONCATENATE("R5C",'R. Gestión '!$R$291),"")</f>
        <v/>
      </c>
      <c r="Y20" s="42" t="str">
        <f>IF(AND('R. Gestión '!$AC$292="Alta",'R. Gestión '!$AE$292="Moderado"),CONCATENATE("R5C",'R. Gestión '!$R$292),"")</f>
        <v/>
      </c>
      <c r="Z20" s="42" t="str">
        <f>IF(AND('R. Gestión '!$AC$293="Alta",'R. Gestión '!$AE$293="Moderado"),CONCATENATE("R5C",'R. Gestión '!$R$293),"")</f>
        <v/>
      </c>
      <c r="AA20" s="43" t="str">
        <f>IF(AND('R. Gestión '!$AC$294="Alta",'R. Gestión '!$AE$294="Moderado"),CONCATENATE("R5C",'R. Gestión '!$R$294),"")</f>
        <v/>
      </c>
      <c r="AB20" s="41" t="str">
        <f ca="1">IF(AND('R. Gestión '!$AC$289="Alta",'R. Gestión '!$AE$289="Mayor"),CONCATENATE("R5C",'R. Gestión '!$R$289),"")</f>
        <v/>
      </c>
      <c r="AC20" s="42" t="str">
        <f>IF(AND('R. Gestión '!$AC$290="Alta",'R. Gestión '!$AE$290="Mayor"),CONCATENATE("R5C",'R. Gestión '!$R$290),"")</f>
        <v/>
      </c>
      <c r="AD20" s="42" t="str">
        <f>IF(AND('R. Gestión '!$AC$291="Alta",'R. Gestión '!$AE$291="Mayor"),CONCATENATE("R5C",'R. Gestión '!$R$291),"")</f>
        <v/>
      </c>
      <c r="AE20" s="42" t="str">
        <f>IF(AND('R. Gestión '!$AC$292="Alta",'R. Gestión '!$AE$292="Mayor"),CONCATENATE("R5C",'R. Gestión '!$R$292),"")</f>
        <v/>
      </c>
      <c r="AF20" s="42" t="str">
        <f>IF(AND('R. Gestión '!$AC$293="Alta",'R. Gestión '!$AE$293="Mayor"),CONCATENATE("R5C",'R. Gestión '!$R$293),"")</f>
        <v/>
      </c>
      <c r="AG20" s="43" t="str">
        <f>IF(AND('R. Gestión '!$AC$294="Alta",'R. Gestión '!$AE$294="Mayor"),CONCATENATE("R5C",'R. Gestión '!$R$294),"")</f>
        <v/>
      </c>
      <c r="AH20" s="44" t="str">
        <f ca="1">IF(AND('R. Gestión '!$AC$289="Alta",'R. Gestión '!$AE$289="Catastrófico"),CONCATENATE("R5C",'R. Gestión '!$R$289),"")</f>
        <v/>
      </c>
      <c r="AI20" s="45" t="str">
        <f>IF(AND('R. Gestión '!$AC$290="Alta",'R. Gestión '!$AE$290="Catastrófico"),CONCATENATE("R5C",'R. Gestión '!$R$290),"")</f>
        <v/>
      </c>
      <c r="AJ20" s="45" t="str">
        <f>IF(AND('R. Gestión '!$AC$291="Alta",'R. Gestión '!$AE$291="Catastrófico"),CONCATENATE("R5C",'R. Gestión '!$R$291),"")</f>
        <v/>
      </c>
      <c r="AK20" s="45" t="str">
        <f>IF(AND('R. Gestión '!$AC$292="Alta",'R. Gestión '!$AE$292="Catastrófico"),CONCATENATE("R5C",'R. Gestión '!$R$292),"")</f>
        <v/>
      </c>
      <c r="AL20" s="45" t="str">
        <f>IF(AND('R. Gestión '!$AC$293="Alta",'R. Gestión '!$AE$293="Catastrófico"),CONCATENATE("R5C",'R. Gestión '!$R$293),"")</f>
        <v/>
      </c>
      <c r="AM20" s="46" t="str">
        <f>IF(AND('R. Gestión '!$AC$294="Alta",'R. Gestión '!$AE$294="Catastrófico"),CONCATENATE("R5C",'R. Gestión '!$R$294),"")</f>
        <v/>
      </c>
      <c r="AN20" s="72"/>
      <c r="AO20" s="693"/>
      <c r="AP20" s="694"/>
      <c r="AQ20" s="694"/>
      <c r="AR20" s="694"/>
      <c r="AS20" s="694"/>
      <c r="AT20" s="695"/>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row>
    <row r="21" spans="1:76" ht="15" customHeight="1" x14ac:dyDescent="0.25">
      <c r="A21" s="72"/>
      <c r="B21" s="642"/>
      <c r="C21" s="642"/>
      <c r="D21" s="643"/>
      <c r="E21" s="683"/>
      <c r="F21" s="684"/>
      <c r="G21" s="684"/>
      <c r="H21" s="684"/>
      <c r="I21" s="684"/>
      <c r="J21" s="56" t="str">
        <f ca="1">IF(AND('R. Gestión '!$AC$295="Alta",'R. Gestión '!$AE$295="Leve"),CONCATENATE("R6C",'R. Gestión '!$R$295),"")</f>
        <v/>
      </c>
      <c r="K21" s="57" t="str">
        <f>IF(AND('R. Gestión '!$AC$296="Alta",'R. Gestión '!$AE$296="Leve"),CONCATENATE("R6C",'R. Gestión '!$R$296),"")</f>
        <v/>
      </c>
      <c r="L21" s="57" t="str">
        <f>IF(AND('R. Gestión '!$AC$297="Alta",'R. Gestión '!$AE$297="Leve"),CONCATENATE("R6C",'R. Gestión '!$R$297),"")</f>
        <v/>
      </c>
      <c r="M21" s="57" t="str">
        <f>IF(AND('R. Gestión '!$AC$298="Alta",'R. Gestión '!$AE$298="Leve"),CONCATENATE("R6C",'R. Gestión '!$R$298),"")</f>
        <v/>
      </c>
      <c r="N21" s="57" t="str">
        <f>IF(AND('R. Gestión '!$AC$299="Alta",'R. Gestión '!$AE$299="Leve"),CONCATENATE("R6C",'R. Gestión '!$R$299),"")</f>
        <v/>
      </c>
      <c r="O21" s="58" t="str">
        <f>IF(AND('R. Gestión '!$AC$300="Alta",'R. Gestión '!$AE$300="Leve"),CONCATENATE("R6C",'R. Gestión '!$R$300),"")</f>
        <v/>
      </c>
      <c r="P21" s="56" t="str">
        <f ca="1">IF(AND('R. Gestión '!$AC$295="Alta",'R. Gestión '!$AE$295="Menor"),CONCATENATE("R6C",'R. Gestión '!$R$295),"")</f>
        <v/>
      </c>
      <c r="Q21" s="57" t="str">
        <f>IF(AND('R. Gestión '!$AC$296="Alta",'R. Gestión '!$AE$296="Menor"),CONCATENATE("R6C",'R. Gestión '!$R$296),"")</f>
        <v/>
      </c>
      <c r="R21" s="57" t="str">
        <f>IF(AND('R. Gestión '!$AC$297="Alta",'R. Gestión '!$AE$297="Menor"),CONCATENATE("R6C",'R. Gestión '!$R$297),"")</f>
        <v/>
      </c>
      <c r="S21" s="57" t="str">
        <f>IF(AND('R. Gestión '!$AC$298="Alta",'R. Gestión '!$AE$298="Menor"),CONCATENATE("R6C",'R. Gestión '!$R$298),"")</f>
        <v/>
      </c>
      <c r="T21" s="57" t="str">
        <f>IF(AND('R. Gestión '!$AC$299="Alta",'R. Gestión '!$AE$299="Menor"),CONCATENATE("R6C",'R. Gestión '!$R$299),"")</f>
        <v/>
      </c>
      <c r="U21" s="58" t="str">
        <f>IF(AND('R. Gestión '!$AC$300="Alta",'R. Gestión '!$AE$300="Menor"),CONCATENATE("R6C",'R. Gestión '!$R$300),"")</f>
        <v/>
      </c>
      <c r="V21" s="41" t="str">
        <f ca="1">IF(AND('R. Gestión '!$AC$295="Alta",'R. Gestión '!$AE$295="Moderado"),CONCATENATE("R6C",'R. Gestión '!$R$295),"")</f>
        <v/>
      </c>
      <c r="W21" s="42" t="str">
        <f>IF(AND('R. Gestión '!$AC$296="Alta",'R. Gestión '!$AE$296="Moderado"),CONCATENATE("R6C",'R. Gestión '!$R$296),"")</f>
        <v/>
      </c>
      <c r="X21" s="42" t="str">
        <f>IF(AND('R. Gestión '!$AC$297="Alta",'R. Gestión '!$AE$297="Moderado"),CONCATENATE("R6C",'R. Gestión '!$R$297),"")</f>
        <v/>
      </c>
      <c r="Y21" s="42" t="str">
        <f>IF(AND('R. Gestión '!$AC$298="Alta",'R. Gestión '!$AE$298="Moderado"),CONCATENATE("R6C",'R. Gestión '!$R$298),"")</f>
        <v/>
      </c>
      <c r="Z21" s="42" t="str">
        <f>IF(AND('R. Gestión '!$AC$299="Alta",'R. Gestión '!$AE$299="Moderado"),CONCATENATE("R6C",'R. Gestión '!$R$299),"")</f>
        <v/>
      </c>
      <c r="AA21" s="43" t="str">
        <f>IF(AND('R. Gestión '!$AC$300="Alta",'R. Gestión '!$AE$300="Moderado"),CONCATENATE("R6C",'R. Gestión '!$R$300),"")</f>
        <v/>
      </c>
      <c r="AB21" s="41" t="str">
        <f ca="1">IF(AND('R. Gestión '!$AC$295="Alta",'R. Gestión '!$AE$295="Mayor"),CONCATENATE("R6C",'R. Gestión '!$R$295),"")</f>
        <v/>
      </c>
      <c r="AC21" s="42" t="str">
        <f>IF(AND('R. Gestión '!$AC$296="Alta",'R. Gestión '!$AE$296="Mayor"),CONCATENATE("R6C",'R. Gestión '!$R$296),"")</f>
        <v/>
      </c>
      <c r="AD21" s="42" t="str">
        <f>IF(AND('R. Gestión '!$AC$297="Alta",'R. Gestión '!$AE$297="Mayor"),CONCATENATE("R6C",'R. Gestión '!$R$297),"")</f>
        <v/>
      </c>
      <c r="AE21" s="42" t="str">
        <f>IF(AND('R. Gestión '!$AC$298="Alta",'R. Gestión '!$AE$298="Mayor"),CONCATENATE("R6C",'R. Gestión '!$R$298),"")</f>
        <v/>
      </c>
      <c r="AF21" s="42" t="str">
        <f>IF(AND('R. Gestión '!$AC$299="Alta",'R. Gestión '!$AE$299="Mayor"),CONCATENATE("R6C",'R. Gestión '!$R$299),"")</f>
        <v/>
      </c>
      <c r="AG21" s="43" t="str">
        <f>IF(AND('R. Gestión '!$AC$300="Alta",'R. Gestión '!$AE$300="Mayor"),CONCATENATE("R6C",'R. Gestión '!$R$300),"")</f>
        <v/>
      </c>
      <c r="AH21" s="44" t="str">
        <f ca="1">IF(AND('R. Gestión '!$AC$295="Alta",'R. Gestión '!$AE$295="Catastrófico"),CONCATENATE("R6C",'R. Gestión '!$R$295),"")</f>
        <v/>
      </c>
      <c r="AI21" s="45" t="str">
        <f>IF(AND('R. Gestión '!$AC$296="Alta",'R. Gestión '!$AE$296="Catastrófico"),CONCATENATE("R6C",'R. Gestión '!$R$296),"")</f>
        <v/>
      </c>
      <c r="AJ21" s="45" t="str">
        <f>IF(AND('R. Gestión '!$AC$297="Alta",'R. Gestión '!$AE$297="Catastrófico"),CONCATENATE("R6C",'R. Gestión '!$R$297),"")</f>
        <v/>
      </c>
      <c r="AK21" s="45" t="str">
        <f>IF(AND('R. Gestión '!$AC$298="Alta",'R. Gestión '!$AE$298="Catastrófico"),CONCATENATE("R6C",'R. Gestión '!$R$298),"")</f>
        <v/>
      </c>
      <c r="AL21" s="45" t="str">
        <f>IF(AND('R. Gestión '!$AC$299="Alta",'R. Gestión '!$AE$299="Catastrófico"),CONCATENATE("R6C",'R. Gestión '!$R$299),"")</f>
        <v/>
      </c>
      <c r="AM21" s="46" t="str">
        <f>IF(AND('R. Gestión '!$AC$300="Alta",'R. Gestión '!$AE$300="Catastrófico"),CONCATENATE("R6C",'R. Gestión '!$R$300),"")</f>
        <v/>
      </c>
      <c r="AN21" s="72"/>
      <c r="AO21" s="693"/>
      <c r="AP21" s="694"/>
      <c r="AQ21" s="694"/>
      <c r="AR21" s="694"/>
      <c r="AS21" s="694"/>
      <c r="AT21" s="695"/>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row>
    <row r="22" spans="1:76" ht="15" customHeight="1" x14ac:dyDescent="0.25">
      <c r="A22" s="72"/>
      <c r="B22" s="642"/>
      <c r="C22" s="642"/>
      <c r="D22" s="643"/>
      <c r="E22" s="683"/>
      <c r="F22" s="684"/>
      <c r="G22" s="684"/>
      <c r="H22" s="684"/>
      <c r="I22" s="684"/>
      <c r="J22" s="56" t="str">
        <f ca="1">IF(AND('R. Gestión '!$AC$325="Alta",'R. Gestión '!$AE$325="Leve"),CONCATENATE("R7C",'R. Gestión '!$R$325),"")</f>
        <v/>
      </c>
      <c r="K22" s="57" t="str">
        <f>IF(AND('R. Gestión '!$AC$326="Alta",'R. Gestión '!$AE$326="Leve"),CONCATENATE("R7C",'R. Gestión '!$R$326),"")</f>
        <v/>
      </c>
      <c r="L22" s="57" t="str">
        <f>IF(AND('R. Gestión '!$AC$327="Alta",'R. Gestión '!$AE$327="Leve"),CONCATENATE("R7C",'R. Gestión '!$R$327),"")</f>
        <v/>
      </c>
      <c r="M22" s="57" t="str">
        <f>IF(AND('R. Gestión '!$AC$328="Alta",'R. Gestión '!$AE$328="Leve"),CONCATENATE("R7C",'R. Gestión '!$R$328),"")</f>
        <v/>
      </c>
      <c r="N22" s="57" t="str">
        <f>IF(AND('R. Gestión '!$AC$329="Alta",'R. Gestión '!$AE$329="Leve"),CONCATENATE("R7C",'R. Gestión '!$R$329),"")</f>
        <v/>
      </c>
      <c r="O22" s="58" t="str">
        <f>IF(AND('R. Gestión '!$AC$330="Alta",'R. Gestión '!$AE$330="Leve"),CONCATENATE("R7C",'R. Gestión '!$R$330),"")</f>
        <v/>
      </c>
      <c r="P22" s="56" t="str">
        <f ca="1">IF(AND('R. Gestión '!$AC$325="Alta",'R. Gestión '!$AE$325="Menor"),CONCATENATE("R7C",'R. Gestión '!$R$325),"")</f>
        <v/>
      </c>
      <c r="Q22" s="57" t="str">
        <f>IF(AND('R. Gestión '!$AC$326="Alta",'R. Gestión '!$AE$326="Menor"),CONCATENATE("R7C",'R. Gestión '!$R$326),"")</f>
        <v/>
      </c>
      <c r="R22" s="57" t="str">
        <f>IF(AND('R. Gestión '!$AC$327="Alta",'R. Gestión '!$AE$327="Menor"),CONCATENATE("R7C",'R. Gestión '!$R$327),"")</f>
        <v/>
      </c>
      <c r="S22" s="57" t="str">
        <f>IF(AND('R. Gestión '!$AC$328="Alta",'R. Gestión '!$AE$328="Menor"),CONCATENATE("R7C",'R. Gestión '!$R$328),"")</f>
        <v/>
      </c>
      <c r="T22" s="57" t="str">
        <f>IF(AND('R. Gestión '!$AC$329="Alta",'R. Gestión '!$AE$329="Menor"),CONCATENATE("R7C",'R. Gestión '!$R$329),"")</f>
        <v/>
      </c>
      <c r="U22" s="58" t="str">
        <f>IF(AND('R. Gestión '!$AC$330="Alta",'R. Gestión '!$AE$330="Menor"),CONCATENATE("R7C",'R. Gestión '!$R$330),"")</f>
        <v/>
      </c>
      <c r="V22" s="41" t="str">
        <f ca="1">IF(AND('R. Gestión '!$AC$325="Alta",'R. Gestión '!$AE$325="Moderado"),CONCATENATE("R7C",'R. Gestión '!$R$325),"")</f>
        <v/>
      </c>
      <c r="W22" s="42" t="str">
        <f>IF(AND('R. Gestión '!$AC$326="Alta",'R. Gestión '!$AE$326="Moderado"),CONCATENATE("R7C",'R. Gestión '!$R$326),"")</f>
        <v/>
      </c>
      <c r="X22" s="42" t="str">
        <f>IF(AND('R. Gestión '!$AC$327="Alta",'R. Gestión '!$AE$327="Moderado"),CONCATENATE("R7C",'R. Gestión '!$R$327),"")</f>
        <v/>
      </c>
      <c r="Y22" s="42" t="str">
        <f>IF(AND('R. Gestión '!$AC$328="Alta",'R. Gestión '!$AE$328="Moderado"),CONCATENATE("R7C",'R. Gestión '!$R$328),"")</f>
        <v/>
      </c>
      <c r="Z22" s="42" t="str">
        <f>IF(AND('R. Gestión '!$AC$329="Alta",'R. Gestión '!$AE$329="Moderado"),CONCATENATE("R7C",'R. Gestión '!$R$329),"")</f>
        <v/>
      </c>
      <c r="AA22" s="43" t="str">
        <f>IF(AND('R. Gestión '!$AC$330="Alta",'R. Gestión '!$AE$330="Moderado"),CONCATENATE("R7C",'R. Gestión '!$R$330),"")</f>
        <v/>
      </c>
      <c r="AB22" s="41" t="str">
        <f ca="1">IF(AND('R. Gestión '!$AC$325="Alta",'R. Gestión '!$AE$325="Mayor"),CONCATENATE("R7C",'R. Gestión '!$R$325),"")</f>
        <v/>
      </c>
      <c r="AC22" s="42" t="str">
        <f>IF(AND('R. Gestión '!$AC$326="Alta",'R. Gestión '!$AE$326="Mayor"),CONCATENATE("R7C",'R. Gestión '!$R$326),"")</f>
        <v/>
      </c>
      <c r="AD22" s="42" t="str">
        <f>IF(AND('R. Gestión '!$AC$327="Alta",'R. Gestión '!$AE$327="Mayor"),CONCATENATE("R7C",'R. Gestión '!$R$327),"")</f>
        <v/>
      </c>
      <c r="AE22" s="42" t="str">
        <f>IF(AND('R. Gestión '!$AC$328="Alta",'R. Gestión '!$AE$328="Mayor"),CONCATENATE("R7C",'R. Gestión '!$R$328),"")</f>
        <v/>
      </c>
      <c r="AF22" s="42" t="str">
        <f>IF(AND('R. Gestión '!$AC$329="Alta",'R. Gestión '!$AE$329="Mayor"),CONCATENATE("R7C",'R. Gestión '!$R$329),"")</f>
        <v/>
      </c>
      <c r="AG22" s="43" t="str">
        <f>IF(AND('R. Gestión '!$AC$330="Alta",'R. Gestión '!$AE$330="Mayor"),CONCATENATE("R7C",'R. Gestión '!$R$330),"")</f>
        <v/>
      </c>
      <c r="AH22" s="44" t="str">
        <f ca="1">IF(AND('R. Gestión '!$AC$325="Alta",'R. Gestión '!$AE$325="Catastrófico"),CONCATENATE("R7C",'R. Gestión '!$R$325),"")</f>
        <v/>
      </c>
      <c r="AI22" s="45" t="str">
        <f>IF(AND('R. Gestión '!$AC$326="Alta",'R. Gestión '!$AE$326="Catastrófico"),CONCATENATE("R7C",'R. Gestión '!$R$326),"")</f>
        <v/>
      </c>
      <c r="AJ22" s="45" t="str">
        <f>IF(AND('R. Gestión '!$AC$327="Alta",'R. Gestión '!$AE$327="Catastrófico"),CONCATENATE("R7C",'R. Gestión '!$R$327),"")</f>
        <v/>
      </c>
      <c r="AK22" s="45" t="str">
        <f>IF(AND('R. Gestión '!$AC$328="Alta",'R. Gestión '!$AE$328="Catastrófico"),CONCATENATE("R7C",'R. Gestión '!$R$328),"")</f>
        <v/>
      </c>
      <c r="AL22" s="45" t="str">
        <f>IF(AND('R. Gestión '!$AC$329="Alta",'R. Gestión '!$AE$329="Catastrófico"),CONCATENATE("R7C",'R. Gestión '!$R$329),"")</f>
        <v/>
      </c>
      <c r="AM22" s="46" t="str">
        <f>IF(AND('R. Gestión '!$AC$330="Alta",'R. Gestión '!$AE$330="Catastrófico"),CONCATENATE("R7C",'R. Gestión '!$R$330),"")</f>
        <v/>
      </c>
      <c r="AN22" s="72"/>
      <c r="AO22" s="693"/>
      <c r="AP22" s="694"/>
      <c r="AQ22" s="694"/>
      <c r="AR22" s="694"/>
      <c r="AS22" s="694"/>
      <c r="AT22" s="695"/>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row>
    <row r="23" spans="1:76" ht="15" customHeight="1" x14ac:dyDescent="0.25">
      <c r="A23" s="72"/>
      <c r="B23" s="642"/>
      <c r="C23" s="642"/>
      <c r="D23" s="643"/>
      <c r="E23" s="683"/>
      <c r="F23" s="684"/>
      <c r="G23" s="684"/>
      <c r="H23" s="684"/>
      <c r="I23" s="684"/>
      <c r="J23" s="56" t="str">
        <f ca="1">IF(AND('R. Gestión '!$AC$331="Alta",'R. Gestión '!$AE$331="Leve"),CONCATENATE("R8C",'R. Gestión '!$R$331),"")</f>
        <v/>
      </c>
      <c r="K23" s="57" t="str">
        <f>IF(AND('R. Gestión '!$AC$332="Alta",'R. Gestión '!$AE$332="Leve"),CONCATENATE("R8C",'R. Gestión '!$R$332),"")</f>
        <v/>
      </c>
      <c r="L23" s="57" t="str">
        <f>IF(AND('R. Gestión '!$AC$333="Alta",'R. Gestión '!$AE$333="Leve"),CONCATENATE("R8C",'R. Gestión '!$R$333),"")</f>
        <v/>
      </c>
      <c r="M23" s="57" t="str">
        <f>IF(AND('R. Gestión '!$AC$334="Alta",'R. Gestión '!$AE$334="Leve"),CONCATENATE("R8C",'R. Gestión '!$R$334),"")</f>
        <v/>
      </c>
      <c r="N23" s="57" t="str">
        <f>IF(AND('R. Gestión '!$AC$335="Alta",'R. Gestión '!$AE$335="Leve"),CONCATENATE("R8C",'R. Gestión '!$R$335),"")</f>
        <v/>
      </c>
      <c r="O23" s="58" t="str">
        <f>IF(AND('R. Gestión '!$AC$336="Alta",'R. Gestión '!$AE$336="Leve"),CONCATENATE("R8C",'R. Gestión '!$R$336),"")</f>
        <v/>
      </c>
      <c r="P23" s="56" t="str">
        <f ca="1">IF(AND('R. Gestión '!$AC$331="Alta",'R. Gestión '!$AE$331="Menor"),CONCATENATE("R8C",'R. Gestión '!$R$331),"")</f>
        <v/>
      </c>
      <c r="Q23" s="57" t="str">
        <f>IF(AND('R. Gestión '!$AC$332="Alta",'R. Gestión '!$AE$332="Menor"),CONCATENATE("R8C",'R. Gestión '!$R$332),"")</f>
        <v/>
      </c>
      <c r="R23" s="57" t="str">
        <f>IF(AND('R. Gestión '!$AC$333="Alta",'R. Gestión '!$AE$333="Menor"),CONCATENATE("R8C",'R. Gestión '!$R$333),"")</f>
        <v/>
      </c>
      <c r="S23" s="57" t="str">
        <f>IF(AND('R. Gestión '!$AC$334="Alta",'R. Gestión '!$AE$334="Menor"),CONCATENATE("R8C",'R. Gestión '!$R$334),"")</f>
        <v/>
      </c>
      <c r="T23" s="57" t="str">
        <f>IF(AND('R. Gestión '!$AC$335="Alta",'R. Gestión '!$AE$335="Menor"),CONCATENATE("R8C",'R. Gestión '!$R$335),"")</f>
        <v/>
      </c>
      <c r="U23" s="58" t="str">
        <f>IF(AND('R. Gestión '!$AC$336="Alta",'R. Gestión '!$AE$336="Menor"),CONCATENATE("R8C",'R. Gestión '!$R$336),"")</f>
        <v/>
      </c>
      <c r="V23" s="41" t="str">
        <f ca="1">IF(AND('R. Gestión '!$AC$331="Alta",'R. Gestión '!$AE$331="Moderado"),CONCATENATE("R8C",'R. Gestión '!$R$331),"")</f>
        <v/>
      </c>
      <c r="W23" s="42" t="str">
        <f>IF(AND('R. Gestión '!$AC$332="Alta",'R. Gestión '!$AE$332="Moderado"),CONCATENATE("R8C",'R. Gestión '!$R$332),"")</f>
        <v/>
      </c>
      <c r="X23" s="42" t="str">
        <f>IF(AND('R. Gestión '!$AC$333="Alta",'R. Gestión '!$AE$333="Moderado"),CONCATENATE("R8C",'R. Gestión '!$R$333),"")</f>
        <v/>
      </c>
      <c r="Y23" s="42" t="str">
        <f>IF(AND('R. Gestión '!$AC$334="Alta",'R. Gestión '!$AE$334="Moderado"),CONCATENATE("R8C",'R. Gestión '!$R$334),"")</f>
        <v/>
      </c>
      <c r="Z23" s="42" t="str">
        <f>IF(AND('R. Gestión '!$AC$335="Alta",'R. Gestión '!$AE$335="Moderado"),CONCATENATE("R8C",'R. Gestión '!$R$335),"")</f>
        <v/>
      </c>
      <c r="AA23" s="43" t="str">
        <f>IF(AND('R. Gestión '!$AC$336="Alta",'R. Gestión '!$AE$336="Moderado"),CONCATENATE("R8C",'R. Gestión '!$R$336),"")</f>
        <v/>
      </c>
      <c r="AB23" s="41" t="str">
        <f ca="1">IF(AND('R. Gestión '!$AC$331="Alta",'R. Gestión '!$AE$331="Mayor"),CONCATENATE("R8C",'R. Gestión '!$R$331),"")</f>
        <v/>
      </c>
      <c r="AC23" s="42" t="str">
        <f>IF(AND('R. Gestión '!$AC$332="Alta",'R. Gestión '!$AE$332="Mayor"),CONCATENATE("R8C",'R. Gestión '!$R$332),"")</f>
        <v/>
      </c>
      <c r="AD23" s="42" t="str">
        <f>IF(AND('R. Gestión '!$AC$333="Alta",'R. Gestión '!$AE$333="Mayor"),CONCATENATE("R8C",'R. Gestión '!$R$333),"")</f>
        <v/>
      </c>
      <c r="AE23" s="42" t="str">
        <f>IF(AND('R. Gestión '!$AC$334="Alta",'R. Gestión '!$AE$334="Mayor"),CONCATENATE("R8C",'R. Gestión '!$R$334),"")</f>
        <v/>
      </c>
      <c r="AF23" s="42" t="str">
        <f>IF(AND('R. Gestión '!$AC$335="Alta",'R. Gestión '!$AE$335="Mayor"),CONCATENATE("R8C",'R. Gestión '!$R$335),"")</f>
        <v/>
      </c>
      <c r="AG23" s="43" t="str">
        <f>IF(AND('R. Gestión '!$AC$336="Alta",'R. Gestión '!$AE$336="Mayor"),CONCATENATE("R8C",'R. Gestión '!$R$336),"")</f>
        <v/>
      </c>
      <c r="AH23" s="44" t="str">
        <f ca="1">IF(AND('R. Gestión '!$AC$331="Alta",'R. Gestión '!$AE$331="Catastrófico"),CONCATENATE("R8C",'R. Gestión '!$R$331),"")</f>
        <v/>
      </c>
      <c r="AI23" s="45" t="str">
        <f>IF(AND('R. Gestión '!$AC$332="Alta",'R. Gestión '!$AE$332="Catastrófico"),CONCATENATE("R8C",'R. Gestión '!$R$332),"")</f>
        <v/>
      </c>
      <c r="AJ23" s="45" t="str">
        <f>IF(AND('R. Gestión '!$AC$333="Alta",'R. Gestión '!$AE$333="Catastrófico"),CONCATENATE("R8C",'R. Gestión '!$R$333),"")</f>
        <v/>
      </c>
      <c r="AK23" s="45" t="str">
        <f>IF(AND('R. Gestión '!$AC$334="Alta",'R. Gestión '!$AE$334="Catastrófico"),CONCATENATE("R8C",'R. Gestión '!$R$334),"")</f>
        <v/>
      </c>
      <c r="AL23" s="45" t="str">
        <f>IF(AND('R. Gestión '!$AC$335="Alta",'R. Gestión '!$AE$335="Catastrófico"),CONCATENATE("R8C",'R. Gestión '!$R$335),"")</f>
        <v/>
      </c>
      <c r="AM23" s="46" t="str">
        <f>IF(AND('R. Gestión '!$AC$336="Alta",'R. Gestión '!$AE$336="Catastrófico"),CONCATENATE("R8C",'R. Gestión '!$R$336),"")</f>
        <v/>
      </c>
      <c r="AN23" s="72"/>
      <c r="AO23" s="693"/>
      <c r="AP23" s="694"/>
      <c r="AQ23" s="694"/>
      <c r="AR23" s="694"/>
      <c r="AS23" s="694"/>
      <c r="AT23" s="695"/>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row>
    <row r="24" spans="1:76" ht="15" customHeight="1" x14ac:dyDescent="0.25">
      <c r="A24" s="72"/>
      <c r="B24" s="642"/>
      <c r="C24" s="642"/>
      <c r="D24" s="643"/>
      <c r="E24" s="683"/>
      <c r="F24" s="684"/>
      <c r="G24" s="684"/>
      <c r="H24" s="684"/>
      <c r="I24" s="684"/>
      <c r="J24" s="56" t="e">
        <f>IF(AND('R. Gestión '!#REF!="Alta",'R. Gestión '!#REF!="Leve"),CONCATENATE("R9C",'R. Gestión '!#REF!),"")</f>
        <v>#REF!</v>
      </c>
      <c r="K24" s="57" t="e">
        <f>IF(AND('R. Gestión '!#REF!="Alta",'R. Gestión '!#REF!="Leve"),CONCATENATE("R9C",'R. Gestión '!#REF!),"")</f>
        <v>#REF!</v>
      </c>
      <c r="L24" s="57" t="e">
        <f>IF(AND('R. Gestión '!#REF!="Alta",'R. Gestión '!#REF!="Leve"),CONCATENATE("R9C",'R. Gestión '!#REF!),"")</f>
        <v>#REF!</v>
      </c>
      <c r="M24" s="57" t="e">
        <f>IF(AND('R. Gestión '!#REF!="Alta",'R. Gestión '!#REF!="Leve"),CONCATENATE("R9C",'R. Gestión '!#REF!),"")</f>
        <v>#REF!</v>
      </c>
      <c r="N24" s="57" t="e">
        <f>IF(AND('R. Gestión '!#REF!="Alta",'R. Gestión '!#REF!="Leve"),CONCATENATE("R9C",'R. Gestión '!#REF!),"")</f>
        <v>#REF!</v>
      </c>
      <c r="O24" s="58" t="e">
        <f>IF(AND('R. Gestión '!#REF!="Alta",'R. Gestión '!#REF!="Leve"),CONCATENATE("R9C",'R. Gestión '!#REF!),"")</f>
        <v>#REF!</v>
      </c>
      <c r="P24" s="56" t="e">
        <f>IF(AND('R. Gestión '!#REF!="Alta",'R. Gestión '!#REF!="Menor"),CONCATENATE("R9C",'R. Gestión '!#REF!),"")</f>
        <v>#REF!</v>
      </c>
      <c r="Q24" s="57" t="e">
        <f>IF(AND('R. Gestión '!#REF!="Alta",'R. Gestión '!#REF!="Menor"),CONCATENATE("R9C",'R. Gestión '!#REF!),"")</f>
        <v>#REF!</v>
      </c>
      <c r="R24" s="57" t="e">
        <f>IF(AND('R. Gestión '!#REF!="Alta",'R. Gestión '!#REF!="Menor"),CONCATENATE("R9C",'R. Gestión '!#REF!),"")</f>
        <v>#REF!</v>
      </c>
      <c r="S24" s="57" t="e">
        <f>IF(AND('R. Gestión '!#REF!="Alta",'R. Gestión '!#REF!="Menor"),CONCATENATE("R9C",'R. Gestión '!#REF!),"")</f>
        <v>#REF!</v>
      </c>
      <c r="T24" s="57" t="e">
        <f>IF(AND('R. Gestión '!#REF!="Alta",'R. Gestión '!#REF!="Menor"),CONCATENATE("R9C",'R. Gestión '!#REF!),"")</f>
        <v>#REF!</v>
      </c>
      <c r="U24" s="58" t="e">
        <f>IF(AND('R. Gestión '!#REF!="Alta",'R. Gestión '!#REF!="Menor"),CONCATENATE("R9C",'R. Gestión '!#REF!),"")</f>
        <v>#REF!</v>
      </c>
      <c r="V24" s="41" t="e">
        <f>IF(AND('R. Gestión '!#REF!="Alta",'R. Gestión '!#REF!="Moderado"),CONCATENATE("R9C",'R. Gestión '!#REF!),"")</f>
        <v>#REF!</v>
      </c>
      <c r="W24" s="42" t="e">
        <f>IF(AND('R. Gestión '!#REF!="Alta",'R. Gestión '!#REF!="Moderado"),CONCATENATE("R9C",'R. Gestión '!#REF!),"")</f>
        <v>#REF!</v>
      </c>
      <c r="X24" s="42" t="e">
        <f>IF(AND('R. Gestión '!#REF!="Alta",'R. Gestión '!#REF!="Moderado"),CONCATENATE("R9C",'R. Gestión '!#REF!),"")</f>
        <v>#REF!</v>
      </c>
      <c r="Y24" s="42" t="e">
        <f>IF(AND('R. Gestión '!#REF!="Alta",'R. Gestión '!#REF!="Moderado"),CONCATENATE("R9C",'R. Gestión '!#REF!),"")</f>
        <v>#REF!</v>
      </c>
      <c r="Z24" s="42" t="e">
        <f>IF(AND('R. Gestión '!#REF!="Alta",'R. Gestión '!#REF!="Moderado"),CONCATENATE("R9C",'R. Gestión '!#REF!),"")</f>
        <v>#REF!</v>
      </c>
      <c r="AA24" s="43" t="e">
        <f>IF(AND('R. Gestión '!#REF!="Alta",'R. Gestión '!#REF!="Moderado"),CONCATENATE("R9C",'R. Gestión '!#REF!),"")</f>
        <v>#REF!</v>
      </c>
      <c r="AB24" s="41" t="e">
        <f>IF(AND('R. Gestión '!#REF!="Alta",'R. Gestión '!#REF!="Mayor"),CONCATENATE("R9C",'R. Gestión '!#REF!),"")</f>
        <v>#REF!</v>
      </c>
      <c r="AC24" s="42" t="e">
        <f>IF(AND('R. Gestión '!#REF!="Alta",'R. Gestión '!#REF!="Mayor"),CONCATENATE("R9C",'R. Gestión '!#REF!),"")</f>
        <v>#REF!</v>
      </c>
      <c r="AD24" s="42" t="e">
        <f>IF(AND('R. Gestión '!#REF!="Alta",'R. Gestión '!#REF!="Mayor"),CONCATENATE("R9C",'R. Gestión '!#REF!),"")</f>
        <v>#REF!</v>
      </c>
      <c r="AE24" s="42" t="e">
        <f>IF(AND('R. Gestión '!#REF!="Alta",'R. Gestión '!#REF!="Mayor"),CONCATENATE("R9C",'R. Gestión '!#REF!),"")</f>
        <v>#REF!</v>
      </c>
      <c r="AF24" s="42" t="e">
        <f>IF(AND('R. Gestión '!#REF!="Alta",'R. Gestión '!#REF!="Mayor"),CONCATENATE("R9C",'R. Gestión '!#REF!),"")</f>
        <v>#REF!</v>
      </c>
      <c r="AG24" s="43" t="e">
        <f>IF(AND('R. Gestión '!#REF!="Alta",'R. Gestión '!#REF!="Mayor"),CONCATENATE("R9C",'R. Gestión '!#REF!),"")</f>
        <v>#REF!</v>
      </c>
      <c r="AH24" s="44" t="e">
        <f>IF(AND('R. Gestión '!#REF!="Alta",'R. Gestión '!#REF!="Catastrófico"),CONCATENATE("R9C",'R. Gestión '!#REF!),"")</f>
        <v>#REF!</v>
      </c>
      <c r="AI24" s="45" t="e">
        <f>IF(AND('R. Gestión '!#REF!="Alta",'R. Gestión '!#REF!="Catastrófico"),CONCATENATE("R9C",'R. Gestión '!#REF!),"")</f>
        <v>#REF!</v>
      </c>
      <c r="AJ24" s="45" t="e">
        <f>IF(AND('R. Gestión '!#REF!="Alta",'R. Gestión '!#REF!="Catastrófico"),CONCATENATE("R9C",'R. Gestión '!#REF!),"")</f>
        <v>#REF!</v>
      </c>
      <c r="AK24" s="45" t="e">
        <f>IF(AND('R. Gestión '!#REF!="Alta",'R. Gestión '!#REF!="Catastrófico"),CONCATENATE("R9C",'R. Gestión '!#REF!),"")</f>
        <v>#REF!</v>
      </c>
      <c r="AL24" s="45" t="e">
        <f>IF(AND('R. Gestión '!#REF!="Alta",'R. Gestión '!#REF!="Catastrófico"),CONCATENATE("R9C",'R. Gestión '!#REF!),"")</f>
        <v>#REF!</v>
      </c>
      <c r="AM24" s="46" t="e">
        <f>IF(AND('R. Gestión '!#REF!="Alta",'R. Gestión '!#REF!="Catastrófico"),CONCATENATE("R9C",'R. Gestión '!#REF!),"")</f>
        <v>#REF!</v>
      </c>
      <c r="AN24" s="72"/>
      <c r="AO24" s="693"/>
      <c r="AP24" s="694"/>
      <c r="AQ24" s="694"/>
      <c r="AR24" s="694"/>
      <c r="AS24" s="694"/>
      <c r="AT24" s="695"/>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row>
    <row r="25" spans="1:76" ht="15.75" customHeight="1" thickBot="1" x14ac:dyDescent="0.3">
      <c r="A25" s="72"/>
      <c r="B25" s="642"/>
      <c r="C25" s="642"/>
      <c r="D25" s="643"/>
      <c r="E25" s="686"/>
      <c r="F25" s="687"/>
      <c r="G25" s="687"/>
      <c r="H25" s="687"/>
      <c r="I25" s="687"/>
      <c r="J25" s="59" t="e">
        <f>IF(AND('R. Gestión '!#REF!="Alta",'R. Gestión '!#REF!="Leve"),CONCATENATE("R10C",'R. Gestión '!#REF!),"")</f>
        <v>#REF!</v>
      </c>
      <c r="K25" s="60" t="e">
        <f>IF(AND('R. Gestión '!#REF!="Alta",'R. Gestión '!#REF!="Leve"),CONCATENATE("R10C",'R. Gestión '!#REF!),"")</f>
        <v>#REF!</v>
      </c>
      <c r="L25" s="60" t="e">
        <f>IF(AND('R. Gestión '!#REF!="Alta",'R. Gestión '!#REF!="Leve"),CONCATENATE("R10C",'R. Gestión '!#REF!),"")</f>
        <v>#REF!</v>
      </c>
      <c r="M25" s="60" t="e">
        <f>IF(AND('R. Gestión '!#REF!="Alta",'R. Gestión '!#REF!="Leve"),CONCATENATE("R10C",'R. Gestión '!#REF!),"")</f>
        <v>#REF!</v>
      </c>
      <c r="N25" s="60" t="e">
        <f>IF(AND('R. Gestión '!#REF!="Alta",'R. Gestión '!#REF!="Leve"),CONCATENATE("R10C",'R. Gestión '!#REF!),"")</f>
        <v>#REF!</v>
      </c>
      <c r="O25" s="61" t="e">
        <f>IF(AND('R. Gestión '!#REF!="Alta",'R. Gestión '!#REF!="Leve"),CONCATENATE("R10C",'R. Gestión '!#REF!),"")</f>
        <v>#REF!</v>
      </c>
      <c r="P25" s="59" t="e">
        <f>IF(AND('R. Gestión '!#REF!="Alta",'R. Gestión '!#REF!="Menor"),CONCATENATE("R10C",'R. Gestión '!#REF!),"")</f>
        <v>#REF!</v>
      </c>
      <c r="Q25" s="60" t="e">
        <f>IF(AND('R. Gestión '!#REF!="Alta",'R. Gestión '!#REF!="Menor"),CONCATENATE("R10C",'R. Gestión '!#REF!),"")</f>
        <v>#REF!</v>
      </c>
      <c r="R25" s="60" t="e">
        <f>IF(AND('R. Gestión '!#REF!="Alta",'R. Gestión '!#REF!="Menor"),CONCATENATE("R10C",'R. Gestión '!#REF!),"")</f>
        <v>#REF!</v>
      </c>
      <c r="S25" s="60" t="e">
        <f>IF(AND('R. Gestión '!#REF!="Alta",'R. Gestión '!#REF!="Menor"),CONCATENATE("R10C",'R. Gestión '!#REF!),"")</f>
        <v>#REF!</v>
      </c>
      <c r="T25" s="60" t="e">
        <f>IF(AND('R. Gestión '!#REF!="Alta",'R. Gestión '!#REF!="Menor"),CONCATENATE("R10C",'R. Gestión '!#REF!),"")</f>
        <v>#REF!</v>
      </c>
      <c r="U25" s="61" t="e">
        <f>IF(AND('R. Gestión '!#REF!="Alta",'R. Gestión '!#REF!="Menor"),CONCATENATE("R10C",'R. Gestión '!#REF!),"")</f>
        <v>#REF!</v>
      </c>
      <c r="V25" s="47" t="e">
        <f>IF(AND('R. Gestión '!#REF!="Alta",'R. Gestión '!#REF!="Moderado"),CONCATENATE("R10C",'R. Gestión '!#REF!),"")</f>
        <v>#REF!</v>
      </c>
      <c r="W25" s="48" t="e">
        <f>IF(AND('R. Gestión '!#REF!="Alta",'R. Gestión '!#REF!="Moderado"),CONCATENATE("R10C",'R. Gestión '!#REF!),"")</f>
        <v>#REF!</v>
      </c>
      <c r="X25" s="48" t="e">
        <f>IF(AND('R. Gestión '!#REF!="Alta",'R. Gestión '!#REF!="Moderado"),CONCATENATE("R10C",'R. Gestión '!#REF!),"")</f>
        <v>#REF!</v>
      </c>
      <c r="Y25" s="48" t="e">
        <f>IF(AND('R. Gestión '!#REF!="Alta",'R. Gestión '!#REF!="Moderado"),CONCATENATE("R10C",'R. Gestión '!#REF!),"")</f>
        <v>#REF!</v>
      </c>
      <c r="Z25" s="48" t="e">
        <f>IF(AND('R. Gestión '!#REF!="Alta",'R. Gestión '!#REF!="Moderado"),CONCATENATE("R10C",'R. Gestión '!#REF!),"")</f>
        <v>#REF!</v>
      </c>
      <c r="AA25" s="49" t="e">
        <f>IF(AND('R. Gestión '!#REF!="Alta",'R. Gestión '!#REF!="Moderado"),CONCATENATE("R10C",'R. Gestión '!#REF!),"")</f>
        <v>#REF!</v>
      </c>
      <c r="AB25" s="47" t="e">
        <f>IF(AND('R. Gestión '!#REF!="Alta",'R. Gestión '!#REF!="Mayor"),CONCATENATE("R10C",'R. Gestión '!#REF!),"")</f>
        <v>#REF!</v>
      </c>
      <c r="AC25" s="48" t="e">
        <f>IF(AND('R. Gestión '!#REF!="Alta",'R. Gestión '!#REF!="Mayor"),CONCATENATE("R10C",'R. Gestión '!#REF!),"")</f>
        <v>#REF!</v>
      </c>
      <c r="AD25" s="48" t="e">
        <f>IF(AND('R. Gestión '!#REF!="Alta",'R. Gestión '!#REF!="Mayor"),CONCATENATE("R10C",'R. Gestión '!#REF!),"")</f>
        <v>#REF!</v>
      </c>
      <c r="AE25" s="48" t="e">
        <f>IF(AND('R. Gestión '!#REF!="Alta",'R. Gestión '!#REF!="Mayor"),CONCATENATE("R10C",'R. Gestión '!#REF!),"")</f>
        <v>#REF!</v>
      </c>
      <c r="AF25" s="48" t="e">
        <f>IF(AND('R. Gestión '!#REF!="Alta",'R. Gestión '!#REF!="Mayor"),CONCATENATE("R10C",'R. Gestión '!#REF!),"")</f>
        <v>#REF!</v>
      </c>
      <c r="AG25" s="49" t="e">
        <f>IF(AND('R. Gestión '!#REF!="Alta",'R. Gestión '!#REF!="Mayor"),CONCATENATE("R10C",'R. Gestión '!#REF!),"")</f>
        <v>#REF!</v>
      </c>
      <c r="AH25" s="50" t="e">
        <f>IF(AND('R. Gestión '!#REF!="Alta",'R. Gestión '!#REF!="Catastrófico"),CONCATENATE("R10C",'R. Gestión '!#REF!),"")</f>
        <v>#REF!</v>
      </c>
      <c r="AI25" s="51" t="e">
        <f>IF(AND('R. Gestión '!#REF!="Alta",'R. Gestión '!#REF!="Catastrófico"),CONCATENATE("R10C",'R. Gestión '!#REF!),"")</f>
        <v>#REF!</v>
      </c>
      <c r="AJ25" s="51" t="e">
        <f>IF(AND('R. Gestión '!#REF!="Alta",'R. Gestión '!#REF!="Catastrófico"),CONCATENATE("R10C",'R. Gestión '!#REF!),"")</f>
        <v>#REF!</v>
      </c>
      <c r="AK25" s="51" t="e">
        <f>IF(AND('R. Gestión '!#REF!="Alta",'R. Gestión '!#REF!="Catastrófico"),CONCATENATE("R10C",'R. Gestión '!#REF!),"")</f>
        <v>#REF!</v>
      </c>
      <c r="AL25" s="51" t="e">
        <f>IF(AND('R. Gestión '!#REF!="Alta",'R. Gestión '!#REF!="Catastrófico"),CONCATENATE("R10C",'R. Gestión '!#REF!),"")</f>
        <v>#REF!</v>
      </c>
      <c r="AM25" s="52" t="e">
        <f>IF(AND('R. Gestión '!#REF!="Alta",'R. Gestión '!#REF!="Catastrófico"),CONCATENATE("R10C",'R. Gestión '!#REF!),"")</f>
        <v>#REF!</v>
      </c>
      <c r="AN25" s="72"/>
      <c r="AO25" s="696"/>
      <c r="AP25" s="697"/>
      <c r="AQ25" s="697"/>
      <c r="AR25" s="697"/>
      <c r="AS25" s="697"/>
      <c r="AT25" s="698"/>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row>
    <row r="26" spans="1:76" ht="15" customHeight="1" x14ac:dyDescent="0.25">
      <c r="A26" s="72"/>
      <c r="B26" s="642"/>
      <c r="C26" s="642"/>
      <c r="D26" s="643"/>
      <c r="E26" s="680" t="s">
        <v>101</v>
      </c>
      <c r="F26" s="681"/>
      <c r="G26" s="681"/>
      <c r="H26" s="681"/>
      <c r="I26" s="682"/>
      <c r="J26" s="53" t="e">
        <f>IF(AND('R. Gestión '!#REF!="Media",'R. Gestión '!#REF!="Leve"),CONCATENATE("R1C",'R. Gestión '!#REF!),"")</f>
        <v>#REF!</v>
      </c>
      <c r="K26" s="54" t="e">
        <f>IF(AND('R. Gestión '!#REF!="Media",'R. Gestión '!#REF!="Leve"),CONCATENATE("R1C",'R. Gestión '!#REF!),"")</f>
        <v>#REF!</v>
      </c>
      <c r="L26" s="54" t="e">
        <f>IF(AND('R. Gestión '!#REF!="Media",'R. Gestión '!#REF!="Leve"),CONCATENATE("R1C",'R. Gestión '!#REF!),"")</f>
        <v>#REF!</v>
      </c>
      <c r="M26" s="54" t="e">
        <f>IF(AND('R. Gestión '!#REF!="Media",'R. Gestión '!#REF!="Leve"),CONCATENATE("R1C",'R. Gestión '!#REF!),"")</f>
        <v>#REF!</v>
      </c>
      <c r="N26" s="54" t="e">
        <f>IF(AND('R. Gestión '!#REF!="Media",'R. Gestión '!#REF!="Leve"),CONCATENATE("R1C",'R. Gestión '!#REF!),"")</f>
        <v>#REF!</v>
      </c>
      <c r="O26" s="55" t="e">
        <f>IF(AND('R. Gestión '!#REF!="Media",'R. Gestión '!#REF!="Leve"),CONCATENATE("R1C",'R. Gestión '!#REF!),"")</f>
        <v>#REF!</v>
      </c>
      <c r="P26" s="53" t="e">
        <f>IF(AND('R. Gestión '!#REF!="Media",'R. Gestión '!#REF!="Menor"),CONCATENATE("R1C",'R. Gestión '!#REF!),"")</f>
        <v>#REF!</v>
      </c>
      <c r="Q26" s="54" t="e">
        <f>IF(AND('R. Gestión '!#REF!="Media",'R. Gestión '!#REF!="Menor"),CONCATENATE("R1C",'R. Gestión '!#REF!),"")</f>
        <v>#REF!</v>
      </c>
      <c r="R26" s="54" t="e">
        <f>IF(AND('R. Gestión '!#REF!="Media",'R. Gestión '!#REF!="Menor"),CONCATENATE("R1C",'R. Gestión '!#REF!),"")</f>
        <v>#REF!</v>
      </c>
      <c r="S26" s="54" t="e">
        <f>IF(AND('R. Gestión '!#REF!="Media",'R. Gestión '!#REF!="Menor"),CONCATENATE("R1C",'R. Gestión '!#REF!),"")</f>
        <v>#REF!</v>
      </c>
      <c r="T26" s="54" t="e">
        <f>IF(AND('R. Gestión '!#REF!="Media",'R. Gestión '!#REF!="Menor"),CONCATENATE("R1C",'R. Gestión '!#REF!),"")</f>
        <v>#REF!</v>
      </c>
      <c r="U26" s="55" t="e">
        <f>IF(AND('R. Gestión '!#REF!="Media",'R. Gestión '!#REF!="Menor"),CONCATENATE("R1C",'R. Gestión '!#REF!),"")</f>
        <v>#REF!</v>
      </c>
      <c r="V26" s="53" t="e">
        <f>IF(AND('R. Gestión '!#REF!="Media",'R. Gestión '!#REF!="Moderado"),CONCATENATE("R1C",'R. Gestión '!#REF!),"")</f>
        <v>#REF!</v>
      </c>
      <c r="W26" s="54" t="e">
        <f>IF(AND('R. Gestión '!#REF!="Media",'R. Gestión '!#REF!="Moderado"),CONCATENATE("R1C",'R. Gestión '!#REF!),"")</f>
        <v>#REF!</v>
      </c>
      <c r="X26" s="54" t="e">
        <f>IF(AND('R. Gestión '!#REF!="Media",'R. Gestión '!#REF!="Moderado"),CONCATENATE("R1C",'R. Gestión '!#REF!),"")</f>
        <v>#REF!</v>
      </c>
      <c r="Y26" s="54" t="e">
        <f>IF(AND('R. Gestión '!#REF!="Media",'R. Gestión '!#REF!="Moderado"),CONCATENATE("R1C",'R. Gestión '!#REF!),"")</f>
        <v>#REF!</v>
      </c>
      <c r="Z26" s="54" t="e">
        <f>IF(AND('R. Gestión '!#REF!="Media",'R. Gestión '!#REF!="Moderado"),CONCATENATE("R1C",'R. Gestión '!#REF!),"")</f>
        <v>#REF!</v>
      </c>
      <c r="AA26" s="55" t="e">
        <f>IF(AND('R. Gestión '!#REF!="Media",'R. Gestión '!#REF!="Moderado"),CONCATENATE("R1C",'R. Gestión '!#REF!),"")</f>
        <v>#REF!</v>
      </c>
      <c r="AB26" s="35" t="e">
        <f>IF(AND('R. Gestión '!#REF!="Media",'R. Gestión '!#REF!="Mayor"),CONCATENATE("R1C",'R. Gestión '!#REF!),"")</f>
        <v>#REF!</v>
      </c>
      <c r="AC26" s="36" t="e">
        <f>IF(AND('R. Gestión '!#REF!="Media",'R. Gestión '!#REF!="Mayor"),CONCATENATE("R1C",'R. Gestión '!#REF!),"")</f>
        <v>#REF!</v>
      </c>
      <c r="AD26" s="36" t="e">
        <f>IF(AND('R. Gestión '!#REF!="Media",'R. Gestión '!#REF!="Mayor"),CONCATENATE("R1C",'R. Gestión '!#REF!),"")</f>
        <v>#REF!</v>
      </c>
      <c r="AE26" s="36" t="e">
        <f>IF(AND('R. Gestión '!#REF!="Media",'R. Gestión '!#REF!="Mayor"),CONCATENATE("R1C",'R. Gestión '!#REF!),"")</f>
        <v>#REF!</v>
      </c>
      <c r="AF26" s="36" t="e">
        <f>IF(AND('R. Gestión '!#REF!="Media",'R. Gestión '!#REF!="Mayor"),CONCATENATE("R1C",'R. Gestión '!#REF!),"")</f>
        <v>#REF!</v>
      </c>
      <c r="AG26" s="37" t="e">
        <f>IF(AND('R. Gestión '!#REF!="Media",'R. Gestión '!#REF!="Mayor"),CONCATENATE("R1C",'R. Gestión '!#REF!),"")</f>
        <v>#REF!</v>
      </c>
      <c r="AH26" s="38" t="e">
        <f>IF(AND('R. Gestión '!#REF!="Media",'R. Gestión '!#REF!="Catastrófico"),CONCATENATE("R1C",'R. Gestión '!#REF!),"")</f>
        <v>#REF!</v>
      </c>
      <c r="AI26" s="39" t="e">
        <f>IF(AND('R. Gestión '!#REF!="Media",'R. Gestión '!#REF!="Catastrófico"),CONCATENATE("R1C",'R. Gestión '!#REF!),"")</f>
        <v>#REF!</v>
      </c>
      <c r="AJ26" s="39" t="e">
        <f>IF(AND('R. Gestión '!#REF!="Media",'R. Gestión '!#REF!="Catastrófico"),CONCATENATE("R1C",'R. Gestión '!#REF!),"")</f>
        <v>#REF!</v>
      </c>
      <c r="AK26" s="39" t="e">
        <f>IF(AND('R. Gestión '!#REF!="Media",'R. Gestión '!#REF!="Catastrófico"),CONCATENATE("R1C",'R. Gestión '!#REF!),"")</f>
        <v>#REF!</v>
      </c>
      <c r="AL26" s="39" t="e">
        <f>IF(AND('R. Gestión '!#REF!="Media",'R. Gestión '!#REF!="Catastrófico"),CONCATENATE("R1C",'R. Gestión '!#REF!),"")</f>
        <v>#REF!</v>
      </c>
      <c r="AM26" s="40" t="e">
        <f>IF(AND('R. Gestión '!#REF!="Media",'R. Gestión '!#REF!="Catastrófico"),CONCATENATE("R1C",'R. Gestión '!#REF!),"")</f>
        <v>#REF!</v>
      </c>
      <c r="AN26" s="72"/>
      <c r="AO26" s="720" t="s">
        <v>67</v>
      </c>
      <c r="AP26" s="721"/>
      <c r="AQ26" s="721"/>
      <c r="AR26" s="721"/>
      <c r="AS26" s="721"/>
      <c r="AT26" s="72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row>
    <row r="27" spans="1:76" ht="15" customHeight="1" x14ac:dyDescent="0.25">
      <c r="A27" s="72"/>
      <c r="B27" s="642"/>
      <c r="C27" s="642"/>
      <c r="D27" s="643"/>
      <c r="E27" s="699"/>
      <c r="F27" s="684"/>
      <c r="G27" s="684"/>
      <c r="H27" s="684"/>
      <c r="I27" s="685"/>
      <c r="J27" s="56" t="str">
        <f ca="1">IF(AND('R. Gestión '!$AC$31="Media",'R. Gestión '!$AE$31="Leve"),CONCATENATE("R2C",'R. Gestión '!$R$31),"")</f>
        <v/>
      </c>
      <c r="K27" s="57" t="str">
        <f ca="1">IF(AND('R. Gestión '!$AC$32="Media",'R. Gestión '!$AE$32="Leve"),CONCATENATE("R2C",'R. Gestión '!$R$32),"")</f>
        <v/>
      </c>
      <c r="L27" s="57" t="str">
        <f ca="1">IF(AND('R. Gestión '!$AC$33="Media",'R. Gestión '!$AE$33="Leve"),CONCATENATE("R2C",'R. Gestión '!$R$33),"")</f>
        <v/>
      </c>
      <c r="M27" s="57" t="str">
        <f>IF(AND('R. Gestión '!$AC$34="Media",'R. Gestión '!$AE$34="Leve"),CONCATENATE("R2C",'R. Gestión '!$R$34),"")</f>
        <v/>
      </c>
      <c r="N27" s="57" t="str">
        <f>IF(AND('R. Gestión '!$AC$35="Media",'R. Gestión '!$AE$35="Leve"),CONCATENATE("R2C",'R. Gestión '!$R$35),"")</f>
        <v/>
      </c>
      <c r="O27" s="58" t="str">
        <f>IF(AND('R. Gestión '!$AC$36="Media",'R. Gestión '!$AE$36="Leve"),CONCATENATE("R2C",'R. Gestión '!$R$36),"")</f>
        <v/>
      </c>
      <c r="P27" s="56" t="str">
        <f ca="1">IF(AND('R. Gestión '!$AC$31="Media",'R. Gestión '!$AE$31="Menor"),CONCATENATE("R2C",'R. Gestión '!$R$31),"")</f>
        <v/>
      </c>
      <c r="Q27" s="57" t="str">
        <f ca="1">IF(AND('R. Gestión '!$AC$32="Media",'R. Gestión '!$AE$32="Menor"),CONCATENATE("R2C",'R. Gestión '!$R$32),"")</f>
        <v/>
      </c>
      <c r="R27" s="57" t="str">
        <f ca="1">IF(AND('R. Gestión '!$AC$33="Media",'R. Gestión '!$AE$33="Menor"),CONCATENATE("R2C",'R. Gestión '!$R$33),"")</f>
        <v/>
      </c>
      <c r="S27" s="57" t="str">
        <f>IF(AND('R. Gestión '!$AC$34="Media",'R. Gestión '!$AE$34="Menor"),CONCATENATE("R2C",'R. Gestión '!$R$34),"")</f>
        <v/>
      </c>
      <c r="T27" s="57" t="str">
        <f>IF(AND('R. Gestión '!$AC$35="Media",'R. Gestión '!$AE$35="Menor"),CONCATENATE("R2C",'R. Gestión '!$R$35),"")</f>
        <v/>
      </c>
      <c r="U27" s="58" t="str">
        <f>IF(AND('R. Gestión '!$AC$36="Media",'R. Gestión '!$AE$36="Menor"),CONCATENATE("R2C",'R. Gestión '!$R$36),"")</f>
        <v/>
      </c>
      <c r="V27" s="56" t="str">
        <f ca="1">IF(AND('R. Gestión '!$AC$31="Media",'R. Gestión '!$AE$31="Moderado"),CONCATENATE("R2C",'R. Gestión '!$R$31),"")</f>
        <v/>
      </c>
      <c r="W27" s="57" t="str">
        <f ca="1">IF(AND('R. Gestión '!$AC$32="Media",'R. Gestión '!$AE$32="Moderado"),CONCATENATE("R2C",'R. Gestión '!$R$32),"")</f>
        <v/>
      </c>
      <c r="X27" s="57" t="str">
        <f ca="1">IF(AND('R. Gestión '!$AC$33="Media",'R. Gestión '!$AE$33="Moderado"),CONCATENATE("R2C",'R. Gestión '!$R$33),"")</f>
        <v/>
      </c>
      <c r="Y27" s="57" t="str">
        <f>IF(AND('R. Gestión '!$AC$34="Media",'R. Gestión '!$AE$34="Moderado"),CONCATENATE("R2C",'R. Gestión '!$R$34),"")</f>
        <v/>
      </c>
      <c r="Z27" s="57" t="str">
        <f>IF(AND('R. Gestión '!$AC$35="Media",'R. Gestión '!$AE$35="Moderado"),CONCATENATE("R2C",'R. Gestión '!$R$35),"")</f>
        <v/>
      </c>
      <c r="AA27" s="58" t="str">
        <f>IF(AND('R. Gestión '!$AC$36="Media",'R. Gestión '!$AE$36="Moderado"),CONCATENATE("R2C",'R. Gestión '!$R$36),"")</f>
        <v/>
      </c>
      <c r="AB27" s="41" t="str">
        <f ca="1">IF(AND('R. Gestión '!$AC$31="Media",'R. Gestión '!$AE$31="Mayor"),CONCATENATE("R2C",'R. Gestión '!$R$31),"")</f>
        <v/>
      </c>
      <c r="AC27" s="42" t="str">
        <f ca="1">IF(AND('R. Gestión '!$AC$32="Media",'R. Gestión '!$AE$32="Mayor"),CONCATENATE("R2C",'R. Gestión '!$R$32),"")</f>
        <v/>
      </c>
      <c r="AD27" s="42" t="str">
        <f ca="1">IF(AND('R. Gestión '!$AC$33="Media",'R. Gestión '!$AE$33="Mayor"),CONCATENATE("R2C",'R. Gestión '!$R$33),"")</f>
        <v/>
      </c>
      <c r="AE27" s="42" t="str">
        <f>IF(AND('R. Gestión '!$AC$34="Media",'R. Gestión '!$AE$34="Mayor"),CONCATENATE("R2C",'R. Gestión '!$R$34),"")</f>
        <v/>
      </c>
      <c r="AF27" s="42" t="str">
        <f>IF(AND('R. Gestión '!$AC$35="Media",'R. Gestión '!$AE$35="Mayor"),CONCATENATE("R2C",'R. Gestión '!$R$35),"")</f>
        <v/>
      </c>
      <c r="AG27" s="43" t="str">
        <f>IF(AND('R. Gestión '!$AC$36="Media",'R. Gestión '!$AE$36="Mayor"),CONCATENATE("R2C",'R. Gestión '!$R$36),"")</f>
        <v/>
      </c>
      <c r="AH27" s="44" t="str">
        <f ca="1">IF(AND('R. Gestión '!$AC$31="Media",'R. Gestión '!$AE$31="Catastrófico"),CONCATENATE("R2C",'R. Gestión '!$R$31),"")</f>
        <v/>
      </c>
      <c r="AI27" s="45" t="str">
        <f ca="1">IF(AND('R. Gestión '!$AC$32="Media",'R. Gestión '!$AE$32="Catastrófico"),CONCATENATE("R2C",'R. Gestión '!$R$32),"")</f>
        <v/>
      </c>
      <c r="AJ27" s="45" t="str">
        <f ca="1">IF(AND('R. Gestión '!$AC$33="Media",'R. Gestión '!$AE$33="Catastrófico"),CONCATENATE("R2C",'R. Gestión '!$R$33),"")</f>
        <v/>
      </c>
      <c r="AK27" s="45" t="str">
        <f>IF(AND('R. Gestión '!$AC$34="Media",'R. Gestión '!$AE$34="Catastrófico"),CONCATENATE("R2C",'R. Gestión '!$R$34),"")</f>
        <v/>
      </c>
      <c r="AL27" s="45" t="str">
        <f>IF(AND('R. Gestión '!$AC$35="Media",'R. Gestión '!$AE$35="Catastrófico"),CONCATENATE("R2C",'R. Gestión '!$R$35),"")</f>
        <v/>
      </c>
      <c r="AM27" s="46" t="str">
        <f>IF(AND('R. Gestión '!$AC$36="Media",'R. Gestión '!$AE$36="Catastrófico"),CONCATENATE("R2C",'R. Gestión '!$R$36),"")</f>
        <v/>
      </c>
      <c r="AN27" s="72"/>
      <c r="AO27" s="723"/>
      <c r="AP27" s="724"/>
      <c r="AQ27" s="724"/>
      <c r="AR27" s="724"/>
      <c r="AS27" s="724"/>
      <c r="AT27" s="725"/>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ht="15" customHeight="1" x14ac:dyDescent="0.25">
      <c r="A28" s="72"/>
      <c r="B28" s="642"/>
      <c r="C28" s="642"/>
      <c r="D28" s="643"/>
      <c r="E28" s="683"/>
      <c r="F28" s="684"/>
      <c r="G28" s="684"/>
      <c r="H28" s="684"/>
      <c r="I28" s="685"/>
      <c r="J28" s="56" t="e">
        <f>IF(AND('R. Gestión '!#REF!="Media",'R. Gestión '!#REF!="Leve"),CONCATENATE("R3C",'R. Gestión '!#REF!),"")</f>
        <v>#REF!</v>
      </c>
      <c r="K28" s="57" t="e">
        <f>IF(AND('R. Gestión '!#REF!="Media",'R. Gestión '!#REF!="Leve"),CONCATENATE("R3C",'R. Gestión '!#REF!),"")</f>
        <v>#REF!</v>
      </c>
      <c r="L28" s="57" t="e">
        <f>IF(AND('R. Gestión '!#REF!="Media",'R. Gestión '!#REF!="Leve"),CONCATENATE("R3C",'R. Gestión '!#REF!),"")</f>
        <v>#REF!</v>
      </c>
      <c r="M28" s="57" t="e">
        <f>IF(AND('R. Gestión '!#REF!="Media",'R. Gestión '!#REF!="Leve"),CONCATENATE("R3C",'R. Gestión '!#REF!),"")</f>
        <v>#REF!</v>
      </c>
      <c r="N28" s="57" t="e">
        <f>IF(AND('R. Gestión '!#REF!="Media",'R. Gestión '!#REF!="Leve"),CONCATENATE("R3C",'R. Gestión '!#REF!),"")</f>
        <v>#REF!</v>
      </c>
      <c r="O28" s="58" t="e">
        <f>IF(AND('R. Gestión '!#REF!="Media",'R. Gestión '!#REF!="Leve"),CONCATENATE("R3C",'R. Gestión '!#REF!),"")</f>
        <v>#REF!</v>
      </c>
      <c r="P28" s="56" t="e">
        <f>IF(AND('R. Gestión '!#REF!="Media",'R. Gestión '!#REF!="Menor"),CONCATENATE("R3C",'R. Gestión '!#REF!),"")</f>
        <v>#REF!</v>
      </c>
      <c r="Q28" s="57" t="e">
        <f>IF(AND('R. Gestión '!#REF!="Media",'R. Gestión '!#REF!="Menor"),CONCATENATE("R3C",'R. Gestión '!#REF!),"")</f>
        <v>#REF!</v>
      </c>
      <c r="R28" s="57" t="e">
        <f>IF(AND('R. Gestión '!#REF!="Media",'R. Gestión '!#REF!="Menor"),CONCATENATE("R3C",'R. Gestión '!#REF!),"")</f>
        <v>#REF!</v>
      </c>
      <c r="S28" s="57" t="e">
        <f>IF(AND('R. Gestión '!#REF!="Media",'R. Gestión '!#REF!="Menor"),CONCATENATE("R3C",'R. Gestión '!#REF!),"")</f>
        <v>#REF!</v>
      </c>
      <c r="T28" s="57" t="e">
        <f>IF(AND('R. Gestión '!#REF!="Media",'R. Gestión '!#REF!="Menor"),CONCATENATE("R3C",'R. Gestión '!#REF!),"")</f>
        <v>#REF!</v>
      </c>
      <c r="U28" s="58" t="e">
        <f>IF(AND('R. Gestión '!#REF!="Media",'R. Gestión '!#REF!="Menor"),CONCATENATE("R3C",'R. Gestión '!#REF!),"")</f>
        <v>#REF!</v>
      </c>
      <c r="V28" s="56" t="e">
        <f>IF(AND('R. Gestión '!#REF!="Media",'R. Gestión '!#REF!="Moderado"),CONCATENATE("R3C",'R. Gestión '!#REF!),"")</f>
        <v>#REF!</v>
      </c>
      <c r="W28" s="57" t="e">
        <f>IF(AND('R. Gestión '!#REF!="Media",'R. Gestión '!#REF!="Moderado"),CONCATENATE("R3C",'R. Gestión '!#REF!),"")</f>
        <v>#REF!</v>
      </c>
      <c r="X28" s="57" t="e">
        <f>IF(AND('R. Gestión '!#REF!="Media",'R. Gestión '!#REF!="Moderado"),CONCATENATE("R3C",'R. Gestión '!#REF!),"")</f>
        <v>#REF!</v>
      </c>
      <c r="Y28" s="57" t="e">
        <f>IF(AND('R. Gestión '!#REF!="Media",'R. Gestión '!#REF!="Moderado"),CONCATENATE("R3C",'R. Gestión '!#REF!),"")</f>
        <v>#REF!</v>
      </c>
      <c r="Z28" s="57" t="e">
        <f>IF(AND('R. Gestión '!#REF!="Media",'R. Gestión '!#REF!="Moderado"),CONCATENATE("R3C",'R. Gestión '!#REF!),"")</f>
        <v>#REF!</v>
      </c>
      <c r="AA28" s="58" t="e">
        <f>IF(AND('R. Gestión '!#REF!="Media",'R. Gestión '!#REF!="Moderado"),CONCATENATE("R3C",'R. Gestión '!#REF!),"")</f>
        <v>#REF!</v>
      </c>
      <c r="AB28" s="41" t="e">
        <f>IF(AND('R. Gestión '!#REF!="Media",'R. Gestión '!#REF!="Mayor"),CONCATENATE("R3C",'R. Gestión '!#REF!),"")</f>
        <v>#REF!</v>
      </c>
      <c r="AC28" s="42" t="e">
        <f>IF(AND('R. Gestión '!#REF!="Media",'R. Gestión '!#REF!="Mayor"),CONCATENATE("R3C",'R. Gestión '!#REF!),"")</f>
        <v>#REF!</v>
      </c>
      <c r="AD28" s="42" t="e">
        <f>IF(AND('R. Gestión '!#REF!="Media",'R. Gestión '!#REF!="Mayor"),CONCATENATE("R3C",'R. Gestión '!#REF!),"")</f>
        <v>#REF!</v>
      </c>
      <c r="AE28" s="42" t="e">
        <f>IF(AND('R. Gestión '!#REF!="Media",'R. Gestión '!#REF!="Mayor"),CONCATENATE("R3C",'R. Gestión '!#REF!),"")</f>
        <v>#REF!</v>
      </c>
      <c r="AF28" s="42" t="e">
        <f>IF(AND('R. Gestión '!#REF!="Media",'R. Gestión '!#REF!="Mayor"),CONCATENATE("R3C",'R. Gestión '!#REF!),"")</f>
        <v>#REF!</v>
      </c>
      <c r="AG28" s="43" t="e">
        <f>IF(AND('R. Gestión '!#REF!="Media",'R. Gestión '!#REF!="Mayor"),CONCATENATE("R3C",'R. Gestión '!#REF!),"")</f>
        <v>#REF!</v>
      </c>
      <c r="AH28" s="44" t="e">
        <f>IF(AND('R. Gestión '!#REF!="Media",'R. Gestión '!#REF!="Catastrófico"),CONCATENATE("R3C",'R. Gestión '!#REF!),"")</f>
        <v>#REF!</v>
      </c>
      <c r="AI28" s="45" t="e">
        <f>IF(AND('R. Gestión '!#REF!="Media",'R. Gestión '!#REF!="Catastrófico"),CONCATENATE("R3C",'R. Gestión '!#REF!),"")</f>
        <v>#REF!</v>
      </c>
      <c r="AJ28" s="45" t="e">
        <f>IF(AND('R. Gestión '!#REF!="Media",'R. Gestión '!#REF!="Catastrófico"),CONCATENATE("R3C",'R. Gestión '!#REF!),"")</f>
        <v>#REF!</v>
      </c>
      <c r="AK28" s="45" t="e">
        <f>IF(AND('R. Gestión '!#REF!="Media",'R. Gestión '!#REF!="Catastrófico"),CONCATENATE("R3C",'R. Gestión '!#REF!),"")</f>
        <v>#REF!</v>
      </c>
      <c r="AL28" s="45" t="e">
        <f>IF(AND('R. Gestión '!#REF!="Media",'R. Gestión '!#REF!="Catastrófico"),CONCATENATE("R3C",'R. Gestión '!#REF!),"")</f>
        <v>#REF!</v>
      </c>
      <c r="AM28" s="46" t="e">
        <f>IF(AND('R. Gestión '!#REF!="Media",'R. Gestión '!#REF!="Catastrófico"),CONCATENATE("R3C",'R. Gestión '!#REF!),"")</f>
        <v>#REF!</v>
      </c>
      <c r="AN28" s="72"/>
      <c r="AO28" s="723"/>
      <c r="AP28" s="724"/>
      <c r="AQ28" s="724"/>
      <c r="AR28" s="724"/>
      <c r="AS28" s="724"/>
      <c r="AT28" s="725"/>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row>
    <row r="29" spans="1:76" ht="15" customHeight="1" x14ac:dyDescent="0.25">
      <c r="A29" s="72"/>
      <c r="B29" s="642"/>
      <c r="C29" s="642"/>
      <c r="D29" s="643"/>
      <c r="E29" s="683"/>
      <c r="F29" s="684"/>
      <c r="G29" s="684"/>
      <c r="H29" s="684"/>
      <c r="I29" s="685"/>
      <c r="J29" s="56" t="str">
        <f ca="1">IF(AND('R. Gestión '!$AC$271="Media",'R. Gestión '!$AE$271="Leve"),CONCATENATE("R4C",'R. Gestión '!$R$271),"")</f>
        <v/>
      </c>
      <c r="K29" s="57" t="str">
        <f ca="1">IF(AND('R. Gestión '!$AC$272="Media",'R. Gestión '!$AE$272="Leve"),CONCATENATE("R4C",'R. Gestión '!$R$272),"")</f>
        <v/>
      </c>
      <c r="L29" s="57" t="str">
        <f>IF(AND('R. Gestión '!$AC$273="Media",'R. Gestión '!$AE$273="Leve"),CONCATENATE("R4C",'R. Gestión '!$R$273),"")</f>
        <v/>
      </c>
      <c r="M29" s="57" t="str">
        <f>IF(AND('R. Gestión '!$AC$274="Media",'R. Gestión '!$AE$274="Leve"),CONCATENATE("R4C",'R. Gestión '!$R$274),"")</f>
        <v/>
      </c>
      <c r="N29" s="57" t="str">
        <f>IF(AND('R. Gestión '!$AC$275="Media",'R. Gestión '!$AE$275="Leve"),CONCATENATE("R4C",'R. Gestión '!$R$275),"")</f>
        <v/>
      </c>
      <c r="O29" s="58" t="str">
        <f>IF(AND('R. Gestión '!$AC$276="Media",'R. Gestión '!$AE$276="Leve"),CONCATENATE("R4C",'R. Gestión '!$R$276),"")</f>
        <v/>
      </c>
      <c r="P29" s="56" t="str">
        <f ca="1">IF(AND('R. Gestión '!$AC$271="Media",'R. Gestión '!$AE$271="Menor"),CONCATENATE("R4C",'R. Gestión '!$R$271),"")</f>
        <v/>
      </c>
      <c r="Q29" s="57" t="str">
        <f ca="1">IF(AND('R. Gestión '!$AC$272="Media",'R. Gestión '!$AE$272="Menor"),CONCATENATE("R4C",'R. Gestión '!$R$272),"")</f>
        <v/>
      </c>
      <c r="R29" s="57" t="str">
        <f>IF(AND('R. Gestión '!$AC$273="Media",'R. Gestión '!$AE$273="Menor"),CONCATENATE("R4C",'R. Gestión '!$R$273),"")</f>
        <v/>
      </c>
      <c r="S29" s="57" t="str">
        <f>IF(AND('R. Gestión '!$AC$274="Media",'R. Gestión '!$AE$274="Menor"),CONCATENATE("R4C",'R. Gestión '!$R$274),"")</f>
        <v/>
      </c>
      <c r="T29" s="57" t="str">
        <f>IF(AND('R. Gestión '!$AC$275="Media",'R. Gestión '!$AE$275="Menor"),CONCATENATE("R4C",'R. Gestión '!$R$275),"")</f>
        <v/>
      </c>
      <c r="U29" s="58" t="str">
        <f>IF(AND('R. Gestión '!$AC$276="Media",'R. Gestión '!$AE$276="Menor"),CONCATENATE("R4C",'R. Gestión '!$R$276),"")</f>
        <v/>
      </c>
      <c r="V29" s="56" t="str">
        <f ca="1">IF(AND('R. Gestión '!$AC$271="Media",'R. Gestión '!$AE$271="Moderado"),CONCATENATE("R4C",'R. Gestión '!$R$271),"")</f>
        <v/>
      </c>
      <c r="W29" s="57" t="str">
        <f ca="1">IF(AND('R. Gestión '!$AC$272="Media",'R. Gestión '!$AE$272="Moderado"),CONCATENATE("R4C",'R. Gestión '!$R$272),"")</f>
        <v/>
      </c>
      <c r="X29" s="57" t="str">
        <f>IF(AND('R. Gestión '!$AC$273="Media",'R. Gestión '!$AE$273="Moderado"),CONCATENATE("R4C",'R. Gestión '!$R$273),"")</f>
        <v/>
      </c>
      <c r="Y29" s="57" t="str">
        <f>IF(AND('R. Gestión '!$AC$274="Media",'R. Gestión '!$AE$274="Moderado"),CONCATENATE("R4C",'R. Gestión '!$R$274),"")</f>
        <v/>
      </c>
      <c r="Z29" s="57" t="str">
        <f>IF(AND('R. Gestión '!$AC$275="Media",'R. Gestión '!$AE$275="Moderado"),CONCATENATE("R4C",'R. Gestión '!$R$275),"")</f>
        <v/>
      </c>
      <c r="AA29" s="58" t="str">
        <f>IF(AND('R. Gestión '!$AC$276="Media",'R. Gestión '!$AE$276="Moderado"),CONCATENATE("R4C",'R. Gestión '!$R$276),"")</f>
        <v/>
      </c>
      <c r="AB29" s="41" t="str">
        <f ca="1">IF(AND('R. Gestión '!$AC$271="Media",'R. Gestión '!$AE$271="Mayor"),CONCATENATE("R4C",'R. Gestión '!$R$271),"")</f>
        <v/>
      </c>
      <c r="AC29" s="42" t="str">
        <f ca="1">IF(AND('R. Gestión '!$AC$272="Media",'R. Gestión '!$AE$272="Mayor"),CONCATENATE("R4C",'R. Gestión '!$R$272),"")</f>
        <v/>
      </c>
      <c r="AD29" s="42" t="str">
        <f>IF(AND('R. Gestión '!$AC$273="Media",'R. Gestión '!$AE$273="Mayor"),CONCATENATE("R4C",'R. Gestión '!$R$273),"")</f>
        <v/>
      </c>
      <c r="AE29" s="42" t="str">
        <f>IF(AND('R. Gestión '!$AC$274="Media",'R. Gestión '!$AE$274="Mayor"),CONCATENATE("R4C",'R. Gestión '!$R$274),"")</f>
        <v/>
      </c>
      <c r="AF29" s="42" t="str">
        <f>IF(AND('R. Gestión '!$AC$275="Media",'R. Gestión '!$AE$275="Mayor"),CONCATENATE("R4C",'R. Gestión '!$R$275),"")</f>
        <v/>
      </c>
      <c r="AG29" s="43" t="str">
        <f>IF(AND('R. Gestión '!$AC$276="Media",'R. Gestión '!$AE$276="Mayor"),CONCATENATE("R4C",'R. Gestión '!$R$276),"")</f>
        <v/>
      </c>
      <c r="AH29" s="44" t="str">
        <f ca="1">IF(AND('R. Gestión '!$AC$271="Media",'R. Gestión '!$AE$271="Catastrófico"),CONCATENATE("R4C",'R. Gestión '!$R$271),"")</f>
        <v/>
      </c>
      <c r="AI29" s="45" t="str">
        <f ca="1">IF(AND('R. Gestión '!$AC$272="Media",'R. Gestión '!$AE$272="Catastrófico"),CONCATENATE("R4C",'R. Gestión '!$R$272),"")</f>
        <v/>
      </c>
      <c r="AJ29" s="45" t="str">
        <f>IF(AND('R. Gestión '!$AC$273="Media",'R. Gestión '!$AE$273="Catastrófico"),CONCATENATE("R4C",'R. Gestión '!$R$273),"")</f>
        <v/>
      </c>
      <c r="AK29" s="45" t="str">
        <f>IF(AND('R. Gestión '!$AC$274="Media",'R. Gestión '!$AE$274="Catastrófico"),CONCATENATE("R4C",'R. Gestión '!$R$274),"")</f>
        <v/>
      </c>
      <c r="AL29" s="45" t="str">
        <f>IF(AND('R. Gestión '!$AC$275="Media",'R. Gestión '!$AE$275="Catastrófico"),CONCATENATE("R4C",'R. Gestión '!$R$275),"")</f>
        <v/>
      </c>
      <c r="AM29" s="46" t="str">
        <f>IF(AND('R. Gestión '!$AC$276="Media",'R. Gestión '!$AE$276="Catastrófico"),CONCATENATE("R4C",'R. Gestión '!$R$276),"")</f>
        <v/>
      </c>
      <c r="AN29" s="72"/>
      <c r="AO29" s="723"/>
      <c r="AP29" s="724"/>
      <c r="AQ29" s="724"/>
      <c r="AR29" s="724"/>
      <c r="AS29" s="724"/>
      <c r="AT29" s="725"/>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row>
    <row r="30" spans="1:76" ht="15" customHeight="1" x14ac:dyDescent="0.25">
      <c r="A30" s="72"/>
      <c r="B30" s="642"/>
      <c r="C30" s="642"/>
      <c r="D30" s="643"/>
      <c r="E30" s="683"/>
      <c r="F30" s="684"/>
      <c r="G30" s="684"/>
      <c r="H30" s="684"/>
      <c r="I30" s="685"/>
      <c r="J30" s="56" t="str">
        <f ca="1">IF(AND('R. Gestión '!$AC$289="Media",'R. Gestión '!$AE$289="Leve"),CONCATENATE("R5C",'R. Gestión '!$R$289),"")</f>
        <v/>
      </c>
      <c r="K30" s="57" t="str">
        <f>IF(AND('R. Gestión '!$AC$290="Media",'R. Gestión '!$AE$290="Leve"),CONCATENATE("R5C",'R. Gestión '!$R$290),"")</f>
        <v/>
      </c>
      <c r="L30" s="57" t="str">
        <f>IF(AND('R. Gestión '!$AC$291="Media",'R. Gestión '!$AE$291="Leve"),CONCATENATE("R5C",'R. Gestión '!$R$291),"")</f>
        <v/>
      </c>
      <c r="M30" s="57" t="str">
        <f>IF(AND('R. Gestión '!$AC$292="Media",'R. Gestión '!$AE$292="Leve"),CONCATENATE("R5C",'R. Gestión '!$R$292),"")</f>
        <v/>
      </c>
      <c r="N30" s="57" t="str">
        <f>IF(AND('R. Gestión '!$AC$293="Media",'R. Gestión '!$AE$293="Leve"),CONCATENATE("R5C",'R. Gestión '!$R$293),"")</f>
        <v/>
      </c>
      <c r="O30" s="58" t="str">
        <f>IF(AND('R. Gestión '!$AC$294="Media",'R. Gestión '!$AE$294="Leve"),CONCATENATE("R5C",'R. Gestión '!$R$294),"")</f>
        <v/>
      </c>
      <c r="P30" s="56" t="str">
        <f ca="1">IF(AND('R. Gestión '!$AC$289="Media",'R. Gestión '!$AE$289="Menor"),CONCATENATE("R5C",'R. Gestión '!$R$289),"")</f>
        <v/>
      </c>
      <c r="Q30" s="57" t="str">
        <f>IF(AND('R. Gestión '!$AC$290="Media",'R. Gestión '!$AE$290="Menor"),CONCATENATE("R5C",'R. Gestión '!$R$290),"")</f>
        <v/>
      </c>
      <c r="R30" s="57" t="str">
        <f>IF(AND('R. Gestión '!$AC$291="Media",'R. Gestión '!$AE$291="Menor"),CONCATENATE("R5C",'R. Gestión '!$R$291),"")</f>
        <v/>
      </c>
      <c r="S30" s="57" t="str">
        <f>IF(AND('R. Gestión '!$AC$292="Media",'R. Gestión '!$AE$292="Menor"),CONCATENATE("R5C",'R. Gestión '!$R$292),"")</f>
        <v/>
      </c>
      <c r="T30" s="57" t="str">
        <f>IF(AND('R. Gestión '!$AC$293="Media",'R. Gestión '!$AE$293="Menor"),CONCATENATE("R5C",'R. Gestión '!$R$293),"")</f>
        <v/>
      </c>
      <c r="U30" s="58" t="str">
        <f>IF(AND('R. Gestión '!$AC$294="Media",'R. Gestión '!$AE$294="Menor"),CONCATENATE("R5C",'R. Gestión '!$R$294),"")</f>
        <v/>
      </c>
      <c r="V30" s="56" t="str">
        <f ca="1">IF(AND('R. Gestión '!$AC$289="Media",'R. Gestión '!$AE$289="Moderado"),CONCATENATE("R5C",'R. Gestión '!$R$289),"")</f>
        <v/>
      </c>
      <c r="W30" s="57" t="str">
        <f>IF(AND('R. Gestión '!$AC$290="Media",'R. Gestión '!$AE$290="Moderado"),CONCATENATE("R5C",'R. Gestión '!$R$290),"")</f>
        <v/>
      </c>
      <c r="X30" s="57" t="str">
        <f>IF(AND('R. Gestión '!$AC$291="Media",'R. Gestión '!$AE$291="Moderado"),CONCATENATE("R5C",'R. Gestión '!$R$291),"")</f>
        <v/>
      </c>
      <c r="Y30" s="57" t="str">
        <f>IF(AND('R. Gestión '!$AC$292="Media",'R. Gestión '!$AE$292="Moderado"),CONCATENATE("R5C",'R. Gestión '!$R$292),"")</f>
        <v/>
      </c>
      <c r="Z30" s="57" t="str">
        <f>IF(AND('R. Gestión '!$AC$293="Media",'R. Gestión '!$AE$293="Moderado"),CONCATENATE("R5C",'R. Gestión '!$R$293),"")</f>
        <v/>
      </c>
      <c r="AA30" s="58" t="str">
        <f>IF(AND('R. Gestión '!$AC$294="Media",'R. Gestión '!$AE$294="Moderado"),CONCATENATE("R5C",'R. Gestión '!$R$294),"")</f>
        <v/>
      </c>
      <c r="AB30" s="41" t="str">
        <f ca="1">IF(AND('R. Gestión '!$AC$289="Media",'R. Gestión '!$AE$289="Mayor"),CONCATENATE("R5C",'R. Gestión '!$R$289),"")</f>
        <v/>
      </c>
      <c r="AC30" s="42" t="str">
        <f>IF(AND('R. Gestión '!$AC$290="Media",'R. Gestión '!$AE$290="Mayor"),CONCATENATE("R5C",'R. Gestión '!$R$290),"")</f>
        <v/>
      </c>
      <c r="AD30" s="42" t="str">
        <f>IF(AND('R. Gestión '!$AC$291="Media",'R. Gestión '!$AE$291="Mayor"),CONCATENATE("R5C",'R. Gestión '!$R$291),"")</f>
        <v/>
      </c>
      <c r="AE30" s="42" t="str">
        <f>IF(AND('R. Gestión '!$AC$292="Media",'R. Gestión '!$AE$292="Mayor"),CONCATENATE("R5C",'R. Gestión '!$R$292),"")</f>
        <v/>
      </c>
      <c r="AF30" s="42" t="str">
        <f>IF(AND('R. Gestión '!$AC$293="Media",'R. Gestión '!$AE$293="Mayor"),CONCATENATE("R5C",'R. Gestión '!$R$293),"")</f>
        <v/>
      </c>
      <c r="AG30" s="43" t="str">
        <f>IF(AND('R. Gestión '!$AC$294="Media",'R. Gestión '!$AE$294="Mayor"),CONCATENATE("R5C",'R. Gestión '!$R$294),"")</f>
        <v/>
      </c>
      <c r="AH30" s="44" t="str">
        <f ca="1">IF(AND('R. Gestión '!$AC$289="Media",'R. Gestión '!$AE$289="Catastrófico"),CONCATENATE("R5C",'R. Gestión '!$R$289),"")</f>
        <v/>
      </c>
      <c r="AI30" s="45" t="str">
        <f>IF(AND('R. Gestión '!$AC$290="Media",'R. Gestión '!$AE$290="Catastrófico"),CONCATENATE("R5C",'R. Gestión '!$R$290),"")</f>
        <v/>
      </c>
      <c r="AJ30" s="45" t="str">
        <f>IF(AND('R. Gestión '!$AC$291="Media",'R. Gestión '!$AE$291="Catastrófico"),CONCATENATE("R5C",'R. Gestión '!$R$291),"")</f>
        <v/>
      </c>
      <c r="AK30" s="45" t="str">
        <f>IF(AND('R. Gestión '!$AC$292="Media",'R. Gestión '!$AE$292="Catastrófico"),CONCATENATE("R5C",'R. Gestión '!$R$292),"")</f>
        <v/>
      </c>
      <c r="AL30" s="45" t="str">
        <f>IF(AND('R. Gestión '!$AC$293="Media",'R. Gestión '!$AE$293="Catastrófico"),CONCATENATE("R5C",'R. Gestión '!$R$293),"")</f>
        <v/>
      </c>
      <c r="AM30" s="46" t="str">
        <f>IF(AND('R. Gestión '!$AC$294="Media",'R. Gestión '!$AE$294="Catastrófico"),CONCATENATE("R5C",'R. Gestión '!$R$294),"")</f>
        <v/>
      </c>
      <c r="AN30" s="72"/>
      <c r="AO30" s="723"/>
      <c r="AP30" s="724"/>
      <c r="AQ30" s="724"/>
      <c r="AR30" s="724"/>
      <c r="AS30" s="724"/>
      <c r="AT30" s="725"/>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row>
    <row r="31" spans="1:76" ht="15" customHeight="1" x14ac:dyDescent="0.25">
      <c r="A31" s="72"/>
      <c r="B31" s="642"/>
      <c r="C31" s="642"/>
      <c r="D31" s="643"/>
      <c r="E31" s="683"/>
      <c r="F31" s="684"/>
      <c r="G31" s="684"/>
      <c r="H31" s="684"/>
      <c r="I31" s="685"/>
      <c r="J31" s="56" t="str">
        <f ca="1">IF(AND('R. Gestión '!$AC$295="Media",'R. Gestión '!$AE$295="Leve"),CONCATENATE("R6C",'R. Gestión '!$R$295),"")</f>
        <v/>
      </c>
      <c r="K31" s="57" t="str">
        <f>IF(AND('R. Gestión '!$AC$296="Media",'R. Gestión '!$AE$296="Leve"),CONCATENATE("R6C",'R. Gestión '!$R$296),"")</f>
        <v/>
      </c>
      <c r="L31" s="57" t="str">
        <f>IF(AND('R. Gestión '!$AC$297="Media",'R. Gestión '!$AE$297="Leve"),CONCATENATE("R6C",'R. Gestión '!$R$297),"")</f>
        <v/>
      </c>
      <c r="M31" s="57" t="str">
        <f>IF(AND('R. Gestión '!$AC$298="Media",'R. Gestión '!$AE$298="Leve"),CONCATENATE("R6C",'R. Gestión '!$R$298),"")</f>
        <v/>
      </c>
      <c r="N31" s="57" t="str">
        <f>IF(AND('R. Gestión '!$AC$299="Media",'R. Gestión '!$AE$299="Leve"),CONCATENATE("R6C",'R. Gestión '!$R$299),"")</f>
        <v/>
      </c>
      <c r="O31" s="58" t="str">
        <f>IF(AND('R. Gestión '!$AC$300="Media",'R. Gestión '!$AE$300="Leve"),CONCATENATE("R6C",'R. Gestión '!$R$300),"")</f>
        <v/>
      </c>
      <c r="P31" s="56" t="str">
        <f ca="1">IF(AND('R. Gestión '!$AC$295="Media",'R. Gestión '!$AE$295="Menor"),CONCATENATE("R6C",'R. Gestión '!$R$295),"")</f>
        <v/>
      </c>
      <c r="Q31" s="57" t="str">
        <f>IF(AND('R. Gestión '!$AC$296="Media",'R. Gestión '!$AE$296="Menor"),CONCATENATE("R6C",'R. Gestión '!$R$296),"")</f>
        <v/>
      </c>
      <c r="R31" s="57" t="str">
        <f>IF(AND('R. Gestión '!$AC$297="Media",'R. Gestión '!$AE$297="Menor"),CONCATENATE("R6C",'R. Gestión '!$R$297),"")</f>
        <v/>
      </c>
      <c r="S31" s="57" t="str">
        <f>IF(AND('R. Gestión '!$AC$298="Media",'R. Gestión '!$AE$298="Menor"),CONCATENATE("R6C",'R. Gestión '!$R$298),"")</f>
        <v/>
      </c>
      <c r="T31" s="57" t="str">
        <f>IF(AND('R. Gestión '!$AC$299="Media",'R. Gestión '!$AE$299="Menor"),CONCATENATE("R6C",'R. Gestión '!$R$299),"")</f>
        <v/>
      </c>
      <c r="U31" s="58" t="str">
        <f>IF(AND('R. Gestión '!$AC$300="Media",'R. Gestión '!$AE$300="Menor"),CONCATENATE("R6C",'R. Gestión '!$R$300),"")</f>
        <v/>
      </c>
      <c r="V31" s="56" t="str">
        <f ca="1">IF(AND('R. Gestión '!$AC$295="Media",'R. Gestión '!$AE$295="Moderado"),CONCATENATE("R6C",'R. Gestión '!$R$295),"")</f>
        <v>R6C1</v>
      </c>
      <c r="W31" s="57" t="str">
        <f>IF(AND('R. Gestión '!$AC$296="Media",'R. Gestión '!$AE$296="Moderado"),CONCATENATE("R6C",'R. Gestión '!$R$296),"")</f>
        <v/>
      </c>
      <c r="X31" s="57" t="str">
        <f>IF(AND('R. Gestión '!$AC$297="Media",'R. Gestión '!$AE$297="Moderado"),CONCATENATE("R6C",'R. Gestión '!$R$297),"")</f>
        <v/>
      </c>
      <c r="Y31" s="57" t="str">
        <f>IF(AND('R. Gestión '!$AC$298="Media",'R. Gestión '!$AE$298="Moderado"),CONCATENATE("R6C",'R. Gestión '!$R$298),"")</f>
        <v/>
      </c>
      <c r="Z31" s="57" t="str">
        <f>IF(AND('R. Gestión '!$AC$299="Media",'R. Gestión '!$AE$299="Moderado"),CONCATENATE("R6C",'R. Gestión '!$R$299),"")</f>
        <v/>
      </c>
      <c r="AA31" s="58" t="str">
        <f>IF(AND('R. Gestión '!$AC$300="Media",'R. Gestión '!$AE$300="Moderado"),CONCATENATE("R6C",'R. Gestión '!$R$300),"")</f>
        <v/>
      </c>
      <c r="AB31" s="41" t="str">
        <f ca="1">IF(AND('R. Gestión '!$AC$295="Media",'R. Gestión '!$AE$295="Mayor"),CONCATENATE("R6C",'R. Gestión '!$R$295),"")</f>
        <v/>
      </c>
      <c r="AC31" s="42" t="str">
        <f>IF(AND('R. Gestión '!$AC$296="Media",'R. Gestión '!$AE$296="Mayor"),CONCATENATE("R6C",'R. Gestión '!$R$296),"")</f>
        <v/>
      </c>
      <c r="AD31" s="42" t="str">
        <f>IF(AND('R. Gestión '!$AC$297="Media",'R. Gestión '!$AE$297="Mayor"),CONCATENATE("R6C",'R. Gestión '!$R$297),"")</f>
        <v/>
      </c>
      <c r="AE31" s="42" t="str">
        <f>IF(AND('R. Gestión '!$AC$298="Media",'R. Gestión '!$AE$298="Mayor"),CONCATENATE("R6C",'R. Gestión '!$R$298),"")</f>
        <v/>
      </c>
      <c r="AF31" s="42" t="str">
        <f>IF(AND('R. Gestión '!$AC$299="Media",'R. Gestión '!$AE$299="Mayor"),CONCATENATE("R6C",'R. Gestión '!$R$299),"")</f>
        <v/>
      </c>
      <c r="AG31" s="43" t="str">
        <f>IF(AND('R. Gestión '!$AC$300="Media",'R. Gestión '!$AE$300="Mayor"),CONCATENATE("R6C",'R. Gestión '!$R$300),"")</f>
        <v/>
      </c>
      <c r="AH31" s="44" t="str">
        <f ca="1">IF(AND('R. Gestión '!$AC$295="Media",'R. Gestión '!$AE$295="Catastrófico"),CONCATENATE("R6C",'R. Gestión '!$R$295),"")</f>
        <v/>
      </c>
      <c r="AI31" s="45" t="str">
        <f>IF(AND('R. Gestión '!$AC$296="Media",'R. Gestión '!$AE$296="Catastrófico"),CONCATENATE("R6C",'R. Gestión '!$R$296),"")</f>
        <v/>
      </c>
      <c r="AJ31" s="45" t="str">
        <f>IF(AND('R. Gestión '!$AC$297="Media",'R. Gestión '!$AE$297="Catastrófico"),CONCATENATE("R6C",'R. Gestión '!$R$297),"")</f>
        <v/>
      </c>
      <c r="AK31" s="45" t="str">
        <f>IF(AND('R. Gestión '!$AC$298="Media",'R. Gestión '!$AE$298="Catastrófico"),CONCATENATE("R6C",'R. Gestión '!$R$298),"")</f>
        <v/>
      </c>
      <c r="AL31" s="45" t="str">
        <f>IF(AND('R. Gestión '!$AC$299="Media",'R. Gestión '!$AE$299="Catastrófico"),CONCATENATE("R6C",'R. Gestión '!$R$299),"")</f>
        <v/>
      </c>
      <c r="AM31" s="46" t="str">
        <f>IF(AND('R. Gestión '!$AC$300="Media",'R. Gestión '!$AE$300="Catastrófico"),CONCATENATE("R6C",'R. Gestión '!$R$300),"")</f>
        <v/>
      </c>
      <c r="AN31" s="72"/>
      <c r="AO31" s="723"/>
      <c r="AP31" s="724"/>
      <c r="AQ31" s="724"/>
      <c r="AR31" s="724"/>
      <c r="AS31" s="724"/>
      <c r="AT31" s="725"/>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row>
    <row r="32" spans="1:76" ht="15" customHeight="1" x14ac:dyDescent="0.25">
      <c r="A32" s="72"/>
      <c r="B32" s="642"/>
      <c r="C32" s="642"/>
      <c r="D32" s="643"/>
      <c r="E32" s="683"/>
      <c r="F32" s="684"/>
      <c r="G32" s="684"/>
      <c r="H32" s="684"/>
      <c r="I32" s="685"/>
      <c r="J32" s="56" t="str">
        <f ca="1">IF(AND('R. Gestión '!$AC$325="Media",'R. Gestión '!$AE$325="Leve"),CONCATENATE("R7C",'R. Gestión '!$R$325),"")</f>
        <v/>
      </c>
      <c r="K32" s="57" t="str">
        <f>IF(AND('R. Gestión '!$AC$326="Media",'R. Gestión '!$AE$326="Leve"),CONCATENATE("R7C",'R. Gestión '!$R$326),"")</f>
        <v/>
      </c>
      <c r="L32" s="57" t="str">
        <f>IF(AND('R. Gestión '!$AC$327="Media",'R. Gestión '!$AE$327="Leve"),CONCATENATE("R7C",'R. Gestión '!$R$327),"")</f>
        <v/>
      </c>
      <c r="M32" s="57" t="str">
        <f>IF(AND('R. Gestión '!$AC$328="Media",'R. Gestión '!$AE$328="Leve"),CONCATENATE("R7C",'R. Gestión '!$R$328),"")</f>
        <v/>
      </c>
      <c r="N32" s="57" t="str">
        <f>IF(AND('R. Gestión '!$AC$329="Media",'R. Gestión '!$AE$329="Leve"),CONCATENATE("R7C",'R. Gestión '!$R$329),"")</f>
        <v/>
      </c>
      <c r="O32" s="58" t="str">
        <f>IF(AND('R. Gestión '!$AC$330="Media",'R. Gestión '!$AE$330="Leve"),CONCATENATE("R7C",'R. Gestión '!$R$330),"")</f>
        <v/>
      </c>
      <c r="P32" s="56" t="str">
        <f ca="1">IF(AND('R. Gestión '!$AC$325="Media",'R. Gestión '!$AE$325="Menor"),CONCATENATE("R7C",'R. Gestión '!$R$325),"")</f>
        <v/>
      </c>
      <c r="Q32" s="57" t="str">
        <f>IF(AND('R. Gestión '!$AC$326="Media",'R. Gestión '!$AE$326="Menor"),CONCATENATE("R7C",'R. Gestión '!$R$326),"")</f>
        <v/>
      </c>
      <c r="R32" s="57" t="str">
        <f>IF(AND('R. Gestión '!$AC$327="Media",'R. Gestión '!$AE$327="Menor"),CONCATENATE("R7C",'R. Gestión '!$R$327),"")</f>
        <v/>
      </c>
      <c r="S32" s="57" t="str">
        <f>IF(AND('R. Gestión '!$AC$328="Media",'R. Gestión '!$AE$328="Menor"),CONCATENATE("R7C",'R. Gestión '!$R$328),"")</f>
        <v/>
      </c>
      <c r="T32" s="57" t="str">
        <f>IF(AND('R. Gestión '!$AC$329="Media",'R. Gestión '!$AE$329="Menor"),CONCATENATE("R7C",'R. Gestión '!$R$329),"")</f>
        <v/>
      </c>
      <c r="U32" s="58" t="str">
        <f>IF(AND('R. Gestión '!$AC$330="Media",'R. Gestión '!$AE$330="Menor"),CONCATENATE("R7C",'R. Gestión '!$R$330),"")</f>
        <v/>
      </c>
      <c r="V32" s="56" t="str">
        <f ca="1">IF(AND('R. Gestión '!$AC$325="Media",'R. Gestión '!$AE$325="Moderado"),CONCATENATE("R7C",'R. Gestión '!$R$325),"")</f>
        <v/>
      </c>
      <c r="W32" s="57" t="str">
        <f>IF(AND('R. Gestión '!$AC$326="Media",'R. Gestión '!$AE$326="Moderado"),CONCATENATE("R7C",'R. Gestión '!$R$326),"")</f>
        <v/>
      </c>
      <c r="X32" s="57" t="str">
        <f>IF(AND('R. Gestión '!$AC$327="Media",'R. Gestión '!$AE$327="Moderado"),CONCATENATE("R7C",'R. Gestión '!$R$327),"")</f>
        <v/>
      </c>
      <c r="Y32" s="57" t="str">
        <f>IF(AND('R. Gestión '!$AC$328="Media",'R. Gestión '!$AE$328="Moderado"),CONCATENATE("R7C",'R. Gestión '!$R$328),"")</f>
        <v/>
      </c>
      <c r="Z32" s="57" t="str">
        <f>IF(AND('R. Gestión '!$AC$329="Media",'R. Gestión '!$AE$329="Moderado"),CONCATENATE("R7C",'R. Gestión '!$R$329),"")</f>
        <v/>
      </c>
      <c r="AA32" s="58" t="str">
        <f>IF(AND('R. Gestión '!$AC$330="Media",'R. Gestión '!$AE$330="Moderado"),CONCATENATE("R7C",'R. Gestión '!$R$330),"")</f>
        <v/>
      </c>
      <c r="AB32" s="41" t="str">
        <f ca="1">IF(AND('R. Gestión '!$AC$325="Media",'R. Gestión '!$AE$325="Mayor"),CONCATENATE("R7C",'R. Gestión '!$R$325),"")</f>
        <v/>
      </c>
      <c r="AC32" s="42" t="str">
        <f>IF(AND('R. Gestión '!$AC$326="Media",'R. Gestión '!$AE$326="Mayor"),CONCATENATE("R7C",'R. Gestión '!$R$326),"")</f>
        <v/>
      </c>
      <c r="AD32" s="42" t="str">
        <f>IF(AND('R. Gestión '!$AC$327="Media",'R. Gestión '!$AE$327="Mayor"),CONCATENATE("R7C",'R. Gestión '!$R$327),"")</f>
        <v/>
      </c>
      <c r="AE32" s="42" t="str">
        <f>IF(AND('R. Gestión '!$AC$328="Media",'R. Gestión '!$AE$328="Mayor"),CONCATENATE("R7C",'R. Gestión '!$R$328),"")</f>
        <v/>
      </c>
      <c r="AF32" s="42" t="str">
        <f>IF(AND('R. Gestión '!$AC$329="Media",'R. Gestión '!$AE$329="Mayor"),CONCATENATE("R7C",'R. Gestión '!$R$329),"")</f>
        <v/>
      </c>
      <c r="AG32" s="43" t="str">
        <f>IF(AND('R. Gestión '!$AC$330="Media",'R. Gestión '!$AE$330="Mayor"),CONCATENATE("R7C",'R. Gestión '!$R$330),"")</f>
        <v/>
      </c>
      <c r="AH32" s="44" t="str">
        <f ca="1">IF(AND('R. Gestión '!$AC$325="Media",'R. Gestión '!$AE$325="Catastrófico"),CONCATENATE("R7C",'R. Gestión '!$R$325),"")</f>
        <v/>
      </c>
      <c r="AI32" s="45" t="str">
        <f>IF(AND('R. Gestión '!$AC$326="Media",'R. Gestión '!$AE$326="Catastrófico"),CONCATENATE("R7C",'R. Gestión '!$R$326),"")</f>
        <v/>
      </c>
      <c r="AJ32" s="45" t="str">
        <f>IF(AND('R. Gestión '!$AC$327="Media",'R. Gestión '!$AE$327="Catastrófico"),CONCATENATE("R7C",'R. Gestión '!$R$327),"")</f>
        <v/>
      </c>
      <c r="AK32" s="45" t="str">
        <f>IF(AND('R. Gestión '!$AC$328="Media",'R. Gestión '!$AE$328="Catastrófico"),CONCATENATE("R7C",'R. Gestión '!$R$328),"")</f>
        <v/>
      </c>
      <c r="AL32" s="45" t="str">
        <f>IF(AND('R. Gestión '!$AC$329="Media",'R. Gestión '!$AE$329="Catastrófico"),CONCATENATE("R7C",'R. Gestión '!$R$329),"")</f>
        <v/>
      </c>
      <c r="AM32" s="46" t="str">
        <f>IF(AND('R. Gestión '!$AC$330="Media",'R. Gestión '!$AE$330="Catastrófico"),CONCATENATE("R7C",'R. Gestión '!$R$330),"")</f>
        <v/>
      </c>
      <c r="AN32" s="72"/>
      <c r="AO32" s="723"/>
      <c r="AP32" s="724"/>
      <c r="AQ32" s="724"/>
      <c r="AR32" s="724"/>
      <c r="AS32" s="724"/>
      <c r="AT32" s="725"/>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row>
    <row r="33" spans="1:80" ht="15" customHeight="1" x14ac:dyDescent="0.25">
      <c r="A33" s="72"/>
      <c r="B33" s="642"/>
      <c r="C33" s="642"/>
      <c r="D33" s="643"/>
      <c r="E33" s="683"/>
      <c r="F33" s="684"/>
      <c r="G33" s="684"/>
      <c r="H33" s="684"/>
      <c r="I33" s="685"/>
      <c r="J33" s="56" t="str">
        <f ca="1">IF(AND('R. Gestión '!$AC$331="Media",'R. Gestión '!$AE$331="Leve"),CONCATENATE("R8C",'R. Gestión '!$R$331),"")</f>
        <v/>
      </c>
      <c r="K33" s="57" t="str">
        <f>IF(AND('R. Gestión '!$AC$332="Media",'R. Gestión '!$AE$332="Leve"),CONCATENATE("R8C",'R. Gestión '!$R$332),"")</f>
        <v/>
      </c>
      <c r="L33" s="57" t="str">
        <f>IF(AND('R. Gestión '!$AC$333="Media",'R. Gestión '!$AE$333="Leve"),CONCATENATE("R8C",'R. Gestión '!$R$333),"")</f>
        <v/>
      </c>
      <c r="M33" s="57" t="str">
        <f>IF(AND('R. Gestión '!$AC$334="Media",'R. Gestión '!$AE$334="Leve"),CONCATENATE("R8C",'R. Gestión '!$R$334),"")</f>
        <v/>
      </c>
      <c r="N33" s="57" t="str">
        <f>IF(AND('R. Gestión '!$AC$335="Media",'R. Gestión '!$AE$335="Leve"),CONCATENATE("R8C",'R. Gestión '!$R$335),"")</f>
        <v/>
      </c>
      <c r="O33" s="58" t="str">
        <f>IF(AND('R. Gestión '!$AC$336="Media",'R. Gestión '!$AE$336="Leve"),CONCATENATE("R8C",'R. Gestión '!$R$336),"")</f>
        <v/>
      </c>
      <c r="P33" s="56" t="str">
        <f ca="1">IF(AND('R. Gestión '!$AC$331="Media",'R. Gestión '!$AE$331="Menor"),CONCATENATE("R8C",'R. Gestión '!$R$331),"")</f>
        <v/>
      </c>
      <c r="Q33" s="57" t="str">
        <f>IF(AND('R. Gestión '!$AC$332="Media",'R. Gestión '!$AE$332="Menor"),CONCATENATE("R8C",'R. Gestión '!$R$332),"")</f>
        <v/>
      </c>
      <c r="R33" s="57" t="str">
        <f>IF(AND('R. Gestión '!$AC$333="Media",'R. Gestión '!$AE$333="Menor"),CONCATENATE("R8C",'R. Gestión '!$R$333),"")</f>
        <v/>
      </c>
      <c r="S33" s="57" t="str">
        <f>IF(AND('R. Gestión '!$AC$334="Media",'R. Gestión '!$AE$334="Menor"),CONCATENATE("R8C",'R. Gestión '!$R$334),"")</f>
        <v/>
      </c>
      <c r="T33" s="57" t="str">
        <f>IF(AND('R. Gestión '!$AC$335="Media",'R. Gestión '!$AE$335="Menor"),CONCATENATE("R8C",'R. Gestión '!$R$335),"")</f>
        <v/>
      </c>
      <c r="U33" s="58" t="str">
        <f>IF(AND('R. Gestión '!$AC$336="Media",'R. Gestión '!$AE$336="Menor"),CONCATENATE("R8C",'R. Gestión '!$R$336),"")</f>
        <v/>
      </c>
      <c r="V33" s="56" t="str">
        <f ca="1">IF(AND('R. Gestión '!$AC$331="Media",'R. Gestión '!$AE$331="Moderado"),CONCATENATE("R8C",'R. Gestión '!$R$331),"")</f>
        <v/>
      </c>
      <c r="W33" s="57" t="str">
        <f>IF(AND('R. Gestión '!$AC$332="Media",'R. Gestión '!$AE$332="Moderado"),CONCATENATE("R8C",'R. Gestión '!$R$332),"")</f>
        <v/>
      </c>
      <c r="X33" s="57" t="str">
        <f>IF(AND('R. Gestión '!$AC$333="Media",'R. Gestión '!$AE$333="Moderado"),CONCATENATE("R8C",'R. Gestión '!$R$333),"")</f>
        <v/>
      </c>
      <c r="Y33" s="57" t="str">
        <f>IF(AND('R. Gestión '!$AC$334="Media",'R. Gestión '!$AE$334="Moderado"),CONCATENATE("R8C",'R. Gestión '!$R$334),"")</f>
        <v/>
      </c>
      <c r="Z33" s="57" t="str">
        <f>IF(AND('R. Gestión '!$AC$335="Media",'R. Gestión '!$AE$335="Moderado"),CONCATENATE("R8C",'R. Gestión '!$R$335),"")</f>
        <v/>
      </c>
      <c r="AA33" s="58" t="str">
        <f>IF(AND('R. Gestión '!$AC$336="Media",'R. Gestión '!$AE$336="Moderado"),CONCATENATE("R8C",'R. Gestión '!$R$336),"")</f>
        <v/>
      </c>
      <c r="AB33" s="41" t="str">
        <f ca="1">IF(AND('R. Gestión '!$AC$331="Media",'R. Gestión '!$AE$331="Mayor"),CONCATENATE("R8C",'R. Gestión '!$R$331),"")</f>
        <v/>
      </c>
      <c r="AC33" s="42" t="str">
        <f>IF(AND('R. Gestión '!$AC$332="Media",'R. Gestión '!$AE$332="Mayor"),CONCATENATE("R8C",'R. Gestión '!$R$332),"")</f>
        <v/>
      </c>
      <c r="AD33" s="42" t="str">
        <f>IF(AND('R. Gestión '!$AC$333="Media",'R. Gestión '!$AE$333="Mayor"),CONCATENATE("R8C",'R. Gestión '!$R$333),"")</f>
        <v/>
      </c>
      <c r="AE33" s="42" t="str">
        <f>IF(AND('R. Gestión '!$AC$334="Media",'R. Gestión '!$AE$334="Mayor"),CONCATENATE("R8C",'R. Gestión '!$R$334),"")</f>
        <v/>
      </c>
      <c r="AF33" s="42" t="str">
        <f>IF(AND('R. Gestión '!$AC$335="Media",'R. Gestión '!$AE$335="Mayor"),CONCATENATE("R8C",'R. Gestión '!$R$335),"")</f>
        <v/>
      </c>
      <c r="AG33" s="43" t="str">
        <f>IF(AND('R. Gestión '!$AC$336="Media",'R. Gestión '!$AE$336="Mayor"),CONCATENATE("R8C",'R. Gestión '!$R$336),"")</f>
        <v/>
      </c>
      <c r="AH33" s="44" t="str">
        <f ca="1">IF(AND('R. Gestión '!$AC$331="Media",'R. Gestión '!$AE$331="Catastrófico"),CONCATENATE("R8C",'R. Gestión '!$R$331),"")</f>
        <v/>
      </c>
      <c r="AI33" s="45" t="str">
        <f>IF(AND('R. Gestión '!$AC$332="Media",'R. Gestión '!$AE$332="Catastrófico"),CONCATENATE("R8C",'R. Gestión '!$R$332),"")</f>
        <v/>
      </c>
      <c r="AJ33" s="45" t="str">
        <f>IF(AND('R. Gestión '!$AC$333="Media",'R. Gestión '!$AE$333="Catastrófico"),CONCATENATE("R8C",'R. Gestión '!$R$333),"")</f>
        <v/>
      </c>
      <c r="AK33" s="45" t="str">
        <f>IF(AND('R. Gestión '!$AC$334="Media",'R. Gestión '!$AE$334="Catastrófico"),CONCATENATE("R8C",'R. Gestión '!$R$334),"")</f>
        <v/>
      </c>
      <c r="AL33" s="45" t="str">
        <f>IF(AND('R. Gestión '!$AC$335="Media",'R. Gestión '!$AE$335="Catastrófico"),CONCATENATE("R8C",'R. Gestión '!$R$335),"")</f>
        <v/>
      </c>
      <c r="AM33" s="46" t="str">
        <f>IF(AND('R. Gestión '!$AC$336="Media",'R. Gestión '!$AE$336="Catastrófico"),CONCATENATE("R8C",'R. Gestión '!$R$336),"")</f>
        <v/>
      </c>
      <c r="AN33" s="72"/>
      <c r="AO33" s="723"/>
      <c r="AP33" s="724"/>
      <c r="AQ33" s="724"/>
      <c r="AR33" s="724"/>
      <c r="AS33" s="724"/>
      <c r="AT33" s="725"/>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row>
    <row r="34" spans="1:80" ht="15" customHeight="1" x14ac:dyDescent="0.25">
      <c r="A34" s="72"/>
      <c r="B34" s="642"/>
      <c r="C34" s="642"/>
      <c r="D34" s="643"/>
      <c r="E34" s="683"/>
      <c r="F34" s="684"/>
      <c r="G34" s="684"/>
      <c r="H34" s="684"/>
      <c r="I34" s="685"/>
      <c r="J34" s="56" t="e">
        <f>IF(AND('R. Gestión '!#REF!="Media",'R. Gestión '!#REF!="Leve"),CONCATENATE("R9C",'R. Gestión '!#REF!),"")</f>
        <v>#REF!</v>
      </c>
      <c r="K34" s="57" t="e">
        <f>IF(AND('R. Gestión '!#REF!="Media",'R. Gestión '!#REF!="Leve"),CONCATENATE("R9C",'R. Gestión '!#REF!),"")</f>
        <v>#REF!</v>
      </c>
      <c r="L34" s="57" t="e">
        <f>IF(AND('R. Gestión '!#REF!="Media",'R. Gestión '!#REF!="Leve"),CONCATENATE("R9C",'R. Gestión '!#REF!),"")</f>
        <v>#REF!</v>
      </c>
      <c r="M34" s="57" t="e">
        <f>IF(AND('R. Gestión '!#REF!="Media",'R. Gestión '!#REF!="Leve"),CONCATENATE("R9C",'R. Gestión '!#REF!),"")</f>
        <v>#REF!</v>
      </c>
      <c r="N34" s="57" t="e">
        <f>IF(AND('R. Gestión '!#REF!="Media",'R. Gestión '!#REF!="Leve"),CONCATENATE("R9C",'R. Gestión '!#REF!),"")</f>
        <v>#REF!</v>
      </c>
      <c r="O34" s="58" t="e">
        <f>IF(AND('R. Gestión '!#REF!="Media",'R. Gestión '!#REF!="Leve"),CONCATENATE("R9C",'R. Gestión '!#REF!),"")</f>
        <v>#REF!</v>
      </c>
      <c r="P34" s="56" t="e">
        <f>IF(AND('R. Gestión '!#REF!="Media",'R. Gestión '!#REF!="Menor"),CONCATENATE("R9C",'R. Gestión '!#REF!),"")</f>
        <v>#REF!</v>
      </c>
      <c r="Q34" s="57" t="e">
        <f>IF(AND('R. Gestión '!#REF!="Media",'R. Gestión '!#REF!="Menor"),CONCATENATE("R9C",'R. Gestión '!#REF!),"")</f>
        <v>#REF!</v>
      </c>
      <c r="R34" s="57" t="e">
        <f>IF(AND('R. Gestión '!#REF!="Media",'R. Gestión '!#REF!="Menor"),CONCATENATE("R9C",'R. Gestión '!#REF!),"")</f>
        <v>#REF!</v>
      </c>
      <c r="S34" s="57" t="e">
        <f>IF(AND('R. Gestión '!#REF!="Media",'R. Gestión '!#REF!="Menor"),CONCATENATE("R9C",'R. Gestión '!#REF!),"")</f>
        <v>#REF!</v>
      </c>
      <c r="T34" s="57" t="e">
        <f>IF(AND('R. Gestión '!#REF!="Media",'R. Gestión '!#REF!="Menor"),CONCATENATE("R9C",'R. Gestión '!#REF!),"")</f>
        <v>#REF!</v>
      </c>
      <c r="U34" s="58" t="e">
        <f>IF(AND('R. Gestión '!#REF!="Media",'R. Gestión '!#REF!="Menor"),CONCATENATE("R9C",'R. Gestión '!#REF!),"")</f>
        <v>#REF!</v>
      </c>
      <c r="V34" s="56" t="e">
        <f>IF(AND('R. Gestión '!#REF!="Media",'R. Gestión '!#REF!="Moderado"),CONCATENATE("R9C",'R. Gestión '!#REF!),"")</f>
        <v>#REF!</v>
      </c>
      <c r="W34" s="57" t="e">
        <f>IF(AND('R. Gestión '!#REF!="Media",'R. Gestión '!#REF!="Moderado"),CONCATENATE("R9C",'R. Gestión '!#REF!),"")</f>
        <v>#REF!</v>
      </c>
      <c r="X34" s="57" t="e">
        <f>IF(AND('R. Gestión '!#REF!="Media",'R. Gestión '!#REF!="Moderado"),CONCATENATE("R9C",'R. Gestión '!#REF!),"")</f>
        <v>#REF!</v>
      </c>
      <c r="Y34" s="57" t="e">
        <f>IF(AND('R. Gestión '!#REF!="Media",'R. Gestión '!#REF!="Moderado"),CONCATENATE("R9C",'R. Gestión '!#REF!),"")</f>
        <v>#REF!</v>
      </c>
      <c r="Z34" s="57" t="e">
        <f>IF(AND('R. Gestión '!#REF!="Media",'R. Gestión '!#REF!="Moderado"),CONCATENATE("R9C",'R. Gestión '!#REF!),"")</f>
        <v>#REF!</v>
      </c>
      <c r="AA34" s="58" t="e">
        <f>IF(AND('R. Gestión '!#REF!="Media",'R. Gestión '!#REF!="Moderado"),CONCATENATE("R9C",'R. Gestión '!#REF!),"")</f>
        <v>#REF!</v>
      </c>
      <c r="AB34" s="41" t="e">
        <f>IF(AND('R. Gestión '!#REF!="Media",'R. Gestión '!#REF!="Mayor"),CONCATENATE("R9C",'R. Gestión '!#REF!),"")</f>
        <v>#REF!</v>
      </c>
      <c r="AC34" s="42" t="e">
        <f>IF(AND('R. Gestión '!#REF!="Media",'R. Gestión '!#REF!="Mayor"),CONCATENATE("R9C",'R. Gestión '!#REF!),"")</f>
        <v>#REF!</v>
      </c>
      <c r="AD34" s="42" t="e">
        <f>IF(AND('R. Gestión '!#REF!="Media",'R. Gestión '!#REF!="Mayor"),CONCATENATE("R9C",'R. Gestión '!#REF!),"")</f>
        <v>#REF!</v>
      </c>
      <c r="AE34" s="42" t="e">
        <f>IF(AND('R. Gestión '!#REF!="Media",'R. Gestión '!#REF!="Mayor"),CONCATENATE("R9C",'R. Gestión '!#REF!),"")</f>
        <v>#REF!</v>
      </c>
      <c r="AF34" s="42" t="e">
        <f>IF(AND('R. Gestión '!#REF!="Media",'R. Gestión '!#REF!="Mayor"),CONCATENATE("R9C",'R. Gestión '!#REF!),"")</f>
        <v>#REF!</v>
      </c>
      <c r="AG34" s="43" t="e">
        <f>IF(AND('R. Gestión '!#REF!="Media",'R. Gestión '!#REF!="Mayor"),CONCATENATE("R9C",'R. Gestión '!#REF!),"")</f>
        <v>#REF!</v>
      </c>
      <c r="AH34" s="44" t="e">
        <f>IF(AND('R. Gestión '!#REF!="Media",'R. Gestión '!#REF!="Catastrófico"),CONCATENATE("R9C",'R. Gestión '!#REF!),"")</f>
        <v>#REF!</v>
      </c>
      <c r="AI34" s="45" t="e">
        <f>IF(AND('R. Gestión '!#REF!="Media",'R. Gestión '!#REF!="Catastrófico"),CONCATENATE("R9C",'R. Gestión '!#REF!),"")</f>
        <v>#REF!</v>
      </c>
      <c r="AJ34" s="45" t="e">
        <f>IF(AND('R. Gestión '!#REF!="Media",'R. Gestión '!#REF!="Catastrófico"),CONCATENATE("R9C",'R. Gestión '!#REF!),"")</f>
        <v>#REF!</v>
      </c>
      <c r="AK34" s="45" t="e">
        <f>IF(AND('R. Gestión '!#REF!="Media",'R. Gestión '!#REF!="Catastrófico"),CONCATENATE("R9C",'R. Gestión '!#REF!),"")</f>
        <v>#REF!</v>
      </c>
      <c r="AL34" s="45" t="e">
        <f>IF(AND('R. Gestión '!#REF!="Media",'R. Gestión '!#REF!="Catastrófico"),CONCATENATE("R9C",'R. Gestión '!#REF!),"")</f>
        <v>#REF!</v>
      </c>
      <c r="AM34" s="46" t="e">
        <f>IF(AND('R. Gestión '!#REF!="Media",'R. Gestión '!#REF!="Catastrófico"),CONCATENATE("R9C",'R. Gestión '!#REF!),"")</f>
        <v>#REF!</v>
      </c>
      <c r="AN34" s="72"/>
      <c r="AO34" s="723"/>
      <c r="AP34" s="724"/>
      <c r="AQ34" s="724"/>
      <c r="AR34" s="724"/>
      <c r="AS34" s="724"/>
      <c r="AT34" s="725"/>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row>
    <row r="35" spans="1:80" ht="15.75" customHeight="1" thickBot="1" x14ac:dyDescent="0.3">
      <c r="A35" s="72"/>
      <c r="B35" s="642"/>
      <c r="C35" s="642"/>
      <c r="D35" s="643"/>
      <c r="E35" s="686"/>
      <c r="F35" s="687"/>
      <c r="G35" s="687"/>
      <c r="H35" s="687"/>
      <c r="I35" s="688"/>
      <c r="J35" s="56" t="e">
        <f>IF(AND('R. Gestión '!#REF!="Media",'R. Gestión '!#REF!="Leve"),CONCATENATE("R10C",'R. Gestión '!#REF!),"")</f>
        <v>#REF!</v>
      </c>
      <c r="K35" s="57" t="e">
        <f>IF(AND('R. Gestión '!#REF!="Media",'R. Gestión '!#REF!="Leve"),CONCATENATE("R10C",'R. Gestión '!#REF!),"")</f>
        <v>#REF!</v>
      </c>
      <c r="L35" s="57" t="e">
        <f>IF(AND('R. Gestión '!#REF!="Media",'R. Gestión '!#REF!="Leve"),CONCATENATE("R10C",'R. Gestión '!#REF!),"")</f>
        <v>#REF!</v>
      </c>
      <c r="M35" s="57" t="e">
        <f>IF(AND('R. Gestión '!#REF!="Media",'R. Gestión '!#REF!="Leve"),CONCATENATE("R10C",'R. Gestión '!#REF!),"")</f>
        <v>#REF!</v>
      </c>
      <c r="N35" s="57" t="e">
        <f>IF(AND('R. Gestión '!#REF!="Media",'R. Gestión '!#REF!="Leve"),CONCATENATE("R10C",'R. Gestión '!#REF!),"")</f>
        <v>#REF!</v>
      </c>
      <c r="O35" s="58" t="e">
        <f>IF(AND('R. Gestión '!#REF!="Media",'R. Gestión '!#REF!="Leve"),CONCATENATE("R10C",'R. Gestión '!#REF!),"")</f>
        <v>#REF!</v>
      </c>
      <c r="P35" s="56" t="e">
        <f>IF(AND('R. Gestión '!#REF!="Media",'R. Gestión '!#REF!="Menor"),CONCATENATE("R10C",'R. Gestión '!#REF!),"")</f>
        <v>#REF!</v>
      </c>
      <c r="Q35" s="57" t="e">
        <f>IF(AND('R. Gestión '!#REF!="Media",'R. Gestión '!#REF!="Menor"),CONCATENATE("R10C",'R. Gestión '!#REF!),"")</f>
        <v>#REF!</v>
      </c>
      <c r="R35" s="57" t="e">
        <f>IF(AND('R. Gestión '!#REF!="Media",'R. Gestión '!#REF!="Menor"),CONCATENATE("R10C",'R. Gestión '!#REF!),"")</f>
        <v>#REF!</v>
      </c>
      <c r="S35" s="57" t="e">
        <f>IF(AND('R. Gestión '!#REF!="Media",'R. Gestión '!#REF!="Menor"),CONCATENATE("R10C",'R. Gestión '!#REF!),"")</f>
        <v>#REF!</v>
      </c>
      <c r="T35" s="57" t="e">
        <f>IF(AND('R. Gestión '!#REF!="Media",'R. Gestión '!#REF!="Menor"),CONCATENATE("R10C",'R. Gestión '!#REF!),"")</f>
        <v>#REF!</v>
      </c>
      <c r="U35" s="58" t="e">
        <f>IF(AND('R. Gestión '!#REF!="Media",'R. Gestión '!#REF!="Menor"),CONCATENATE("R10C",'R. Gestión '!#REF!),"")</f>
        <v>#REF!</v>
      </c>
      <c r="V35" s="56" t="e">
        <f>IF(AND('R. Gestión '!#REF!="Media",'R. Gestión '!#REF!="Moderado"),CONCATENATE("R10C",'R. Gestión '!#REF!),"")</f>
        <v>#REF!</v>
      </c>
      <c r="W35" s="57" t="e">
        <f>IF(AND('R. Gestión '!#REF!="Media",'R. Gestión '!#REF!="Moderado"),CONCATENATE("R10C",'R. Gestión '!#REF!),"")</f>
        <v>#REF!</v>
      </c>
      <c r="X35" s="57" t="e">
        <f>IF(AND('R. Gestión '!#REF!="Media",'R. Gestión '!#REF!="Moderado"),CONCATENATE("R10C",'R. Gestión '!#REF!),"")</f>
        <v>#REF!</v>
      </c>
      <c r="Y35" s="57" t="e">
        <f>IF(AND('R. Gestión '!#REF!="Media",'R. Gestión '!#REF!="Moderado"),CONCATENATE("R10C",'R. Gestión '!#REF!),"")</f>
        <v>#REF!</v>
      </c>
      <c r="Z35" s="57" t="e">
        <f>IF(AND('R. Gestión '!#REF!="Media",'R. Gestión '!#REF!="Moderado"),CONCATENATE("R10C",'R. Gestión '!#REF!),"")</f>
        <v>#REF!</v>
      </c>
      <c r="AA35" s="58" t="e">
        <f>IF(AND('R. Gestión '!#REF!="Media",'R. Gestión '!#REF!="Moderado"),CONCATENATE("R10C",'R. Gestión '!#REF!),"")</f>
        <v>#REF!</v>
      </c>
      <c r="AB35" s="47" t="e">
        <f>IF(AND('R. Gestión '!#REF!="Media",'R. Gestión '!#REF!="Mayor"),CONCATENATE("R10C",'R. Gestión '!#REF!),"")</f>
        <v>#REF!</v>
      </c>
      <c r="AC35" s="48" t="e">
        <f>IF(AND('R. Gestión '!#REF!="Media",'R. Gestión '!#REF!="Mayor"),CONCATENATE("R10C",'R. Gestión '!#REF!),"")</f>
        <v>#REF!</v>
      </c>
      <c r="AD35" s="48" t="e">
        <f>IF(AND('R. Gestión '!#REF!="Media",'R. Gestión '!#REF!="Mayor"),CONCATENATE("R10C",'R. Gestión '!#REF!),"")</f>
        <v>#REF!</v>
      </c>
      <c r="AE35" s="48" t="e">
        <f>IF(AND('R. Gestión '!#REF!="Media",'R. Gestión '!#REF!="Mayor"),CONCATENATE("R10C",'R. Gestión '!#REF!),"")</f>
        <v>#REF!</v>
      </c>
      <c r="AF35" s="48" t="e">
        <f>IF(AND('R. Gestión '!#REF!="Media",'R. Gestión '!#REF!="Mayor"),CONCATENATE("R10C",'R. Gestión '!#REF!),"")</f>
        <v>#REF!</v>
      </c>
      <c r="AG35" s="49" t="e">
        <f>IF(AND('R. Gestión '!#REF!="Media",'R. Gestión '!#REF!="Mayor"),CONCATENATE("R10C",'R. Gestión '!#REF!),"")</f>
        <v>#REF!</v>
      </c>
      <c r="AH35" s="50" t="e">
        <f>IF(AND('R. Gestión '!#REF!="Media",'R. Gestión '!#REF!="Catastrófico"),CONCATENATE("R10C",'R. Gestión '!#REF!),"")</f>
        <v>#REF!</v>
      </c>
      <c r="AI35" s="51" t="e">
        <f>IF(AND('R. Gestión '!#REF!="Media",'R. Gestión '!#REF!="Catastrófico"),CONCATENATE("R10C",'R. Gestión '!#REF!),"")</f>
        <v>#REF!</v>
      </c>
      <c r="AJ35" s="51" t="e">
        <f>IF(AND('R. Gestión '!#REF!="Media",'R. Gestión '!#REF!="Catastrófico"),CONCATENATE("R10C",'R. Gestión '!#REF!),"")</f>
        <v>#REF!</v>
      </c>
      <c r="AK35" s="51" t="e">
        <f>IF(AND('R. Gestión '!#REF!="Media",'R. Gestión '!#REF!="Catastrófico"),CONCATENATE("R10C",'R. Gestión '!#REF!),"")</f>
        <v>#REF!</v>
      </c>
      <c r="AL35" s="51" t="e">
        <f>IF(AND('R. Gestión '!#REF!="Media",'R. Gestión '!#REF!="Catastrófico"),CONCATENATE("R10C",'R. Gestión '!#REF!),"")</f>
        <v>#REF!</v>
      </c>
      <c r="AM35" s="52" t="e">
        <f>IF(AND('R. Gestión '!#REF!="Media",'R. Gestión '!#REF!="Catastrófico"),CONCATENATE("R10C",'R. Gestión '!#REF!),"")</f>
        <v>#REF!</v>
      </c>
      <c r="AN35" s="72"/>
      <c r="AO35" s="726"/>
      <c r="AP35" s="727"/>
      <c r="AQ35" s="727"/>
      <c r="AR35" s="727"/>
      <c r="AS35" s="727"/>
      <c r="AT35" s="728"/>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row>
    <row r="36" spans="1:80" ht="15" customHeight="1" x14ac:dyDescent="0.25">
      <c r="A36" s="72"/>
      <c r="B36" s="642"/>
      <c r="C36" s="642"/>
      <c r="D36" s="643"/>
      <c r="E36" s="680" t="s">
        <v>98</v>
      </c>
      <c r="F36" s="681"/>
      <c r="G36" s="681"/>
      <c r="H36" s="681"/>
      <c r="I36" s="681"/>
      <c r="J36" s="62" t="e">
        <f>IF(AND('R. Gestión '!#REF!="Baja",'R. Gestión '!#REF!="Leve"),CONCATENATE("R1C",'R. Gestión '!#REF!),"")</f>
        <v>#REF!</v>
      </c>
      <c r="K36" s="63" t="e">
        <f>IF(AND('R. Gestión '!#REF!="Baja",'R. Gestión '!#REF!="Leve"),CONCATENATE("R1C",'R. Gestión '!#REF!),"")</f>
        <v>#REF!</v>
      </c>
      <c r="L36" s="63" t="e">
        <f>IF(AND('R. Gestión '!#REF!="Baja",'R. Gestión '!#REF!="Leve"),CONCATENATE("R1C",'R. Gestión '!#REF!),"")</f>
        <v>#REF!</v>
      </c>
      <c r="M36" s="63" t="e">
        <f>IF(AND('R. Gestión '!#REF!="Baja",'R. Gestión '!#REF!="Leve"),CONCATENATE("R1C",'R. Gestión '!#REF!),"")</f>
        <v>#REF!</v>
      </c>
      <c r="N36" s="63" t="e">
        <f>IF(AND('R. Gestión '!#REF!="Baja",'R. Gestión '!#REF!="Leve"),CONCATENATE("R1C",'R. Gestión '!#REF!),"")</f>
        <v>#REF!</v>
      </c>
      <c r="O36" s="64" t="e">
        <f>IF(AND('R. Gestión '!#REF!="Baja",'R. Gestión '!#REF!="Leve"),CONCATENATE("R1C",'R. Gestión '!#REF!),"")</f>
        <v>#REF!</v>
      </c>
      <c r="P36" s="53" t="e">
        <f>IF(AND('R. Gestión '!#REF!="Baja",'R. Gestión '!#REF!="Menor"),CONCATENATE("R1C",'R. Gestión '!#REF!),"")</f>
        <v>#REF!</v>
      </c>
      <c r="Q36" s="54" t="e">
        <f>IF(AND('R. Gestión '!#REF!="Baja",'R. Gestión '!#REF!="Menor"),CONCATENATE("R1C",'R. Gestión '!#REF!),"")</f>
        <v>#REF!</v>
      </c>
      <c r="R36" s="54" t="e">
        <f>IF(AND('R. Gestión '!#REF!="Baja",'R. Gestión '!#REF!="Menor"),CONCATENATE("R1C",'R. Gestión '!#REF!),"")</f>
        <v>#REF!</v>
      </c>
      <c r="S36" s="54" t="e">
        <f>IF(AND('R. Gestión '!#REF!="Baja",'R. Gestión '!#REF!="Menor"),CONCATENATE("R1C",'R. Gestión '!#REF!),"")</f>
        <v>#REF!</v>
      </c>
      <c r="T36" s="54" t="e">
        <f>IF(AND('R. Gestión '!#REF!="Baja",'R. Gestión '!#REF!="Menor"),CONCATENATE("R1C",'R. Gestión '!#REF!),"")</f>
        <v>#REF!</v>
      </c>
      <c r="U36" s="55" t="e">
        <f>IF(AND('R. Gestión '!#REF!="Baja",'R. Gestión '!#REF!="Menor"),CONCATENATE("R1C",'R. Gestión '!#REF!),"")</f>
        <v>#REF!</v>
      </c>
      <c r="V36" s="53" t="e">
        <f>IF(AND('R. Gestión '!#REF!="Baja",'R. Gestión '!#REF!="Moderado"),CONCATENATE("R1C",'R. Gestión '!#REF!),"")</f>
        <v>#REF!</v>
      </c>
      <c r="W36" s="54" t="e">
        <f>IF(AND('R. Gestión '!#REF!="Baja",'R. Gestión '!#REF!="Moderado"),CONCATENATE("R1C",'R. Gestión '!#REF!),"")</f>
        <v>#REF!</v>
      </c>
      <c r="X36" s="54" t="e">
        <f>IF(AND('R. Gestión '!#REF!="Baja",'R. Gestión '!#REF!="Moderado"),CONCATENATE("R1C",'R. Gestión '!#REF!),"")</f>
        <v>#REF!</v>
      </c>
      <c r="Y36" s="54" t="e">
        <f>IF(AND('R. Gestión '!#REF!="Baja",'R. Gestión '!#REF!="Moderado"),CONCATENATE("R1C",'R. Gestión '!#REF!),"")</f>
        <v>#REF!</v>
      </c>
      <c r="Z36" s="54" t="e">
        <f>IF(AND('R. Gestión '!#REF!="Baja",'R. Gestión '!#REF!="Moderado"),CONCATENATE("R1C",'R. Gestión '!#REF!),"")</f>
        <v>#REF!</v>
      </c>
      <c r="AA36" s="55" t="e">
        <f>IF(AND('R. Gestión '!#REF!="Baja",'R. Gestión '!#REF!="Moderado"),CONCATENATE("R1C",'R. Gestión '!#REF!),"")</f>
        <v>#REF!</v>
      </c>
      <c r="AB36" s="35" t="e">
        <f>IF(AND('R. Gestión '!#REF!="Baja",'R. Gestión '!#REF!="Mayor"),CONCATENATE("R1C",'R. Gestión '!#REF!),"")</f>
        <v>#REF!</v>
      </c>
      <c r="AC36" s="36" t="e">
        <f>IF(AND('R. Gestión '!#REF!="Baja",'R. Gestión '!#REF!="Mayor"),CONCATENATE("R1C",'R. Gestión '!#REF!),"")</f>
        <v>#REF!</v>
      </c>
      <c r="AD36" s="36" t="e">
        <f>IF(AND('R. Gestión '!#REF!="Baja",'R. Gestión '!#REF!="Mayor"),CONCATENATE("R1C",'R. Gestión '!#REF!),"")</f>
        <v>#REF!</v>
      </c>
      <c r="AE36" s="36" t="e">
        <f>IF(AND('R. Gestión '!#REF!="Baja",'R. Gestión '!#REF!="Mayor"),CONCATENATE("R1C",'R. Gestión '!#REF!),"")</f>
        <v>#REF!</v>
      </c>
      <c r="AF36" s="36" t="e">
        <f>IF(AND('R. Gestión '!#REF!="Baja",'R. Gestión '!#REF!="Mayor"),CONCATENATE("R1C",'R. Gestión '!#REF!),"")</f>
        <v>#REF!</v>
      </c>
      <c r="AG36" s="37" t="e">
        <f>IF(AND('R. Gestión '!#REF!="Baja",'R. Gestión '!#REF!="Mayor"),CONCATENATE("R1C",'R. Gestión '!#REF!),"")</f>
        <v>#REF!</v>
      </c>
      <c r="AH36" s="38" t="e">
        <f>IF(AND('R. Gestión '!#REF!="Baja",'R. Gestión '!#REF!="Catastrófico"),CONCATENATE("R1C",'R. Gestión '!#REF!),"")</f>
        <v>#REF!</v>
      </c>
      <c r="AI36" s="39" t="e">
        <f>IF(AND('R. Gestión '!#REF!="Baja",'R. Gestión '!#REF!="Catastrófico"),CONCATENATE("R1C",'R. Gestión '!#REF!),"")</f>
        <v>#REF!</v>
      </c>
      <c r="AJ36" s="39" t="e">
        <f>IF(AND('R. Gestión '!#REF!="Baja",'R. Gestión '!#REF!="Catastrófico"),CONCATENATE("R1C",'R. Gestión '!#REF!),"")</f>
        <v>#REF!</v>
      </c>
      <c r="AK36" s="39" t="e">
        <f>IF(AND('R. Gestión '!#REF!="Baja",'R. Gestión '!#REF!="Catastrófico"),CONCATENATE("R1C",'R. Gestión '!#REF!),"")</f>
        <v>#REF!</v>
      </c>
      <c r="AL36" s="39" t="e">
        <f>IF(AND('R. Gestión '!#REF!="Baja",'R. Gestión '!#REF!="Catastrófico"),CONCATENATE("R1C",'R. Gestión '!#REF!),"")</f>
        <v>#REF!</v>
      </c>
      <c r="AM36" s="40" t="e">
        <f>IF(AND('R. Gestión '!#REF!="Baja",'R. Gestión '!#REF!="Catastrófico"),CONCATENATE("R1C",'R. Gestión '!#REF!),"")</f>
        <v>#REF!</v>
      </c>
      <c r="AN36" s="72"/>
      <c r="AO36" s="711" t="s">
        <v>68</v>
      </c>
      <c r="AP36" s="712"/>
      <c r="AQ36" s="712"/>
      <c r="AR36" s="712"/>
      <c r="AS36" s="712"/>
      <c r="AT36" s="713"/>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row>
    <row r="37" spans="1:80" ht="15" customHeight="1" x14ac:dyDescent="0.25">
      <c r="A37" s="72"/>
      <c r="B37" s="642"/>
      <c r="C37" s="642"/>
      <c r="D37" s="643"/>
      <c r="E37" s="699"/>
      <c r="F37" s="684"/>
      <c r="G37" s="684"/>
      <c r="H37" s="684"/>
      <c r="I37" s="684"/>
      <c r="J37" s="65" t="str">
        <f ca="1">IF(AND('R. Gestión '!$AC$31="Baja",'R. Gestión '!$AE$31="Leve"),CONCATENATE("R2C",'R. Gestión '!$R$31),"")</f>
        <v/>
      </c>
      <c r="K37" s="66" t="str">
        <f ca="1">IF(AND('R. Gestión '!$AC$32="Baja",'R. Gestión '!$AE$32="Leve"),CONCATENATE("R2C",'R. Gestión '!$R$32),"")</f>
        <v/>
      </c>
      <c r="L37" s="66" t="str">
        <f ca="1">IF(AND('R. Gestión '!$AC$33="Baja",'R. Gestión '!$AE$33="Leve"),CONCATENATE("R2C",'R. Gestión '!$R$33),"")</f>
        <v/>
      </c>
      <c r="M37" s="66" t="str">
        <f>IF(AND('R. Gestión '!$AC$34="Baja",'R. Gestión '!$AE$34="Leve"),CONCATENATE("R2C",'R. Gestión '!$R$34),"")</f>
        <v/>
      </c>
      <c r="N37" s="66" t="str">
        <f>IF(AND('R. Gestión '!$AC$35="Baja",'R. Gestión '!$AE$35="Leve"),CONCATENATE("R2C",'R. Gestión '!$R$35),"")</f>
        <v/>
      </c>
      <c r="O37" s="67" t="str">
        <f>IF(AND('R. Gestión '!$AC$36="Baja",'R. Gestión '!$AE$36="Leve"),CONCATENATE("R2C",'R. Gestión '!$R$36),"")</f>
        <v/>
      </c>
      <c r="P37" s="56" t="str">
        <f ca="1">IF(AND('R. Gestión '!$AC$31="Baja",'R. Gestión '!$AE$31="Menor"),CONCATENATE("R2C",'R. Gestión '!$R$31),"")</f>
        <v/>
      </c>
      <c r="Q37" s="57" t="str">
        <f ca="1">IF(AND('R. Gestión '!$AC$32="Baja",'R. Gestión '!$AE$32="Menor"),CONCATENATE("R2C",'R. Gestión '!$R$32),"")</f>
        <v/>
      </c>
      <c r="R37" s="57" t="str">
        <f ca="1">IF(AND('R. Gestión '!$AC$33="Baja",'R. Gestión '!$AE$33="Menor"),CONCATENATE("R2C",'R. Gestión '!$R$33),"")</f>
        <v/>
      </c>
      <c r="S37" s="57" t="str">
        <f>IF(AND('R. Gestión '!$AC$34="Baja",'R. Gestión '!$AE$34="Menor"),CONCATENATE("R2C",'R. Gestión '!$R$34),"")</f>
        <v/>
      </c>
      <c r="T37" s="57" t="str">
        <f>IF(AND('R. Gestión '!$AC$35="Baja",'R. Gestión '!$AE$35="Menor"),CONCATENATE("R2C",'R. Gestión '!$R$35),"")</f>
        <v/>
      </c>
      <c r="U37" s="58" t="str">
        <f>IF(AND('R. Gestión '!$AC$36="Baja",'R. Gestión '!$AE$36="Menor"),CONCATENATE("R2C",'R. Gestión '!$R$36),"")</f>
        <v/>
      </c>
      <c r="V37" s="56" t="str">
        <f ca="1">IF(AND('R. Gestión '!$AC$31="Baja",'R. Gestión '!$AE$31="Moderado"),CONCATENATE("R2C",'R. Gestión '!$R$31),"")</f>
        <v>R2C1</v>
      </c>
      <c r="W37" s="57" t="str">
        <f ca="1">IF(AND('R. Gestión '!$AC$32="Baja",'R. Gestión '!$AE$32="Moderado"),CONCATENATE("R2C",'R. Gestión '!$R$32),"")</f>
        <v>R2C2</v>
      </c>
      <c r="X37" s="57" t="str">
        <f ca="1">IF(AND('R. Gestión '!$AC$33="Baja",'R. Gestión '!$AE$33="Moderado"),CONCATENATE("R2C",'R. Gestión '!$R$33),"")</f>
        <v/>
      </c>
      <c r="Y37" s="57" t="str">
        <f>IF(AND('R. Gestión '!$AC$34="Baja",'R. Gestión '!$AE$34="Moderado"),CONCATENATE("R2C",'R. Gestión '!$R$34),"")</f>
        <v/>
      </c>
      <c r="Z37" s="57" t="str">
        <f>IF(AND('R. Gestión '!$AC$35="Baja",'R. Gestión '!$AE$35="Moderado"),CONCATENATE("R2C",'R. Gestión '!$R$35),"")</f>
        <v/>
      </c>
      <c r="AA37" s="58" t="str">
        <f>IF(AND('R. Gestión '!$AC$36="Baja",'R. Gestión '!$AE$36="Moderado"),CONCATENATE("R2C",'R. Gestión '!$R$36),"")</f>
        <v/>
      </c>
      <c r="AB37" s="41" t="str">
        <f ca="1">IF(AND('R. Gestión '!$AC$31="Baja",'R. Gestión '!$AE$31="Mayor"),CONCATENATE("R2C",'R. Gestión '!$R$31),"")</f>
        <v/>
      </c>
      <c r="AC37" s="42" t="str">
        <f ca="1">IF(AND('R. Gestión '!$AC$32="Baja",'R. Gestión '!$AE$32="Mayor"),CONCATENATE("R2C",'R. Gestión '!$R$32),"")</f>
        <v/>
      </c>
      <c r="AD37" s="42" t="str">
        <f ca="1">IF(AND('R. Gestión '!$AC$33="Baja",'R. Gestión '!$AE$33="Mayor"),CONCATENATE("R2C",'R. Gestión '!$R$33),"")</f>
        <v/>
      </c>
      <c r="AE37" s="42" t="str">
        <f>IF(AND('R. Gestión '!$AC$34="Baja",'R. Gestión '!$AE$34="Mayor"),CONCATENATE("R2C",'R. Gestión '!$R$34),"")</f>
        <v/>
      </c>
      <c r="AF37" s="42" t="str">
        <f>IF(AND('R. Gestión '!$AC$35="Baja",'R. Gestión '!$AE$35="Mayor"),CONCATENATE("R2C",'R. Gestión '!$R$35),"")</f>
        <v/>
      </c>
      <c r="AG37" s="43" t="str">
        <f>IF(AND('R. Gestión '!$AC$36="Baja",'R. Gestión '!$AE$36="Mayor"),CONCATENATE("R2C",'R. Gestión '!$R$36),"")</f>
        <v/>
      </c>
      <c r="AH37" s="44" t="str">
        <f ca="1">IF(AND('R. Gestión '!$AC$31="Baja",'R. Gestión '!$AE$31="Catastrófico"),CONCATENATE("R2C",'R. Gestión '!$R$31),"")</f>
        <v/>
      </c>
      <c r="AI37" s="45" t="str">
        <f ca="1">IF(AND('R. Gestión '!$AC$32="Baja",'R. Gestión '!$AE$32="Catastrófico"),CONCATENATE("R2C",'R. Gestión '!$R$32),"")</f>
        <v/>
      </c>
      <c r="AJ37" s="45" t="str">
        <f ca="1">IF(AND('R. Gestión '!$AC$33="Baja",'R. Gestión '!$AE$33="Catastrófico"),CONCATENATE("R2C",'R. Gestión '!$R$33),"")</f>
        <v/>
      </c>
      <c r="AK37" s="45" t="str">
        <f>IF(AND('R. Gestión '!$AC$34="Baja",'R. Gestión '!$AE$34="Catastrófico"),CONCATENATE("R2C",'R. Gestión '!$R$34),"")</f>
        <v/>
      </c>
      <c r="AL37" s="45" t="str">
        <f>IF(AND('R. Gestión '!$AC$35="Baja",'R. Gestión '!$AE$35="Catastrófico"),CONCATENATE("R2C",'R. Gestión '!$R$35),"")</f>
        <v/>
      </c>
      <c r="AM37" s="46" t="str">
        <f>IF(AND('R. Gestión '!$AC$36="Baja",'R. Gestión '!$AE$36="Catastrófico"),CONCATENATE("R2C",'R. Gestión '!$R$36),"")</f>
        <v/>
      </c>
      <c r="AN37" s="72"/>
      <c r="AO37" s="714"/>
      <c r="AP37" s="715"/>
      <c r="AQ37" s="715"/>
      <c r="AR37" s="715"/>
      <c r="AS37" s="715"/>
      <c r="AT37" s="716"/>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row>
    <row r="38" spans="1:80" ht="15" customHeight="1" x14ac:dyDescent="0.25">
      <c r="A38" s="72"/>
      <c r="B38" s="642"/>
      <c r="C38" s="642"/>
      <c r="D38" s="643"/>
      <c r="E38" s="683"/>
      <c r="F38" s="684"/>
      <c r="G38" s="684"/>
      <c r="H38" s="684"/>
      <c r="I38" s="684"/>
      <c r="J38" s="65" t="e">
        <f>IF(AND('R. Gestión '!#REF!="Baja",'R. Gestión '!#REF!="Leve"),CONCATENATE("R3C",'R. Gestión '!#REF!),"")</f>
        <v>#REF!</v>
      </c>
      <c r="K38" s="66" t="e">
        <f>IF(AND('R. Gestión '!#REF!="Baja",'R. Gestión '!#REF!="Leve"),CONCATENATE("R3C",'R. Gestión '!#REF!),"")</f>
        <v>#REF!</v>
      </c>
      <c r="L38" s="66" t="e">
        <f>IF(AND('R. Gestión '!#REF!="Baja",'R. Gestión '!#REF!="Leve"),CONCATENATE("R3C",'R. Gestión '!#REF!),"")</f>
        <v>#REF!</v>
      </c>
      <c r="M38" s="66" t="e">
        <f>IF(AND('R. Gestión '!#REF!="Baja",'R. Gestión '!#REF!="Leve"),CONCATENATE("R3C",'R. Gestión '!#REF!),"")</f>
        <v>#REF!</v>
      </c>
      <c r="N38" s="66" t="e">
        <f>IF(AND('R. Gestión '!#REF!="Baja",'R. Gestión '!#REF!="Leve"),CONCATENATE("R3C",'R. Gestión '!#REF!),"")</f>
        <v>#REF!</v>
      </c>
      <c r="O38" s="67" t="e">
        <f>IF(AND('R. Gestión '!#REF!="Baja",'R. Gestión '!#REF!="Leve"),CONCATENATE("R3C",'R. Gestión '!#REF!),"")</f>
        <v>#REF!</v>
      </c>
      <c r="P38" s="56" t="e">
        <f>IF(AND('R. Gestión '!#REF!="Baja",'R. Gestión '!#REF!="Menor"),CONCATENATE("R3C",'R. Gestión '!#REF!),"")</f>
        <v>#REF!</v>
      </c>
      <c r="Q38" s="57" t="e">
        <f>IF(AND('R. Gestión '!#REF!="Baja",'R. Gestión '!#REF!="Menor"),CONCATENATE("R3C",'R. Gestión '!#REF!),"")</f>
        <v>#REF!</v>
      </c>
      <c r="R38" s="57" t="e">
        <f>IF(AND('R. Gestión '!#REF!="Baja",'R. Gestión '!#REF!="Menor"),CONCATENATE("R3C",'R. Gestión '!#REF!),"")</f>
        <v>#REF!</v>
      </c>
      <c r="S38" s="57" t="e">
        <f>IF(AND('R. Gestión '!#REF!="Baja",'R. Gestión '!#REF!="Menor"),CONCATENATE("R3C",'R. Gestión '!#REF!),"")</f>
        <v>#REF!</v>
      </c>
      <c r="T38" s="57" t="e">
        <f>IF(AND('R. Gestión '!#REF!="Baja",'R. Gestión '!#REF!="Menor"),CONCATENATE("R3C",'R. Gestión '!#REF!),"")</f>
        <v>#REF!</v>
      </c>
      <c r="U38" s="58" t="e">
        <f>IF(AND('R. Gestión '!#REF!="Baja",'R. Gestión '!#REF!="Menor"),CONCATENATE("R3C",'R. Gestión '!#REF!),"")</f>
        <v>#REF!</v>
      </c>
      <c r="V38" s="56" t="e">
        <f>IF(AND('R. Gestión '!#REF!="Baja",'R. Gestión '!#REF!="Moderado"),CONCATENATE("R3C",'R. Gestión '!#REF!),"")</f>
        <v>#REF!</v>
      </c>
      <c r="W38" s="57" t="e">
        <f>IF(AND('R. Gestión '!#REF!="Baja",'R. Gestión '!#REF!="Moderado"),CONCATENATE("R3C",'R. Gestión '!#REF!),"")</f>
        <v>#REF!</v>
      </c>
      <c r="X38" s="57" t="e">
        <f>IF(AND('R. Gestión '!#REF!="Baja",'R. Gestión '!#REF!="Moderado"),CONCATENATE("R3C",'R. Gestión '!#REF!),"")</f>
        <v>#REF!</v>
      </c>
      <c r="Y38" s="57" t="e">
        <f>IF(AND('R. Gestión '!#REF!="Baja",'R. Gestión '!#REF!="Moderado"),CONCATENATE("R3C",'R. Gestión '!#REF!),"")</f>
        <v>#REF!</v>
      </c>
      <c r="Z38" s="57" t="e">
        <f>IF(AND('R. Gestión '!#REF!="Baja",'R. Gestión '!#REF!="Moderado"),CONCATENATE("R3C",'R. Gestión '!#REF!),"")</f>
        <v>#REF!</v>
      </c>
      <c r="AA38" s="58" t="e">
        <f>IF(AND('R. Gestión '!#REF!="Baja",'R. Gestión '!#REF!="Moderado"),CONCATENATE("R3C",'R. Gestión '!#REF!),"")</f>
        <v>#REF!</v>
      </c>
      <c r="AB38" s="41" t="e">
        <f>IF(AND('R. Gestión '!#REF!="Baja",'R. Gestión '!#REF!="Mayor"),CONCATENATE("R3C",'R. Gestión '!#REF!),"")</f>
        <v>#REF!</v>
      </c>
      <c r="AC38" s="42" t="e">
        <f>IF(AND('R. Gestión '!#REF!="Baja",'R. Gestión '!#REF!="Mayor"),CONCATENATE("R3C",'R. Gestión '!#REF!),"")</f>
        <v>#REF!</v>
      </c>
      <c r="AD38" s="42" t="e">
        <f>IF(AND('R. Gestión '!#REF!="Baja",'R. Gestión '!#REF!="Mayor"),CONCATENATE("R3C",'R. Gestión '!#REF!),"")</f>
        <v>#REF!</v>
      </c>
      <c r="AE38" s="42" t="e">
        <f>IF(AND('R. Gestión '!#REF!="Baja",'R. Gestión '!#REF!="Mayor"),CONCATENATE("R3C",'R. Gestión '!#REF!),"")</f>
        <v>#REF!</v>
      </c>
      <c r="AF38" s="42" t="e">
        <f>IF(AND('R. Gestión '!#REF!="Baja",'R. Gestión '!#REF!="Mayor"),CONCATENATE("R3C",'R. Gestión '!#REF!),"")</f>
        <v>#REF!</v>
      </c>
      <c r="AG38" s="43" t="e">
        <f>IF(AND('R. Gestión '!#REF!="Baja",'R. Gestión '!#REF!="Mayor"),CONCATENATE("R3C",'R. Gestión '!#REF!),"")</f>
        <v>#REF!</v>
      </c>
      <c r="AH38" s="44" t="e">
        <f>IF(AND('R. Gestión '!#REF!="Baja",'R. Gestión '!#REF!="Catastrófico"),CONCATENATE("R3C",'R. Gestión '!#REF!),"")</f>
        <v>#REF!</v>
      </c>
      <c r="AI38" s="45" t="e">
        <f>IF(AND('R. Gestión '!#REF!="Baja",'R. Gestión '!#REF!="Catastrófico"),CONCATENATE("R3C",'R. Gestión '!#REF!),"")</f>
        <v>#REF!</v>
      </c>
      <c r="AJ38" s="45" t="e">
        <f>IF(AND('R. Gestión '!#REF!="Baja",'R. Gestión '!#REF!="Catastrófico"),CONCATENATE("R3C",'R. Gestión '!#REF!),"")</f>
        <v>#REF!</v>
      </c>
      <c r="AK38" s="45" t="e">
        <f>IF(AND('R. Gestión '!#REF!="Baja",'R. Gestión '!#REF!="Catastrófico"),CONCATENATE("R3C",'R. Gestión '!#REF!),"")</f>
        <v>#REF!</v>
      </c>
      <c r="AL38" s="45" t="e">
        <f>IF(AND('R. Gestión '!#REF!="Baja",'R. Gestión '!#REF!="Catastrófico"),CONCATENATE("R3C",'R. Gestión '!#REF!),"")</f>
        <v>#REF!</v>
      </c>
      <c r="AM38" s="46" t="e">
        <f>IF(AND('R. Gestión '!#REF!="Baja",'R. Gestión '!#REF!="Catastrófico"),CONCATENATE("R3C",'R. Gestión '!#REF!),"")</f>
        <v>#REF!</v>
      </c>
      <c r="AN38" s="72"/>
      <c r="AO38" s="714"/>
      <c r="AP38" s="715"/>
      <c r="AQ38" s="715"/>
      <c r="AR38" s="715"/>
      <c r="AS38" s="715"/>
      <c r="AT38" s="716"/>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row>
    <row r="39" spans="1:80" ht="15" customHeight="1" x14ac:dyDescent="0.25">
      <c r="A39" s="72"/>
      <c r="B39" s="642"/>
      <c r="C39" s="642"/>
      <c r="D39" s="643"/>
      <c r="E39" s="683"/>
      <c r="F39" s="684"/>
      <c r="G39" s="684"/>
      <c r="H39" s="684"/>
      <c r="I39" s="684"/>
      <c r="J39" s="65" t="str">
        <f ca="1">IF(AND('R. Gestión '!$AC$271="Baja",'R. Gestión '!$AE$271="Leve"),CONCATENATE("R4C",'R. Gestión '!$R$271),"")</f>
        <v/>
      </c>
      <c r="K39" s="66" t="str">
        <f ca="1">IF(AND('R. Gestión '!$AC$272="Baja",'R. Gestión '!$AE$272="Leve"),CONCATENATE("R4C",'R. Gestión '!$R$272),"")</f>
        <v/>
      </c>
      <c r="L39" s="66" t="str">
        <f>IF(AND('R. Gestión '!$AC$273="Baja",'R. Gestión '!$AE$273="Leve"),CONCATENATE("R4C",'R. Gestión '!$R$273),"")</f>
        <v/>
      </c>
      <c r="M39" s="66" t="str">
        <f>IF(AND('R. Gestión '!$AC$274="Baja",'R. Gestión '!$AE$274="Leve"),CONCATENATE("R4C",'R. Gestión '!$R$274),"")</f>
        <v/>
      </c>
      <c r="N39" s="66" t="str">
        <f>IF(AND('R. Gestión '!$AC$275="Baja",'R. Gestión '!$AE$275="Leve"),CONCATENATE("R4C",'R. Gestión '!$R$275),"")</f>
        <v/>
      </c>
      <c r="O39" s="67" t="str">
        <f>IF(AND('R. Gestión '!$AC$276="Baja",'R. Gestión '!$AE$276="Leve"),CONCATENATE("R4C",'R. Gestión '!$R$276),"")</f>
        <v/>
      </c>
      <c r="P39" s="56" t="str">
        <f ca="1">IF(AND('R. Gestión '!$AC$271="Baja",'R. Gestión '!$AE$271="Menor"),CONCATENATE("R4C",'R. Gestión '!$R$271),"")</f>
        <v/>
      </c>
      <c r="Q39" s="57" t="str">
        <f ca="1">IF(AND('R. Gestión '!$AC$272="Baja",'R. Gestión '!$AE$272="Menor"),CONCATENATE("R4C",'R. Gestión '!$R$272),"")</f>
        <v/>
      </c>
      <c r="R39" s="57" t="str">
        <f>IF(AND('R. Gestión '!$AC$273="Baja",'R. Gestión '!$AE$273="Menor"),CONCATENATE("R4C",'R. Gestión '!$R$273),"")</f>
        <v/>
      </c>
      <c r="S39" s="57" t="str">
        <f>IF(AND('R. Gestión '!$AC$274="Baja",'R. Gestión '!$AE$274="Menor"),CONCATENATE("R4C",'R. Gestión '!$R$274),"")</f>
        <v/>
      </c>
      <c r="T39" s="57" t="str">
        <f>IF(AND('R. Gestión '!$AC$275="Baja",'R. Gestión '!$AE$275="Menor"),CONCATENATE("R4C",'R. Gestión '!$R$275),"")</f>
        <v/>
      </c>
      <c r="U39" s="58" t="str">
        <f>IF(AND('R. Gestión '!$AC$276="Baja",'R. Gestión '!$AE$276="Menor"),CONCATENATE("R4C",'R. Gestión '!$R$276),"")</f>
        <v/>
      </c>
      <c r="V39" s="56" t="str">
        <f ca="1">IF(AND('R. Gestión '!$AC$271="Baja",'R. Gestión '!$AE$271="Moderado"),CONCATENATE("R4C",'R. Gestión '!$R$271),"")</f>
        <v>R4C1</v>
      </c>
      <c r="W39" s="57" t="str">
        <f ca="1">IF(AND('R. Gestión '!$AC$272="Baja",'R. Gestión '!$AE$272="Moderado"),CONCATENATE("R4C",'R. Gestión '!$R$272),"")</f>
        <v/>
      </c>
      <c r="X39" s="57" t="str">
        <f>IF(AND('R. Gestión '!$AC$273="Baja",'R. Gestión '!$AE$273="Moderado"),CONCATENATE("R4C",'R. Gestión '!$R$273),"")</f>
        <v/>
      </c>
      <c r="Y39" s="57" t="str">
        <f>IF(AND('R. Gestión '!$AC$274="Baja",'R. Gestión '!$AE$274="Moderado"),CONCATENATE("R4C",'R. Gestión '!$R$274),"")</f>
        <v/>
      </c>
      <c r="Z39" s="57" t="str">
        <f>IF(AND('R. Gestión '!$AC$275="Baja",'R. Gestión '!$AE$275="Moderado"),CONCATENATE("R4C",'R. Gestión '!$R$275),"")</f>
        <v/>
      </c>
      <c r="AA39" s="58" t="str">
        <f>IF(AND('R. Gestión '!$AC$276="Baja",'R. Gestión '!$AE$276="Moderado"),CONCATENATE("R4C",'R. Gestión '!$R$276),"")</f>
        <v/>
      </c>
      <c r="AB39" s="41" t="str">
        <f ca="1">IF(AND('R. Gestión '!$AC$271="Baja",'R. Gestión '!$AE$271="Mayor"),CONCATENATE("R4C",'R. Gestión '!$R$271),"")</f>
        <v/>
      </c>
      <c r="AC39" s="42" t="str">
        <f ca="1">IF(AND('R. Gestión '!$AC$272="Baja",'R. Gestión '!$AE$272="Mayor"),CONCATENATE("R4C",'R. Gestión '!$R$272),"")</f>
        <v/>
      </c>
      <c r="AD39" s="42" t="str">
        <f>IF(AND('R. Gestión '!$AC$273="Baja",'R. Gestión '!$AE$273="Mayor"),CONCATENATE("R4C",'R. Gestión '!$R$273),"")</f>
        <v/>
      </c>
      <c r="AE39" s="42" t="str">
        <f>IF(AND('R. Gestión '!$AC$274="Baja",'R. Gestión '!$AE$274="Mayor"),CONCATENATE("R4C",'R. Gestión '!$R$274),"")</f>
        <v/>
      </c>
      <c r="AF39" s="42" t="str">
        <f>IF(AND('R. Gestión '!$AC$275="Baja",'R. Gestión '!$AE$275="Mayor"),CONCATENATE("R4C",'R. Gestión '!$R$275),"")</f>
        <v/>
      </c>
      <c r="AG39" s="43" t="str">
        <f>IF(AND('R. Gestión '!$AC$276="Baja",'R. Gestión '!$AE$276="Mayor"),CONCATENATE("R4C",'R. Gestión '!$R$276),"")</f>
        <v/>
      </c>
      <c r="AH39" s="44" t="str">
        <f ca="1">IF(AND('R. Gestión '!$AC$271="Baja",'R. Gestión '!$AE$271="Catastrófico"),CONCATENATE("R4C",'R. Gestión '!$R$271),"")</f>
        <v/>
      </c>
      <c r="AI39" s="45" t="str">
        <f ca="1">IF(AND('R. Gestión '!$AC$272="Baja",'R. Gestión '!$AE$272="Catastrófico"),CONCATENATE("R4C",'R. Gestión '!$R$272),"")</f>
        <v/>
      </c>
      <c r="AJ39" s="45" t="str">
        <f>IF(AND('R. Gestión '!$AC$273="Baja",'R. Gestión '!$AE$273="Catastrófico"),CONCATENATE("R4C",'R. Gestión '!$R$273),"")</f>
        <v/>
      </c>
      <c r="AK39" s="45" t="str">
        <f>IF(AND('R. Gestión '!$AC$274="Baja",'R. Gestión '!$AE$274="Catastrófico"),CONCATENATE("R4C",'R. Gestión '!$R$274),"")</f>
        <v/>
      </c>
      <c r="AL39" s="45" t="str">
        <f>IF(AND('R. Gestión '!$AC$275="Baja",'R. Gestión '!$AE$275="Catastrófico"),CONCATENATE("R4C",'R. Gestión '!$R$275),"")</f>
        <v/>
      </c>
      <c r="AM39" s="46" t="str">
        <f>IF(AND('R. Gestión '!$AC$276="Baja",'R. Gestión '!$AE$276="Catastrófico"),CONCATENATE("R4C",'R. Gestión '!$R$276),"")</f>
        <v/>
      </c>
      <c r="AN39" s="72"/>
      <c r="AO39" s="714"/>
      <c r="AP39" s="715"/>
      <c r="AQ39" s="715"/>
      <c r="AR39" s="715"/>
      <c r="AS39" s="715"/>
      <c r="AT39" s="716"/>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row>
    <row r="40" spans="1:80" ht="15" customHeight="1" x14ac:dyDescent="0.25">
      <c r="A40" s="72"/>
      <c r="B40" s="642"/>
      <c r="C40" s="642"/>
      <c r="D40" s="643"/>
      <c r="E40" s="683"/>
      <c r="F40" s="684"/>
      <c r="G40" s="684"/>
      <c r="H40" s="684"/>
      <c r="I40" s="684"/>
      <c r="J40" s="65" t="str">
        <f ca="1">IF(AND('R. Gestión '!$AC$289="Baja",'R. Gestión '!$AE$289="Leve"),CONCATENATE("R5C",'R. Gestión '!$R$289),"")</f>
        <v/>
      </c>
      <c r="K40" s="66" t="str">
        <f>IF(AND('R. Gestión '!$AC$290="Baja",'R. Gestión '!$AE$290="Leve"),CONCATENATE("R5C",'R. Gestión '!$R$290),"")</f>
        <v/>
      </c>
      <c r="L40" s="66" t="str">
        <f>IF(AND('R. Gestión '!$AC$291="Baja",'R. Gestión '!$AE$291="Leve"),CONCATENATE("R5C",'R. Gestión '!$R$291),"")</f>
        <v/>
      </c>
      <c r="M40" s="66" t="str">
        <f>IF(AND('R. Gestión '!$AC$292="Baja",'R. Gestión '!$AE$292="Leve"),CONCATENATE("R5C",'R. Gestión '!$R$292),"")</f>
        <v/>
      </c>
      <c r="N40" s="66" t="str">
        <f>IF(AND('R. Gestión '!$AC$293="Baja",'R. Gestión '!$AE$293="Leve"),CONCATENATE("R5C",'R. Gestión '!$R$293),"")</f>
        <v/>
      </c>
      <c r="O40" s="67" t="str">
        <f>IF(AND('R. Gestión '!$AC$294="Baja",'R. Gestión '!$AE$294="Leve"),CONCATENATE("R5C",'R. Gestión '!$R$294),"")</f>
        <v/>
      </c>
      <c r="P40" s="56" t="str">
        <f ca="1">IF(AND('R. Gestión '!$AC$289="Baja",'R. Gestión '!$AE$289="Menor"),CONCATENATE("R5C",'R. Gestión '!$R$289),"")</f>
        <v/>
      </c>
      <c r="Q40" s="57" t="str">
        <f>IF(AND('R. Gestión '!$AC$290="Baja",'R. Gestión '!$AE$290="Menor"),CONCATENATE("R5C",'R. Gestión '!$R$290),"")</f>
        <v/>
      </c>
      <c r="R40" s="57" t="str">
        <f>IF(AND('R. Gestión '!$AC$291="Baja",'R. Gestión '!$AE$291="Menor"),CONCATENATE("R5C",'R. Gestión '!$R$291),"")</f>
        <v/>
      </c>
      <c r="S40" s="57" t="str">
        <f>IF(AND('R. Gestión '!$AC$292="Baja",'R. Gestión '!$AE$292="Menor"),CONCATENATE("R5C",'R. Gestión '!$R$292),"")</f>
        <v/>
      </c>
      <c r="T40" s="57" t="str">
        <f>IF(AND('R. Gestión '!$AC$293="Baja",'R. Gestión '!$AE$293="Menor"),CONCATENATE("R5C",'R. Gestión '!$R$293),"")</f>
        <v/>
      </c>
      <c r="U40" s="58" t="str">
        <f>IF(AND('R. Gestión '!$AC$294="Baja",'R. Gestión '!$AE$294="Menor"),CONCATENATE("R5C",'R. Gestión '!$R$294),"")</f>
        <v/>
      </c>
      <c r="V40" s="56" t="str">
        <f ca="1">IF(AND('R. Gestión '!$AC$289="Baja",'R. Gestión '!$AE$289="Moderado"),CONCATENATE("R5C",'R. Gestión '!$R$289),"")</f>
        <v/>
      </c>
      <c r="W40" s="57" t="str">
        <f>IF(AND('R. Gestión '!$AC$290="Baja",'R. Gestión '!$AE$290="Moderado"),CONCATENATE("R5C",'R. Gestión '!$R$290),"")</f>
        <v/>
      </c>
      <c r="X40" s="57" t="str">
        <f>IF(AND('R. Gestión '!$AC$291="Baja",'R. Gestión '!$AE$291="Moderado"),CONCATENATE("R5C",'R. Gestión '!$R$291),"")</f>
        <v/>
      </c>
      <c r="Y40" s="57" t="str">
        <f>IF(AND('R. Gestión '!$AC$292="Baja",'R. Gestión '!$AE$292="Moderado"),CONCATENATE("R5C",'R. Gestión '!$R$292),"")</f>
        <v/>
      </c>
      <c r="Z40" s="57" t="str">
        <f>IF(AND('R. Gestión '!$AC$293="Baja",'R. Gestión '!$AE$293="Moderado"),CONCATENATE("R5C",'R. Gestión '!$R$293),"")</f>
        <v/>
      </c>
      <c r="AA40" s="58" t="str">
        <f>IF(AND('R. Gestión '!$AC$294="Baja",'R. Gestión '!$AE$294="Moderado"),CONCATENATE("R5C",'R. Gestión '!$R$294),"")</f>
        <v/>
      </c>
      <c r="AB40" s="41" t="str">
        <f ca="1">IF(AND('R. Gestión '!$AC$289="Baja",'R. Gestión '!$AE$289="Mayor"),CONCATENATE("R5C",'R. Gestión '!$R$289),"")</f>
        <v/>
      </c>
      <c r="AC40" s="42" t="str">
        <f>IF(AND('R. Gestión '!$AC$290="Baja",'R. Gestión '!$AE$290="Mayor"),CONCATENATE("R5C",'R. Gestión '!$R$290),"")</f>
        <v/>
      </c>
      <c r="AD40" s="42" t="str">
        <f>IF(AND('R. Gestión '!$AC$291="Baja",'R. Gestión '!$AE$291="Mayor"),CONCATENATE("R5C",'R. Gestión '!$R$291),"")</f>
        <v/>
      </c>
      <c r="AE40" s="42" t="str">
        <f>IF(AND('R. Gestión '!$AC$292="Baja",'R. Gestión '!$AE$292="Mayor"),CONCATENATE("R5C",'R. Gestión '!$R$292),"")</f>
        <v/>
      </c>
      <c r="AF40" s="42" t="str">
        <f>IF(AND('R. Gestión '!$AC$293="Baja",'R. Gestión '!$AE$293="Mayor"),CONCATENATE("R5C",'R. Gestión '!$R$293),"")</f>
        <v/>
      </c>
      <c r="AG40" s="43" t="str">
        <f>IF(AND('R. Gestión '!$AC$294="Baja",'R. Gestión '!$AE$294="Mayor"),CONCATENATE("R5C",'R. Gestión '!$R$294),"")</f>
        <v/>
      </c>
      <c r="AH40" s="44" t="str">
        <f ca="1">IF(AND('R. Gestión '!$AC$289="Baja",'R. Gestión '!$AE$289="Catastrófico"),CONCATENATE("R5C",'R. Gestión '!$R$289),"")</f>
        <v/>
      </c>
      <c r="AI40" s="45" t="str">
        <f>IF(AND('R. Gestión '!$AC$290="Baja",'R. Gestión '!$AE$290="Catastrófico"),CONCATENATE("R5C",'R. Gestión '!$R$290),"")</f>
        <v/>
      </c>
      <c r="AJ40" s="45" t="str">
        <f>IF(AND('R. Gestión '!$AC$291="Baja",'R. Gestión '!$AE$291="Catastrófico"),CONCATENATE("R5C",'R. Gestión '!$R$291),"")</f>
        <v/>
      </c>
      <c r="AK40" s="45" t="str">
        <f>IF(AND('R. Gestión '!$AC$292="Baja",'R. Gestión '!$AE$292="Catastrófico"),CONCATENATE("R5C",'R. Gestión '!$R$292),"")</f>
        <v/>
      </c>
      <c r="AL40" s="45" t="str">
        <f>IF(AND('R. Gestión '!$AC$293="Baja",'R. Gestión '!$AE$293="Catastrófico"),CONCATENATE("R5C",'R. Gestión '!$R$293),"")</f>
        <v/>
      </c>
      <c r="AM40" s="46" t="str">
        <f>IF(AND('R. Gestión '!$AC$294="Baja",'R. Gestión '!$AE$294="Catastrófico"),CONCATENATE("R5C",'R. Gestión '!$R$294),"")</f>
        <v/>
      </c>
      <c r="AN40" s="72"/>
      <c r="AO40" s="714"/>
      <c r="AP40" s="715"/>
      <c r="AQ40" s="715"/>
      <c r="AR40" s="715"/>
      <c r="AS40" s="715"/>
      <c r="AT40" s="716"/>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row>
    <row r="41" spans="1:80" ht="15" customHeight="1" x14ac:dyDescent="0.25">
      <c r="A41" s="72"/>
      <c r="B41" s="642"/>
      <c r="C41" s="642"/>
      <c r="D41" s="643"/>
      <c r="E41" s="683"/>
      <c r="F41" s="684"/>
      <c r="G41" s="684"/>
      <c r="H41" s="684"/>
      <c r="I41" s="684"/>
      <c r="J41" s="65" t="str">
        <f ca="1">IF(AND('R. Gestión '!$AC$295="Baja",'R. Gestión '!$AE$295="Leve"),CONCATENATE("R6C",'R. Gestión '!$R$295),"")</f>
        <v/>
      </c>
      <c r="K41" s="66" t="str">
        <f>IF(AND('R. Gestión '!$AC$296="Baja",'R. Gestión '!$AE$296="Leve"),CONCATENATE("R6C",'R. Gestión '!$R$296),"")</f>
        <v/>
      </c>
      <c r="L41" s="66" t="str">
        <f>IF(AND('R. Gestión '!$AC$297="Baja",'R. Gestión '!$AE$297="Leve"),CONCATENATE("R6C",'R. Gestión '!$R$297),"")</f>
        <v/>
      </c>
      <c r="M41" s="66" t="str">
        <f>IF(AND('R. Gestión '!$AC$298="Baja",'R. Gestión '!$AE$298="Leve"),CONCATENATE("R6C",'R. Gestión '!$R$298),"")</f>
        <v/>
      </c>
      <c r="N41" s="66" t="str">
        <f>IF(AND('R. Gestión '!$AC$299="Baja",'R. Gestión '!$AE$299="Leve"),CONCATENATE("R6C",'R. Gestión '!$R$299),"")</f>
        <v/>
      </c>
      <c r="O41" s="67" t="str">
        <f>IF(AND('R. Gestión '!$AC$300="Baja",'R. Gestión '!$AE$300="Leve"),CONCATENATE("R6C",'R. Gestión '!$R$300),"")</f>
        <v/>
      </c>
      <c r="P41" s="56" t="str">
        <f ca="1">IF(AND('R. Gestión '!$AC$295="Baja",'R. Gestión '!$AE$295="Menor"),CONCATENATE("R6C",'R. Gestión '!$R$295),"")</f>
        <v/>
      </c>
      <c r="Q41" s="57" t="str">
        <f>IF(AND('R. Gestión '!$AC$296="Baja",'R. Gestión '!$AE$296="Menor"),CONCATENATE("R6C",'R. Gestión '!$R$296),"")</f>
        <v/>
      </c>
      <c r="R41" s="57" t="str">
        <f>IF(AND('R. Gestión '!$AC$297="Baja",'R. Gestión '!$AE$297="Menor"),CONCATENATE("R6C",'R. Gestión '!$R$297),"")</f>
        <v/>
      </c>
      <c r="S41" s="57" t="str">
        <f>IF(AND('R. Gestión '!$AC$298="Baja",'R. Gestión '!$AE$298="Menor"),CONCATENATE("R6C",'R. Gestión '!$R$298),"")</f>
        <v/>
      </c>
      <c r="T41" s="57" t="str">
        <f>IF(AND('R. Gestión '!$AC$299="Baja",'R. Gestión '!$AE$299="Menor"),CONCATENATE("R6C",'R. Gestión '!$R$299),"")</f>
        <v/>
      </c>
      <c r="U41" s="58" t="str">
        <f>IF(AND('R. Gestión '!$AC$300="Baja",'R. Gestión '!$AE$300="Menor"),CONCATENATE("R6C",'R. Gestión '!$R$300),"")</f>
        <v/>
      </c>
      <c r="V41" s="56" t="str">
        <f ca="1">IF(AND('R. Gestión '!$AC$295="Baja",'R. Gestión '!$AE$295="Moderado"),CONCATENATE("R6C",'R. Gestión '!$R$295),"")</f>
        <v/>
      </c>
      <c r="W41" s="57" t="str">
        <f>IF(AND('R. Gestión '!$AC$296="Baja",'R. Gestión '!$AE$296="Moderado"),CONCATENATE("R6C",'R. Gestión '!$R$296),"")</f>
        <v/>
      </c>
      <c r="X41" s="57" t="str">
        <f>IF(AND('R. Gestión '!$AC$297="Baja",'R. Gestión '!$AE$297="Moderado"),CONCATENATE("R6C",'R. Gestión '!$R$297),"")</f>
        <v/>
      </c>
      <c r="Y41" s="57" t="str">
        <f>IF(AND('R. Gestión '!$AC$298="Baja",'R. Gestión '!$AE$298="Moderado"),CONCATENATE("R6C",'R. Gestión '!$R$298),"")</f>
        <v/>
      </c>
      <c r="Z41" s="57" t="str">
        <f>IF(AND('R. Gestión '!$AC$299="Baja",'R. Gestión '!$AE$299="Moderado"),CONCATENATE("R6C",'R. Gestión '!$R$299),"")</f>
        <v/>
      </c>
      <c r="AA41" s="58" t="str">
        <f>IF(AND('R. Gestión '!$AC$300="Baja",'R. Gestión '!$AE$300="Moderado"),CONCATENATE("R6C",'R. Gestión '!$R$300),"")</f>
        <v/>
      </c>
      <c r="AB41" s="41" t="str">
        <f ca="1">IF(AND('R. Gestión '!$AC$295="Baja",'R. Gestión '!$AE$295="Mayor"),CONCATENATE("R6C",'R. Gestión '!$R$295),"")</f>
        <v/>
      </c>
      <c r="AC41" s="42" t="str">
        <f>IF(AND('R. Gestión '!$AC$296="Baja",'R. Gestión '!$AE$296="Mayor"),CONCATENATE("R6C",'R. Gestión '!$R$296),"")</f>
        <v/>
      </c>
      <c r="AD41" s="42" t="str">
        <f>IF(AND('R. Gestión '!$AC$297="Baja",'R. Gestión '!$AE$297="Mayor"),CONCATENATE("R6C",'R. Gestión '!$R$297),"")</f>
        <v/>
      </c>
      <c r="AE41" s="42" t="str">
        <f>IF(AND('R. Gestión '!$AC$298="Baja",'R. Gestión '!$AE$298="Mayor"),CONCATENATE("R6C",'R. Gestión '!$R$298),"")</f>
        <v/>
      </c>
      <c r="AF41" s="42" t="str">
        <f>IF(AND('R. Gestión '!$AC$299="Baja",'R. Gestión '!$AE$299="Mayor"),CONCATENATE("R6C",'R. Gestión '!$R$299),"")</f>
        <v/>
      </c>
      <c r="AG41" s="43" t="str">
        <f>IF(AND('R. Gestión '!$AC$300="Baja",'R. Gestión '!$AE$300="Mayor"),CONCATENATE("R6C",'R. Gestión '!$R$300),"")</f>
        <v/>
      </c>
      <c r="AH41" s="44" t="str">
        <f ca="1">IF(AND('R. Gestión '!$AC$295="Baja",'R. Gestión '!$AE$295="Catastrófico"),CONCATENATE("R6C",'R. Gestión '!$R$295),"")</f>
        <v/>
      </c>
      <c r="AI41" s="45" t="str">
        <f>IF(AND('R. Gestión '!$AC$296="Baja",'R. Gestión '!$AE$296="Catastrófico"),CONCATENATE("R6C",'R. Gestión '!$R$296),"")</f>
        <v/>
      </c>
      <c r="AJ41" s="45" t="str">
        <f>IF(AND('R. Gestión '!$AC$297="Baja",'R. Gestión '!$AE$297="Catastrófico"),CONCATENATE("R6C",'R. Gestión '!$R$297),"")</f>
        <v/>
      </c>
      <c r="AK41" s="45" t="str">
        <f>IF(AND('R. Gestión '!$AC$298="Baja",'R. Gestión '!$AE$298="Catastrófico"),CONCATENATE("R6C",'R. Gestión '!$R$298),"")</f>
        <v/>
      </c>
      <c r="AL41" s="45" t="str">
        <f>IF(AND('R. Gestión '!$AC$299="Baja",'R. Gestión '!$AE$299="Catastrófico"),CONCATENATE("R6C",'R. Gestión '!$R$299),"")</f>
        <v/>
      </c>
      <c r="AM41" s="46" t="str">
        <f>IF(AND('R. Gestión '!$AC$300="Baja",'R. Gestión '!$AE$300="Catastrófico"),CONCATENATE("R6C",'R. Gestión '!$R$300),"")</f>
        <v/>
      </c>
      <c r="AN41" s="72"/>
      <c r="AO41" s="714"/>
      <c r="AP41" s="715"/>
      <c r="AQ41" s="715"/>
      <c r="AR41" s="715"/>
      <c r="AS41" s="715"/>
      <c r="AT41" s="716"/>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row>
    <row r="42" spans="1:80" ht="15" customHeight="1" x14ac:dyDescent="0.25">
      <c r="A42" s="72"/>
      <c r="B42" s="642"/>
      <c r="C42" s="642"/>
      <c r="D42" s="643"/>
      <c r="E42" s="683"/>
      <c r="F42" s="684"/>
      <c r="G42" s="684"/>
      <c r="H42" s="684"/>
      <c r="I42" s="684"/>
      <c r="J42" s="65" t="str">
        <f ca="1">IF(AND('R. Gestión '!$AC$325="Baja",'R. Gestión '!$AE$325="Leve"),CONCATENATE("R7C",'R. Gestión '!$R$325),"")</f>
        <v/>
      </c>
      <c r="K42" s="66" t="str">
        <f>IF(AND('R. Gestión '!$AC$326="Baja",'R. Gestión '!$AE$326="Leve"),CONCATENATE("R7C",'R. Gestión '!$R$326),"")</f>
        <v/>
      </c>
      <c r="L42" s="66" t="str">
        <f>IF(AND('R. Gestión '!$AC$327="Baja",'R. Gestión '!$AE$327="Leve"),CONCATENATE("R7C",'R. Gestión '!$R$327),"")</f>
        <v/>
      </c>
      <c r="M42" s="66" t="str">
        <f>IF(AND('R. Gestión '!$AC$328="Baja",'R. Gestión '!$AE$328="Leve"),CONCATENATE("R7C",'R. Gestión '!$R$328),"")</f>
        <v/>
      </c>
      <c r="N42" s="66" t="str">
        <f>IF(AND('R. Gestión '!$AC$329="Baja",'R. Gestión '!$AE$329="Leve"),CONCATENATE("R7C",'R. Gestión '!$R$329),"")</f>
        <v/>
      </c>
      <c r="O42" s="67" t="str">
        <f>IF(AND('R. Gestión '!$AC$330="Baja",'R. Gestión '!$AE$330="Leve"),CONCATENATE("R7C",'R. Gestión '!$R$330),"")</f>
        <v/>
      </c>
      <c r="P42" s="56" t="str">
        <f ca="1">IF(AND('R. Gestión '!$AC$325="Baja",'R. Gestión '!$AE$325="Menor"),CONCATENATE("R7C",'R. Gestión '!$R$325),"")</f>
        <v/>
      </c>
      <c r="Q42" s="57" t="str">
        <f>IF(AND('R. Gestión '!$AC$326="Baja",'R. Gestión '!$AE$326="Menor"),CONCATENATE("R7C",'R. Gestión '!$R$326),"")</f>
        <v/>
      </c>
      <c r="R42" s="57" t="str">
        <f>IF(AND('R. Gestión '!$AC$327="Baja",'R. Gestión '!$AE$327="Menor"),CONCATENATE("R7C",'R. Gestión '!$R$327),"")</f>
        <v/>
      </c>
      <c r="S42" s="57" t="str">
        <f>IF(AND('R. Gestión '!$AC$328="Baja",'R. Gestión '!$AE$328="Menor"),CONCATENATE("R7C",'R. Gestión '!$R$328),"")</f>
        <v/>
      </c>
      <c r="T42" s="57" t="str">
        <f>IF(AND('R. Gestión '!$AC$329="Baja",'R. Gestión '!$AE$329="Menor"),CONCATENATE("R7C",'R. Gestión '!$R$329),"")</f>
        <v/>
      </c>
      <c r="U42" s="58" t="str">
        <f>IF(AND('R. Gestión '!$AC$330="Baja",'R. Gestión '!$AE$330="Menor"),CONCATENATE("R7C",'R. Gestión '!$R$330),"")</f>
        <v/>
      </c>
      <c r="V42" s="56" t="str">
        <f ca="1">IF(AND('R. Gestión '!$AC$325="Baja",'R. Gestión '!$AE$325="Moderado"),CONCATENATE("R7C",'R. Gestión '!$R$325),"")</f>
        <v/>
      </c>
      <c r="W42" s="57" t="str">
        <f>IF(AND('R. Gestión '!$AC$326="Baja",'R. Gestión '!$AE$326="Moderado"),CONCATENATE("R7C",'R. Gestión '!$R$326),"")</f>
        <v/>
      </c>
      <c r="X42" s="57" t="str">
        <f>IF(AND('R. Gestión '!$AC$327="Baja",'R. Gestión '!$AE$327="Moderado"),CONCATENATE("R7C",'R. Gestión '!$R$327),"")</f>
        <v/>
      </c>
      <c r="Y42" s="57" t="str">
        <f>IF(AND('R. Gestión '!$AC$328="Baja",'R. Gestión '!$AE$328="Moderado"),CONCATENATE("R7C",'R. Gestión '!$R$328),"")</f>
        <v/>
      </c>
      <c r="Z42" s="57" t="str">
        <f>IF(AND('R. Gestión '!$AC$329="Baja",'R. Gestión '!$AE$329="Moderado"),CONCATENATE("R7C",'R. Gestión '!$R$329),"")</f>
        <v/>
      </c>
      <c r="AA42" s="58" t="str">
        <f>IF(AND('R. Gestión '!$AC$330="Baja",'R. Gestión '!$AE$330="Moderado"),CONCATENATE("R7C",'R. Gestión '!$R$330),"")</f>
        <v/>
      </c>
      <c r="AB42" s="41" t="str">
        <f ca="1">IF(AND('R. Gestión '!$AC$325="Baja",'R. Gestión '!$AE$325="Mayor"),CONCATENATE("R7C",'R. Gestión '!$R$325),"")</f>
        <v/>
      </c>
      <c r="AC42" s="42" t="str">
        <f>IF(AND('R. Gestión '!$AC$326="Baja",'R. Gestión '!$AE$326="Mayor"),CONCATENATE("R7C",'R. Gestión '!$R$326),"")</f>
        <v/>
      </c>
      <c r="AD42" s="42" t="str">
        <f>IF(AND('R. Gestión '!$AC$327="Baja",'R. Gestión '!$AE$327="Mayor"),CONCATENATE("R7C",'R. Gestión '!$R$327),"")</f>
        <v/>
      </c>
      <c r="AE42" s="42" t="str">
        <f>IF(AND('R. Gestión '!$AC$328="Baja",'R. Gestión '!$AE$328="Mayor"),CONCATENATE("R7C",'R. Gestión '!$R$328),"")</f>
        <v/>
      </c>
      <c r="AF42" s="42" t="str">
        <f>IF(AND('R. Gestión '!$AC$329="Baja",'R. Gestión '!$AE$329="Mayor"),CONCATENATE("R7C",'R. Gestión '!$R$329),"")</f>
        <v/>
      </c>
      <c r="AG42" s="43" t="str">
        <f>IF(AND('R. Gestión '!$AC$330="Baja",'R. Gestión '!$AE$330="Mayor"),CONCATENATE("R7C",'R. Gestión '!$R$330),"")</f>
        <v/>
      </c>
      <c r="AH42" s="44" t="str">
        <f ca="1">IF(AND('R. Gestión '!$AC$325="Baja",'R. Gestión '!$AE$325="Catastrófico"),CONCATENATE("R7C",'R. Gestión '!$R$325),"")</f>
        <v/>
      </c>
      <c r="AI42" s="45" t="str">
        <f>IF(AND('R. Gestión '!$AC$326="Baja",'R. Gestión '!$AE$326="Catastrófico"),CONCATENATE("R7C",'R. Gestión '!$R$326),"")</f>
        <v/>
      </c>
      <c r="AJ42" s="45" t="str">
        <f>IF(AND('R. Gestión '!$AC$327="Baja",'R. Gestión '!$AE$327="Catastrófico"),CONCATENATE("R7C",'R. Gestión '!$R$327),"")</f>
        <v/>
      </c>
      <c r="AK42" s="45" t="str">
        <f>IF(AND('R. Gestión '!$AC$328="Baja",'R. Gestión '!$AE$328="Catastrófico"),CONCATENATE("R7C",'R. Gestión '!$R$328),"")</f>
        <v/>
      </c>
      <c r="AL42" s="45" t="str">
        <f>IF(AND('R. Gestión '!$AC$329="Baja",'R. Gestión '!$AE$329="Catastrófico"),CONCATENATE("R7C",'R. Gestión '!$R$329),"")</f>
        <v/>
      </c>
      <c r="AM42" s="46" t="str">
        <f>IF(AND('R. Gestión '!$AC$330="Baja",'R. Gestión '!$AE$330="Catastrófico"),CONCATENATE("R7C",'R. Gestión '!$R$330),"")</f>
        <v/>
      </c>
      <c r="AN42" s="72"/>
      <c r="AO42" s="714"/>
      <c r="AP42" s="715"/>
      <c r="AQ42" s="715"/>
      <c r="AR42" s="715"/>
      <c r="AS42" s="715"/>
      <c r="AT42" s="716"/>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row>
    <row r="43" spans="1:80" ht="15" customHeight="1" x14ac:dyDescent="0.25">
      <c r="A43" s="72"/>
      <c r="B43" s="642"/>
      <c r="C43" s="642"/>
      <c r="D43" s="643"/>
      <c r="E43" s="683"/>
      <c r="F43" s="684"/>
      <c r="G43" s="684"/>
      <c r="H43" s="684"/>
      <c r="I43" s="684"/>
      <c r="J43" s="65" t="str">
        <f ca="1">IF(AND('R. Gestión '!$AC$331="Baja",'R. Gestión '!$AE$331="Leve"),CONCATENATE("R8C",'R. Gestión '!$R$331),"")</f>
        <v/>
      </c>
      <c r="K43" s="66" t="str">
        <f>IF(AND('R. Gestión '!$AC$332="Baja",'R. Gestión '!$AE$332="Leve"),CONCATENATE("R8C",'R. Gestión '!$R$332),"")</f>
        <v/>
      </c>
      <c r="L43" s="66" t="str">
        <f>IF(AND('R. Gestión '!$AC$333="Baja",'R. Gestión '!$AE$333="Leve"),CONCATENATE("R8C",'R. Gestión '!$R$333),"")</f>
        <v/>
      </c>
      <c r="M43" s="66" t="str">
        <f>IF(AND('R. Gestión '!$AC$334="Baja",'R. Gestión '!$AE$334="Leve"),CONCATENATE("R8C",'R. Gestión '!$R$334),"")</f>
        <v/>
      </c>
      <c r="N43" s="66" t="str">
        <f>IF(AND('R. Gestión '!$AC$335="Baja",'R. Gestión '!$AE$335="Leve"),CONCATENATE("R8C",'R. Gestión '!$R$335),"")</f>
        <v/>
      </c>
      <c r="O43" s="67" t="str">
        <f>IF(AND('R. Gestión '!$AC$336="Baja",'R. Gestión '!$AE$336="Leve"),CONCATENATE("R8C",'R. Gestión '!$R$336),"")</f>
        <v/>
      </c>
      <c r="P43" s="56" t="str">
        <f ca="1">IF(AND('R. Gestión '!$AC$331="Baja",'R. Gestión '!$AE$331="Menor"),CONCATENATE("R8C",'R. Gestión '!$R$331),"")</f>
        <v/>
      </c>
      <c r="Q43" s="57" t="str">
        <f>IF(AND('R. Gestión '!$AC$332="Baja",'R. Gestión '!$AE$332="Menor"),CONCATENATE("R8C",'R. Gestión '!$R$332),"")</f>
        <v/>
      </c>
      <c r="R43" s="57" t="str">
        <f>IF(AND('R. Gestión '!$AC$333="Baja",'R. Gestión '!$AE$333="Menor"),CONCATENATE("R8C",'R. Gestión '!$R$333),"")</f>
        <v/>
      </c>
      <c r="S43" s="57" t="str">
        <f>IF(AND('R. Gestión '!$AC$334="Baja",'R. Gestión '!$AE$334="Menor"),CONCATENATE("R8C",'R. Gestión '!$R$334),"")</f>
        <v/>
      </c>
      <c r="T43" s="57" t="str">
        <f>IF(AND('R. Gestión '!$AC$335="Baja",'R. Gestión '!$AE$335="Menor"),CONCATENATE("R8C",'R. Gestión '!$R$335),"")</f>
        <v/>
      </c>
      <c r="U43" s="58" t="str">
        <f>IF(AND('R. Gestión '!$AC$336="Baja",'R. Gestión '!$AE$336="Menor"),CONCATENATE("R8C",'R. Gestión '!$R$336),"")</f>
        <v/>
      </c>
      <c r="V43" s="56" t="str">
        <f ca="1">IF(AND('R. Gestión '!$AC$331="Baja",'R. Gestión '!$AE$331="Moderado"),CONCATENATE("R8C",'R. Gestión '!$R$331),"")</f>
        <v/>
      </c>
      <c r="W43" s="57" t="str">
        <f>IF(AND('R. Gestión '!$AC$332="Baja",'R. Gestión '!$AE$332="Moderado"),CONCATENATE("R8C",'R. Gestión '!$R$332),"")</f>
        <v/>
      </c>
      <c r="X43" s="57" t="str">
        <f>IF(AND('R. Gestión '!$AC$333="Baja",'R. Gestión '!$AE$333="Moderado"),CONCATENATE("R8C",'R. Gestión '!$R$333),"")</f>
        <v/>
      </c>
      <c r="Y43" s="57" t="str">
        <f>IF(AND('R. Gestión '!$AC$334="Baja",'R. Gestión '!$AE$334="Moderado"),CONCATENATE("R8C",'R. Gestión '!$R$334),"")</f>
        <v/>
      </c>
      <c r="Z43" s="57" t="str">
        <f>IF(AND('R. Gestión '!$AC$335="Baja",'R. Gestión '!$AE$335="Moderado"),CONCATENATE("R8C",'R. Gestión '!$R$335),"")</f>
        <v/>
      </c>
      <c r="AA43" s="58" t="str">
        <f>IF(AND('R. Gestión '!$AC$336="Baja",'R. Gestión '!$AE$336="Moderado"),CONCATENATE("R8C",'R. Gestión '!$R$336),"")</f>
        <v/>
      </c>
      <c r="AB43" s="41" t="str">
        <f ca="1">IF(AND('R. Gestión '!$AC$331="Baja",'R. Gestión '!$AE$331="Mayor"),CONCATENATE("R8C",'R. Gestión '!$R$331),"")</f>
        <v>R8C1</v>
      </c>
      <c r="AC43" s="42" t="str">
        <f>IF(AND('R. Gestión '!$AC$332="Baja",'R. Gestión '!$AE$332="Mayor"),CONCATENATE("R8C",'R. Gestión '!$R$332),"")</f>
        <v/>
      </c>
      <c r="AD43" s="42" t="str">
        <f>IF(AND('R. Gestión '!$AC$333="Baja",'R. Gestión '!$AE$333="Mayor"),CONCATENATE("R8C",'R. Gestión '!$R$333),"")</f>
        <v/>
      </c>
      <c r="AE43" s="42" t="str">
        <f>IF(AND('R. Gestión '!$AC$334="Baja",'R. Gestión '!$AE$334="Mayor"),CONCATENATE("R8C",'R. Gestión '!$R$334),"")</f>
        <v/>
      </c>
      <c r="AF43" s="42" t="str">
        <f>IF(AND('R. Gestión '!$AC$335="Baja",'R. Gestión '!$AE$335="Mayor"),CONCATENATE("R8C",'R. Gestión '!$R$335),"")</f>
        <v/>
      </c>
      <c r="AG43" s="43" t="str">
        <f>IF(AND('R. Gestión '!$AC$336="Baja",'R. Gestión '!$AE$336="Mayor"),CONCATENATE("R8C",'R. Gestión '!$R$336),"")</f>
        <v/>
      </c>
      <c r="AH43" s="44" t="str">
        <f ca="1">IF(AND('R. Gestión '!$AC$331="Baja",'R. Gestión '!$AE$331="Catastrófico"),CONCATENATE("R8C",'R. Gestión '!$R$331),"")</f>
        <v/>
      </c>
      <c r="AI43" s="45" t="str">
        <f>IF(AND('R. Gestión '!$AC$332="Baja",'R. Gestión '!$AE$332="Catastrófico"),CONCATENATE("R8C",'R. Gestión '!$R$332),"")</f>
        <v/>
      </c>
      <c r="AJ43" s="45" t="str">
        <f>IF(AND('R. Gestión '!$AC$333="Baja",'R. Gestión '!$AE$333="Catastrófico"),CONCATENATE("R8C",'R. Gestión '!$R$333),"")</f>
        <v/>
      </c>
      <c r="AK43" s="45" t="str">
        <f>IF(AND('R. Gestión '!$AC$334="Baja",'R. Gestión '!$AE$334="Catastrófico"),CONCATENATE("R8C",'R. Gestión '!$R$334),"")</f>
        <v/>
      </c>
      <c r="AL43" s="45" t="str">
        <f>IF(AND('R. Gestión '!$AC$335="Baja",'R. Gestión '!$AE$335="Catastrófico"),CONCATENATE("R8C",'R. Gestión '!$R$335),"")</f>
        <v/>
      </c>
      <c r="AM43" s="46" t="str">
        <f>IF(AND('R. Gestión '!$AC$336="Baja",'R. Gestión '!$AE$336="Catastrófico"),CONCATENATE("R8C",'R. Gestión '!$R$336),"")</f>
        <v/>
      </c>
      <c r="AN43" s="72"/>
      <c r="AO43" s="714"/>
      <c r="AP43" s="715"/>
      <c r="AQ43" s="715"/>
      <c r="AR43" s="715"/>
      <c r="AS43" s="715"/>
      <c r="AT43" s="716"/>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row>
    <row r="44" spans="1:80" ht="15" customHeight="1" x14ac:dyDescent="0.25">
      <c r="A44" s="72"/>
      <c r="B44" s="642"/>
      <c r="C44" s="642"/>
      <c r="D44" s="643"/>
      <c r="E44" s="683"/>
      <c r="F44" s="684"/>
      <c r="G44" s="684"/>
      <c r="H44" s="684"/>
      <c r="I44" s="684"/>
      <c r="J44" s="65" t="e">
        <f>IF(AND('R. Gestión '!#REF!="Baja",'R. Gestión '!#REF!="Leve"),CONCATENATE("R9C",'R. Gestión '!#REF!),"")</f>
        <v>#REF!</v>
      </c>
      <c r="K44" s="66" t="e">
        <f>IF(AND('R. Gestión '!#REF!="Baja",'R. Gestión '!#REF!="Leve"),CONCATENATE("R9C",'R. Gestión '!#REF!),"")</f>
        <v>#REF!</v>
      </c>
      <c r="L44" s="66" t="e">
        <f>IF(AND('R. Gestión '!#REF!="Baja",'R. Gestión '!#REF!="Leve"),CONCATENATE("R9C",'R. Gestión '!#REF!),"")</f>
        <v>#REF!</v>
      </c>
      <c r="M44" s="66" t="e">
        <f>IF(AND('R. Gestión '!#REF!="Baja",'R. Gestión '!#REF!="Leve"),CONCATENATE("R9C",'R. Gestión '!#REF!),"")</f>
        <v>#REF!</v>
      </c>
      <c r="N44" s="66" t="e">
        <f>IF(AND('R. Gestión '!#REF!="Baja",'R. Gestión '!#REF!="Leve"),CONCATENATE("R9C",'R. Gestión '!#REF!),"")</f>
        <v>#REF!</v>
      </c>
      <c r="O44" s="67" t="e">
        <f>IF(AND('R. Gestión '!#REF!="Baja",'R. Gestión '!#REF!="Leve"),CONCATENATE("R9C",'R. Gestión '!#REF!),"")</f>
        <v>#REF!</v>
      </c>
      <c r="P44" s="56" t="e">
        <f>IF(AND('R. Gestión '!#REF!="Baja",'R. Gestión '!#REF!="Menor"),CONCATENATE("R9C",'R. Gestión '!#REF!),"")</f>
        <v>#REF!</v>
      </c>
      <c r="Q44" s="57" t="e">
        <f>IF(AND('R. Gestión '!#REF!="Baja",'R. Gestión '!#REF!="Menor"),CONCATENATE("R9C",'R. Gestión '!#REF!),"")</f>
        <v>#REF!</v>
      </c>
      <c r="R44" s="57" t="e">
        <f>IF(AND('R. Gestión '!#REF!="Baja",'R. Gestión '!#REF!="Menor"),CONCATENATE("R9C",'R. Gestión '!#REF!),"")</f>
        <v>#REF!</v>
      </c>
      <c r="S44" s="57" t="e">
        <f>IF(AND('R. Gestión '!#REF!="Baja",'R. Gestión '!#REF!="Menor"),CONCATENATE("R9C",'R. Gestión '!#REF!),"")</f>
        <v>#REF!</v>
      </c>
      <c r="T44" s="57" t="e">
        <f>IF(AND('R. Gestión '!#REF!="Baja",'R. Gestión '!#REF!="Menor"),CONCATENATE("R9C",'R. Gestión '!#REF!),"")</f>
        <v>#REF!</v>
      </c>
      <c r="U44" s="58" t="e">
        <f>IF(AND('R. Gestión '!#REF!="Baja",'R. Gestión '!#REF!="Menor"),CONCATENATE("R9C",'R. Gestión '!#REF!),"")</f>
        <v>#REF!</v>
      </c>
      <c r="V44" s="56" t="e">
        <f>IF(AND('R. Gestión '!#REF!="Baja",'R. Gestión '!#REF!="Moderado"),CONCATENATE("R9C",'R. Gestión '!#REF!),"")</f>
        <v>#REF!</v>
      </c>
      <c r="W44" s="57" t="e">
        <f>IF(AND('R. Gestión '!#REF!="Baja",'R. Gestión '!#REF!="Moderado"),CONCATENATE("R9C",'R. Gestión '!#REF!),"")</f>
        <v>#REF!</v>
      </c>
      <c r="X44" s="57" t="e">
        <f>IF(AND('R. Gestión '!#REF!="Baja",'R. Gestión '!#REF!="Moderado"),CONCATENATE("R9C",'R. Gestión '!#REF!),"")</f>
        <v>#REF!</v>
      </c>
      <c r="Y44" s="57" t="e">
        <f>IF(AND('R. Gestión '!#REF!="Baja",'R. Gestión '!#REF!="Moderado"),CONCATENATE("R9C",'R. Gestión '!#REF!),"")</f>
        <v>#REF!</v>
      </c>
      <c r="Z44" s="57" t="e">
        <f>IF(AND('R. Gestión '!#REF!="Baja",'R. Gestión '!#REF!="Moderado"),CONCATENATE("R9C",'R. Gestión '!#REF!),"")</f>
        <v>#REF!</v>
      </c>
      <c r="AA44" s="58" t="e">
        <f>IF(AND('R. Gestión '!#REF!="Baja",'R. Gestión '!#REF!="Moderado"),CONCATENATE("R9C",'R. Gestión '!#REF!),"")</f>
        <v>#REF!</v>
      </c>
      <c r="AB44" s="41" t="e">
        <f>IF(AND('R. Gestión '!#REF!="Baja",'R. Gestión '!#REF!="Mayor"),CONCATENATE("R9C",'R. Gestión '!#REF!),"")</f>
        <v>#REF!</v>
      </c>
      <c r="AC44" s="42" t="e">
        <f>IF(AND('R. Gestión '!#REF!="Baja",'R. Gestión '!#REF!="Mayor"),CONCATENATE("R9C",'R. Gestión '!#REF!),"")</f>
        <v>#REF!</v>
      </c>
      <c r="AD44" s="42" t="e">
        <f>IF(AND('R. Gestión '!#REF!="Baja",'R. Gestión '!#REF!="Mayor"),CONCATENATE("R9C",'R. Gestión '!#REF!),"")</f>
        <v>#REF!</v>
      </c>
      <c r="AE44" s="42" t="e">
        <f>IF(AND('R. Gestión '!#REF!="Baja",'R. Gestión '!#REF!="Mayor"),CONCATENATE("R9C",'R. Gestión '!#REF!),"")</f>
        <v>#REF!</v>
      </c>
      <c r="AF44" s="42" t="e">
        <f>IF(AND('R. Gestión '!#REF!="Baja",'R. Gestión '!#REF!="Mayor"),CONCATENATE("R9C",'R. Gestión '!#REF!),"")</f>
        <v>#REF!</v>
      </c>
      <c r="AG44" s="43" t="e">
        <f>IF(AND('R. Gestión '!#REF!="Baja",'R. Gestión '!#REF!="Mayor"),CONCATENATE("R9C",'R. Gestión '!#REF!),"")</f>
        <v>#REF!</v>
      </c>
      <c r="AH44" s="44" t="e">
        <f>IF(AND('R. Gestión '!#REF!="Baja",'R. Gestión '!#REF!="Catastrófico"),CONCATENATE("R9C",'R. Gestión '!#REF!),"")</f>
        <v>#REF!</v>
      </c>
      <c r="AI44" s="45" t="e">
        <f>IF(AND('R. Gestión '!#REF!="Baja",'R. Gestión '!#REF!="Catastrófico"),CONCATENATE("R9C",'R. Gestión '!#REF!),"")</f>
        <v>#REF!</v>
      </c>
      <c r="AJ44" s="45" t="e">
        <f>IF(AND('R. Gestión '!#REF!="Baja",'R. Gestión '!#REF!="Catastrófico"),CONCATENATE("R9C",'R. Gestión '!#REF!),"")</f>
        <v>#REF!</v>
      </c>
      <c r="AK44" s="45" t="e">
        <f>IF(AND('R. Gestión '!#REF!="Baja",'R. Gestión '!#REF!="Catastrófico"),CONCATENATE("R9C",'R. Gestión '!#REF!),"")</f>
        <v>#REF!</v>
      </c>
      <c r="AL44" s="45" t="e">
        <f>IF(AND('R. Gestión '!#REF!="Baja",'R. Gestión '!#REF!="Catastrófico"),CONCATENATE("R9C",'R. Gestión '!#REF!),"")</f>
        <v>#REF!</v>
      </c>
      <c r="AM44" s="46" t="e">
        <f>IF(AND('R. Gestión '!#REF!="Baja",'R. Gestión '!#REF!="Catastrófico"),CONCATENATE("R9C",'R. Gestión '!#REF!),"")</f>
        <v>#REF!</v>
      </c>
      <c r="AN44" s="72"/>
      <c r="AO44" s="714"/>
      <c r="AP44" s="715"/>
      <c r="AQ44" s="715"/>
      <c r="AR44" s="715"/>
      <c r="AS44" s="715"/>
      <c r="AT44" s="716"/>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row>
    <row r="45" spans="1:80" ht="15.75" customHeight="1" thickBot="1" x14ac:dyDescent="0.3">
      <c r="A45" s="72"/>
      <c r="B45" s="642"/>
      <c r="C45" s="642"/>
      <c r="D45" s="643"/>
      <c r="E45" s="686"/>
      <c r="F45" s="687"/>
      <c r="G45" s="687"/>
      <c r="H45" s="687"/>
      <c r="I45" s="687"/>
      <c r="J45" s="68" t="e">
        <f>IF(AND('R. Gestión '!#REF!="Baja",'R. Gestión '!#REF!="Leve"),CONCATENATE("R10C",'R. Gestión '!#REF!),"")</f>
        <v>#REF!</v>
      </c>
      <c r="K45" s="69" t="e">
        <f>IF(AND('R. Gestión '!#REF!="Baja",'R. Gestión '!#REF!="Leve"),CONCATENATE("R10C",'R. Gestión '!#REF!),"")</f>
        <v>#REF!</v>
      </c>
      <c r="L45" s="69" t="e">
        <f>IF(AND('R. Gestión '!#REF!="Baja",'R. Gestión '!#REF!="Leve"),CONCATENATE("R10C",'R. Gestión '!#REF!),"")</f>
        <v>#REF!</v>
      </c>
      <c r="M45" s="69" t="e">
        <f>IF(AND('R. Gestión '!#REF!="Baja",'R. Gestión '!#REF!="Leve"),CONCATENATE("R10C",'R. Gestión '!#REF!),"")</f>
        <v>#REF!</v>
      </c>
      <c r="N45" s="69" t="e">
        <f>IF(AND('R. Gestión '!#REF!="Baja",'R. Gestión '!#REF!="Leve"),CONCATENATE("R10C",'R. Gestión '!#REF!),"")</f>
        <v>#REF!</v>
      </c>
      <c r="O45" s="70" t="e">
        <f>IF(AND('R. Gestión '!#REF!="Baja",'R. Gestión '!#REF!="Leve"),CONCATENATE("R10C",'R. Gestión '!#REF!),"")</f>
        <v>#REF!</v>
      </c>
      <c r="P45" s="56" t="e">
        <f>IF(AND('R. Gestión '!#REF!="Baja",'R. Gestión '!#REF!="Menor"),CONCATENATE("R10C",'R. Gestión '!#REF!),"")</f>
        <v>#REF!</v>
      </c>
      <c r="Q45" s="57" t="e">
        <f>IF(AND('R. Gestión '!#REF!="Baja",'R. Gestión '!#REF!="Menor"),CONCATENATE("R10C",'R. Gestión '!#REF!),"")</f>
        <v>#REF!</v>
      </c>
      <c r="R45" s="57" t="e">
        <f>IF(AND('R. Gestión '!#REF!="Baja",'R. Gestión '!#REF!="Menor"),CONCATENATE("R10C",'R. Gestión '!#REF!),"")</f>
        <v>#REF!</v>
      </c>
      <c r="S45" s="57" t="e">
        <f>IF(AND('R. Gestión '!#REF!="Baja",'R. Gestión '!#REF!="Menor"),CONCATENATE("R10C",'R. Gestión '!#REF!),"")</f>
        <v>#REF!</v>
      </c>
      <c r="T45" s="57" t="e">
        <f>IF(AND('R. Gestión '!#REF!="Baja",'R. Gestión '!#REF!="Menor"),CONCATENATE("R10C",'R. Gestión '!#REF!),"")</f>
        <v>#REF!</v>
      </c>
      <c r="U45" s="58" t="e">
        <f>IF(AND('R. Gestión '!#REF!="Baja",'R. Gestión '!#REF!="Menor"),CONCATENATE("R10C",'R. Gestión '!#REF!),"")</f>
        <v>#REF!</v>
      </c>
      <c r="V45" s="59" t="e">
        <f>IF(AND('R. Gestión '!#REF!="Baja",'R. Gestión '!#REF!="Moderado"),CONCATENATE("R10C",'R. Gestión '!#REF!),"")</f>
        <v>#REF!</v>
      </c>
      <c r="W45" s="60" t="e">
        <f>IF(AND('R. Gestión '!#REF!="Baja",'R. Gestión '!#REF!="Moderado"),CONCATENATE("R10C",'R. Gestión '!#REF!),"")</f>
        <v>#REF!</v>
      </c>
      <c r="X45" s="60" t="e">
        <f>IF(AND('R. Gestión '!#REF!="Baja",'R. Gestión '!#REF!="Moderado"),CONCATENATE("R10C",'R. Gestión '!#REF!),"")</f>
        <v>#REF!</v>
      </c>
      <c r="Y45" s="60" t="e">
        <f>IF(AND('R. Gestión '!#REF!="Baja",'R. Gestión '!#REF!="Moderado"),CONCATENATE("R10C",'R. Gestión '!#REF!),"")</f>
        <v>#REF!</v>
      </c>
      <c r="Z45" s="60" t="e">
        <f>IF(AND('R. Gestión '!#REF!="Baja",'R. Gestión '!#REF!="Moderado"),CONCATENATE("R10C",'R. Gestión '!#REF!),"")</f>
        <v>#REF!</v>
      </c>
      <c r="AA45" s="61" t="e">
        <f>IF(AND('R. Gestión '!#REF!="Baja",'R. Gestión '!#REF!="Moderado"),CONCATENATE("R10C",'R. Gestión '!#REF!),"")</f>
        <v>#REF!</v>
      </c>
      <c r="AB45" s="47" t="e">
        <f>IF(AND('R. Gestión '!#REF!="Baja",'R. Gestión '!#REF!="Mayor"),CONCATENATE("R10C",'R. Gestión '!#REF!),"")</f>
        <v>#REF!</v>
      </c>
      <c r="AC45" s="48" t="e">
        <f>IF(AND('R. Gestión '!#REF!="Baja",'R. Gestión '!#REF!="Mayor"),CONCATENATE("R10C",'R. Gestión '!#REF!),"")</f>
        <v>#REF!</v>
      </c>
      <c r="AD45" s="48" t="e">
        <f>IF(AND('R. Gestión '!#REF!="Baja",'R. Gestión '!#REF!="Mayor"),CONCATENATE("R10C",'R. Gestión '!#REF!),"")</f>
        <v>#REF!</v>
      </c>
      <c r="AE45" s="48" t="e">
        <f>IF(AND('R. Gestión '!#REF!="Baja",'R. Gestión '!#REF!="Mayor"),CONCATENATE("R10C",'R. Gestión '!#REF!),"")</f>
        <v>#REF!</v>
      </c>
      <c r="AF45" s="48" t="e">
        <f>IF(AND('R. Gestión '!#REF!="Baja",'R. Gestión '!#REF!="Mayor"),CONCATENATE("R10C",'R. Gestión '!#REF!),"")</f>
        <v>#REF!</v>
      </c>
      <c r="AG45" s="49" t="e">
        <f>IF(AND('R. Gestión '!#REF!="Baja",'R. Gestión '!#REF!="Mayor"),CONCATENATE("R10C",'R. Gestión '!#REF!),"")</f>
        <v>#REF!</v>
      </c>
      <c r="AH45" s="50" t="e">
        <f>IF(AND('R. Gestión '!#REF!="Baja",'R. Gestión '!#REF!="Catastrófico"),CONCATENATE("R10C",'R. Gestión '!#REF!),"")</f>
        <v>#REF!</v>
      </c>
      <c r="AI45" s="51" t="e">
        <f>IF(AND('R. Gestión '!#REF!="Baja",'R. Gestión '!#REF!="Catastrófico"),CONCATENATE("R10C",'R. Gestión '!#REF!),"")</f>
        <v>#REF!</v>
      </c>
      <c r="AJ45" s="51" t="e">
        <f>IF(AND('R. Gestión '!#REF!="Baja",'R. Gestión '!#REF!="Catastrófico"),CONCATENATE("R10C",'R. Gestión '!#REF!),"")</f>
        <v>#REF!</v>
      </c>
      <c r="AK45" s="51" t="e">
        <f>IF(AND('R. Gestión '!#REF!="Baja",'R. Gestión '!#REF!="Catastrófico"),CONCATENATE("R10C",'R. Gestión '!#REF!),"")</f>
        <v>#REF!</v>
      </c>
      <c r="AL45" s="51" t="e">
        <f>IF(AND('R. Gestión '!#REF!="Baja",'R. Gestión '!#REF!="Catastrófico"),CONCATENATE("R10C",'R. Gestión '!#REF!),"")</f>
        <v>#REF!</v>
      </c>
      <c r="AM45" s="52" t="e">
        <f>IF(AND('R. Gestión '!#REF!="Baja",'R. Gestión '!#REF!="Catastrófico"),CONCATENATE("R10C",'R. Gestión '!#REF!),"")</f>
        <v>#REF!</v>
      </c>
      <c r="AN45" s="72"/>
      <c r="AO45" s="717"/>
      <c r="AP45" s="718"/>
      <c r="AQ45" s="718"/>
      <c r="AR45" s="718"/>
      <c r="AS45" s="718"/>
      <c r="AT45" s="719"/>
    </row>
    <row r="46" spans="1:80" ht="46.5" customHeight="1" x14ac:dyDescent="0.35">
      <c r="A46" s="72"/>
      <c r="B46" s="642"/>
      <c r="C46" s="642"/>
      <c r="D46" s="643"/>
      <c r="E46" s="680" t="s">
        <v>97</v>
      </c>
      <c r="F46" s="681"/>
      <c r="G46" s="681"/>
      <c r="H46" s="681"/>
      <c r="I46" s="682"/>
      <c r="J46" s="62" t="e">
        <f>IF(AND('R. Gestión '!#REF!="Muy Baja",'R. Gestión '!#REF!="Leve"),CONCATENATE("R1C",'R. Gestión '!#REF!),"")</f>
        <v>#REF!</v>
      </c>
      <c r="K46" s="63" t="e">
        <f>IF(AND('R. Gestión '!#REF!="Muy Baja",'R. Gestión '!#REF!="Leve"),CONCATENATE("R1C",'R. Gestión '!#REF!),"")</f>
        <v>#REF!</v>
      </c>
      <c r="L46" s="63" t="e">
        <f>IF(AND('R. Gestión '!#REF!="Muy Baja",'R. Gestión '!#REF!="Leve"),CONCATENATE("R1C",'R. Gestión '!#REF!),"")</f>
        <v>#REF!</v>
      </c>
      <c r="M46" s="63" t="e">
        <f>IF(AND('R. Gestión '!#REF!="Muy Baja",'R. Gestión '!#REF!="Leve"),CONCATENATE("R1C",'R. Gestión '!#REF!),"")</f>
        <v>#REF!</v>
      </c>
      <c r="N46" s="63" t="e">
        <f>IF(AND('R. Gestión '!#REF!="Muy Baja",'R. Gestión '!#REF!="Leve"),CONCATENATE("R1C",'R. Gestión '!#REF!),"")</f>
        <v>#REF!</v>
      </c>
      <c r="O46" s="64" t="e">
        <f>IF(AND('R. Gestión '!#REF!="Muy Baja",'R. Gestión '!#REF!="Leve"),CONCATENATE("R1C",'R. Gestión '!#REF!),"")</f>
        <v>#REF!</v>
      </c>
      <c r="P46" s="62" t="e">
        <f>IF(AND('R. Gestión '!#REF!="Muy Baja",'R. Gestión '!#REF!="Menor"),CONCATENATE("R1C",'R. Gestión '!#REF!),"")</f>
        <v>#REF!</v>
      </c>
      <c r="Q46" s="63" t="e">
        <f>IF(AND('R. Gestión '!#REF!="Muy Baja",'R. Gestión '!#REF!="Menor"),CONCATENATE("R1C",'R. Gestión '!#REF!),"")</f>
        <v>#REF!</v>
      </c>
      <c r="R46" s="63" t="e">
        <f>IF(AND('R. Gestión '!#REF!="Muy Baja",'R. Gestión '!#REF!="Menor"),CONCATENATE("R1C",'R. Gestión '!#REF!),"")</f>
        <v>#REF!</v>
      </c>
      <c r="S46" s="63" t="e">
        <f>IF(AND('R. Gestión '!#REF!="Muy Baja",'R. Gestión '!#REF!="Menor"),CONCATENATE("R1C",'R. Gestión '!#REF!),"")</f>
        <v>#REF!</v>
      </c>
      <c r="T46" s="63" t="e">
        <f>IF(AND('R. Gestión '!#REF!="Muy Baja",'R. Gestión '!#REF!="Menor"),CONCATENATE("R1C",'R. Gestión '!#REF!),"")</f>
        <v>#REF!</v>
      </c>
      <c r="U46" s="64" t="e">
        <f>IF(AND('R. Gestión '!#REF!="Muy Baja",'R. Gestión '!#REF!="Menor"),CONCATENATE("R1C",'R. Gestión '!#REF!),"")</f>
        <v>#REF!</v>
      </c>
      <c r="V46" s="53" t="e">
        <f>IF(AND('R. Gestión '!#REF!="Muy Baja",'R. Gestión '!#REF!="Moderado"),CONCATENATE("R1C",'R. Gestión '!#REF!),"")</f>
        <v>#REF!</v>
      </c>
      <c r="W46" s="71" t="e">
        <f>IF(AND('R. Gestión '!#REF!="Muy Baja",'R. Gestión '!#REF!="Moderado"),CONCATENATE("R1C",'R. Gestión '!#REF!),"")</f>
        <v>#REF!</v>
      </c>
      <c r="X46" s="54" t="e">
        <f>IF(AND('R. Gestión '!#REF!="Muy Baja",'R. Gestión '!#REF!="Moderado"),CONCATENATE("R1C",'R. Gestión '!#REF!),"")</f>
        <v>#REF!</v>
      </c>
      <c r="Y46" s="54" t="e">
        <f>IF(AND('R. Gestión '!#REF!="Muy Baja",'R. Gestión '!#REF!="Moderado"),CONCATENATE("R1C",'R. Gestión '!#REF!),"")</f>
        <v>#REF!</v>
      </c>
      <c r="Z46" s="54" t="e">
        <f>IF(AND('R. Gestión '!#REF!="Muy Baja",'R. Gestión '!#REF!="Moderado"),CONCATENATE("R1C",'R. Gestión '!#REF!),"")</f>
        <v>#REF!</v>
      </c>
      <c r="AA46" s="55" t="e">
        <f>IF(AND('R. Gestión '!#REF!="Muy Baja",'R. Gestión '!#REF!="Moderado"),CONCATENATE("R1C",'R. Gestión '!#REF!),"")</f>
        <v>#REF!</v>
      </c>
      <c r="AB46" s="35" t="e">
        <f>IF(AND('R. Gestión '!#REF!="Muy Baja",'R. Gestión '!#REF!="Mayor"),CONCATENATE("R1C",'R. Gestión '!#REF!),"")</f>
        <v>#REF!</v>
      </c>
      <c r="AC46" s="36" t="e">
        <f>IF(AND('R. Gestión '!#REF!="Muy Baja",'R. Gestión '!#REF!="Mayor"),CONCATENATE("R1C",'R. Gestión '!#REF!),"")</f>
        <v>#REF!</v>
      </c>
      <c r="AD46" s="36" t="e">
        <f>IF(AND('R. Gestión '!#REF!="Muy Baja",'R. Gestión '!#REF!="Mayor"),CONCATENATE("R1C",'R. Gestión '!#REF!),"")</f>
        <v>#REF!</v>
      </c>
      <c r="AE46" s="36" t="e">
        <f>IF(AND('R. Gestión '!#REF!="Muy Baja",'R. Gestión '!#REF!="Mayor"),CONCATENATE("R1C",'R. Gestión '!#REF!),"")</f>
        <v>#REF!</v>
      </c>
      <c r="AF46" s="36" t="e">
        <f>IF(AND('R. Gestión '!#REF!="Muy Baja",'R. Gestión '!#REF!="Mayor"),CONCATENATE("R1C",'R. Gestión '!#REF!),"")</f>
        <v>#REF!</v>
      </c>
      <c r="AG46" s="37" t="e">
        <f>IF(AND('R. Gestión '!#REF!="Muy Baja",'R. Gestión '!#REF!="Mayor"),CONCATENATE("R1C",'R. Gestión '!#REF!),"")</f>
        <v>#REF!</v>
      </c>
      <c r="AH46" s="38" t="e">
        <f>IF(AND('R. Gestión '!#REF!="Muy Baja",'R. Gestión '!#REF!="Catastrófico"),CONCATENATE("R1C",'R. Gestión '!#REF!),"")</f>
        <v>#REF!</v>
      </c>
      <c r="AI46" s="39" t="e">
        <f>IF(AND('R. Gestión '!#REF!="Muy Baja",'R. Gestión '!#REF!="Catastrófico"),CONCATENATE("R1C",'R. Gestión '!#REF!),"")</f>
        <v>#REF!</v>
      </c>
      <c r="AJ46" s="39" t="e">
        <f>IF(AND('R. Gestión '!#REF!="Muy Baja",'R. Gestión '!#REF!="Catastrófico"),CONCATENATE("R1C",'R. Gestión '!#REF!),"")</f>
        <v>#REF!</v>
      </c>
      <c r="AK46" s="39" t="e">
        <f>IF(AND('R. Gestión '!#REF!="Muy Baja",'R. Gestión '!#REF!="Catastrófico"),CONCATENATE("R1C",'R. Gestión '!#REF!),"")</f>
        <v>#REF!</v>
      </c>
      <c r="AL46" s="39" t="e">
        <f>IF(AND('R. Gestión '!#REF!="Muy Baja",'R. Gestión '!#REF!="Catastrófico"),CONCATENATE("R1C",'R. Gestión '!#REF!),"")</f>
        <v>#REF!</v>
      </c>
      <c r="AM46" s="40" t="e">
        <f>IF(AND('R. Gestión '!#REF!="Muy Baja",'R. Gestión '!#REF!="Catastrófico"),CONCATENATE("R1C",'R. Gestión '!#REF!),"")</f>
        <v>#REF!</v>
      </c>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row>
    <row r="47" spans="1:80" ht="46.5" customHeight="1" x14ac:dyDescent="0.25">
      <c r="A47" s="72"/>
      <c r="B47" s="642"/>
      <c r="C47" s="642"/>
      <c r="D47" s="643"/>
      <c r="E47" s="699"/>
      <c r="F47" s="684"/>
      <c r="G47" s="684"/>
      <c r="H47" s="684"/>
      <c r="I47" s="685"/>
      <c r="J47" s="65" t="str">
        <f ca="1">IF(AND('R. Gestión '!$AC$31="Muy Baja",'R. Gestión '!$AE$31="Leve"),CONCATENATE("R2C",'R. Gestión '!$R$31),"")</f>
        <v/>
      </c>
      <c r="K47" s="66" t="str">
        <f ca="1">IF(AND('R. Gestión '!$AC$32="Muy Baja",'R. Gestión '!$AE$32="Leve"),CONCATENATE("R2C",'R. Gestión '!$R$32),"")</f>
        <v/>
      </c>
      <c r="L47" s="66" t="str">
        <f ca="1">IF(AND('R. Gestión '!$AC$33="Muy Baja",'R. Gestión '!$AE$33="Leve"),CONCATENATE("R2C",'R. Gestión '!$R$33),"")</f>
        <v/>
      </c>
      <c r="M47" s="66" t="str">
        <f>IF(AND('R. Gestión '!$AC$34="Muy Baja",'R. Gestión '!$AE$34="Leve"),CONCATENATE("R2C",'R. Gestión '!$R$34),"")</f>
        <v/>
      </c>
      <c r="N47" s="66" t="str">
        <f>IF(AND('R. Gestión '!$AC$35="Muy Baja",'R. Gestión '!$AE$35="Leve"),CONCATENATE("R2C",'R. Gestión '!$R$35),"")</f>
        <v/>
      </c>
      <c r="O47" s="67" t="str">
        <f>IF(AND('R. Gestión '!$AC$36="Muy Baja",'R. Gestión '!$AE$36="Leve"),CONCATENATE("R2C",'R. Gestión '!$R$36),"")</f>
        <v/>
      </c>
      <c r="P47" s="65" t="str">
        <f ca="1">IF(AND('R. Gestión '!$AC$31="Muy Baja",'R. Gestión '!$AE$31="Menor"),CONCATENATE("R2C",'R. Gestión '!$R$31),"")</f>
        <v/>
      </c>
      <c r="Q47" s="66" t="str">
        <f ca="1">IF(AND('R. Gestión '!$AC$32="Muy Baja",'R. Gestión '!$AE$32="Menor"),CONCATENATE("R2C",'R. Gestión '!$R$32),"")</f>
        <v/>
      </c>
      <c r="R47" s="66" t="str">
        <f ca="1">IF(AND('R. Gestión '!$AC$33="Muy Baja",'R. Gestión '!$AE$33="Menor"),CONCATENATE("R2C",'R. Gestión '!$R$33),"")</f>
        <v/>
      </c>
      <c r="S47" s="66" t="str">
        <f>IF(AND('R. Gestión '!$AC$34="Muy Baja",'R. Gestión '!$AE$34="Menor"),CONCATENATE("R2C",'R. Gestión '!$R$34),"")</f>
        <v/>
      </c>
      <c r="T47" s="66" t="str">
        <f>IF(AND('R. Gestión '!$AC$35="Muy Baja",'R. Gestión '!$AE$35="Menor"),CONCATENATE("R2C",'R. Gestión '!$R$35),"")</f>
        <v/>
      </c>
      <c r="U47" s="67" t="str">
        <f>IF(AND('R. Gestión '!$AC$36="Muy Baja",'R. Gestión '!$AE$36="Menor"),CONCATENATE("R2C",'R. Gestión '!$R$36),"")</f>
        <v/>
      </c>
      <c r="V47" s="56" t="str">
        <f ca="1">IF(AND('R. Gestión '!$AC$31="Muy Baja",'R. Gestión '!$AE$31="Moderado"),CONCATENATE("R2C",'R. Gestión '!$R$31),"")</f>
        <v/>
      </c>
      <c r="W47" s="57" t="str">
        <f ca="1">IF(AND('R. Gestión '!$AC$32="Muy Baja",'R. Gestión '!$AE$32="Moderado"),CONCATENATE("R2C",'R. Gestión '!$R$32),"")</f>
        <v/>
      </c>
      <c r="X47" s="57" t="str">
        <f ca="1">IF(AND('R. Gestión '!$AC$33="Muy Baja",'R. Gestión '!$AE$33="Moderado"),CONCATENATE("R2C",'R. Gestión '!$R$33),"")</f>
        <v>R2C3</v>
      </c>
      <c r="Y47" s="57" t="str">
        <f>IF(AND('R. Gestión '!$AC$34="Muy Baja",'R. Gestión '!$AE$34="Moderado"),CONCATENATE("R2C",'R. Gestión '!$R$34),"")</f>
        <v/>
      </c>
      <c r="Z47" s="57" t="str">
        <f>IF(AND('R. Gestión '!$AC$35="Muy Baja",'R. Gestión '!$AE$35="Moderado"),CONCATENATE("R2C",'R. Gestión '!$R$35),"")</f>
        <v/>
      </c>
      <c r="AA47" s="58" t="str">
        <f>IF(AND('R. Gestión '!$AC$36="Muy Baja",'R. Gestión '!$AE$36="Moderado"),CONCATENATE("R2C",'R. Gestión '!$R$36),"")</f>
        <v/>
      </c>
      <c r="AB47" s="41" t="str">
        <f ca="1">IF(AND('R. Gestión '!$AC$31="Muy Baja",'R. Gestión '!$AE$31="Mayor"),CONCATENATE("R2C",'R. Gestión '!$R$31),"")</f>
        <v/>
      </c>
      <c r="AC47" s="42" t="str">
        <f ca="1">IF(AND('R. Gestión '!$AC$32="Muy Baja",'R. Gestión '!$AE$32="Mayor"),CONCATENATE("R2C",'R. Gestión '!$R$32),"")</f>
        <v/>
      </c>
      <c r="AD47" s="42" t="str">
        <f ca="1">IF(AND('R. Gestión '!$AC$33="Muy Baja",'R. Gestión '!$AE$33="Mayor"),CONCATENATE("R2C",'R. Gestión '!$R$33),"")</f>
        <v/>
      </c>
      <c r="AE47" s="42" t="str">
        <f>IF(AND('R. Gestión '!$AC$34="Muy Baja",'R. Gestión '!$AE$34="Mayor"),CONCATENATE("R2C",'R. Gestión '!$R$34),"")</f>
        <v/>
      </c>
      <c r="AF47" s="42" t="str">
        <f>IF(AND('R. Gestión '!$AC$35="Muy Baja",'R. Gestión '!$AE$35="Mayor"),CONCATENATE("R2C",'R. Gestión '!$R$35),"")</f>
        <v/>
      </c>
      <c r="AG47" s="43" t="str">
        <f>IF(AND('R. Gestión '!$AC$36="Muy Baja",'R. Gestión '!$AE$36="Mayor"),CONCATENATE("R2C",'R. Gestión '!$R$36),"")</f>
        <v/>
      </c>
      <c r="AH47" s="44" t="str">
        <f ca="1">IF(AND('R. Gestión '!$AC$31="Muy Baja",'R. Gestión '!$AE$31="Catastrófico"),CONCATENATE("R2C",'R. Gestión '!$R$31),"")</f>
        <v/>
      </c>
      <c r="AI47" s="45" t="str">
        <f ca="1">IF(AND('R. Gestión '!$AC$32="Muy Baja",'R. Gestión '!$AE$32="Catastrófico"),CONCATENATE("R2C",'R. Gestión '!$R$32),"")</f>
        <v/>
      </c>
      <c r="AJ47" s="45" t="str">
        <f ca="1">IF(AND('R. Gestión '!$AC$33="Muy Baja",'R. Gestión '!$AE$33="Catastrófico"),CONCATENATE("R2C",'R. Gestión '!$R$33),"")</f>
        <v/>
      </c>
      <c r="AK47" s="45" t="str">
        <f>IF(AND('R. Gestión '!$AC$34="Muy Baja",'R. Gestión '!$AE$34="Catastrófico"),CONCATENATE("R2C",'R. Gestión '!$R$34),"")</f>
        <v/>
      </c>
      <c r="AL47" s="45" t="str">
        <f>IF(AND('R. Gestión '!$AC$35="Muy Baja",'R. Gestión '!$AE$35="Catastrófico"),CONCATENATE("R2C",'R. Gestión '!$R$35),"")</f>
        <v/>
      </c>
      <c r="AM47" s="46" t="str">
        <f>IF(AND('R. Gestión '!$AC$36="Muy Baja",'R. Gestión '!$AE$36="Catastrófico"),CONCATENATE("R2C",'R. Gestión '!$R$36),"")</f>
        <v/>
      </c>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row>
    <row r="48" spans="1:80" ht="15" customHeight="1" x14ac:dyDescent="0.25">
      <c r="A48" s="72"/>
      <c r="B48" s="642"/>
      <c r="C48" s="642"/>
      <c r="D48" s="643"/>
      <c r="E48" s="699"/>
      <c r="F48" s="684"/>
      <c r="G48" s="684"/>
      <c r="H48" s="684"/>
      <c r="I48" s="685"/>
      <c r="J48" s="65" t="e">
        <f>IF(AND('R. Gestión '!#REF!="Muy Baja",'R. Gestión '!#REF!="Leve"),CONCATENATE("R3C",'R. Gestión '!#REF!),"")</f>
        <v>#REF!</v>
      </c>
      <c r="K48" s="66" t="e">
        <f>IF(AND('R. Gestión '!#REF!="Muy Baja",'R. Gestión '!#REF!="Leve"),CONCATENATE("R3C",'R. Gestión '!#REF!),"")</f>
        <v>#REF!</v>
      </c>
      <c r="L48" s="66" t="e">
        <f>IF(AND('R. Gestión '!#REF!="Muy Baja",'R. Gestión '!#REF!="Leve"),CONCATENATE("R3C",'R. Gestión '!#REF!),"")</f>
        <v>#REF!</v>
      </c>
      <c r="M48" s="66" t="e">
        <f>IF(AND('R. Gestión '!#REF!="Muy Baja",'R. Gestión '!#REF!="Leve"),CONCATENATE("R3C",'R. Gestión '!#REF!),"")</f>
        <v>#REF!</v>
      </c>
      <c r="N48" s="66" t="e">
        <f>IF(AND('R. Gestión '!#REF!="Muy Baja",'R. Gestión '!#REF!="Leve"),CONCATENATE("R3C",'R. Gestión '!#REF!),"")</f>
        <v>#REF!</v>
      </c>
      <c r="O48" s="67" t="e">
        <f>IF(AND('R. Gestión '!#REF!="Muy Baja",'R. Gestión '!#REF!="Leve"),CONCATENATE("R3C",'R. Gestión '!#REF!),"")</f>
        <v>#REF!</v>
      </c>
      <c r="P48" s="65" t="e">
        <f>IF(AND('R. Gestión '!#REF!="Muy Baja",'R. Gestión '!#REF!="Menor"),CONCATENATE("R3C",'R. Gestión '!#REF!),"")</f>
        <v>#REF!</v>
      </c>
      <c r="Q48" s="66" t="e">
        <f>IF(AND('R. Gestión '!#REF!="Muy Baja",'R. Gestión '!#REF!="Menor"),CONCATENATE("R3C",'R. Gestión '!#REF!),"")</f>
        <v>#REF!</v>
      </c>
      <c r="R48" s="66" t="e">
        <f>IF(AND('R. Gestión '!#REF!="Muy Baja",'R. Gestión '!#REF!="Menor"),CONCATENATE("R3C",'R. Gestión '!#REF!),"")</f>
        <v>#REF!</v>
      </c>
      <c r="S48" s="66" t="e">
        <f>IF(AND('R. Gestión '!#REF!="Muy Baja",'R. Gestión '!#REF!="Menor"),CONCATENATE("R3C",'R. Gestión '!#REF!),"")</f>
        <v>#REF!</v>
      </c>
      <c r="T48" s="66" t="e">
        <f>IF(AND('R. Gestión '!#REF!="Muy Baja",'R. Gestión '!#REF!="Menor"),CONCATENATE("R3C",'R. Gestión '!#REF!),"")</f>
        <v>#REF!</v>
      </c>
      <c r="U48" s="67" t="e">
        <f>IF(AND('R. Gestión '!#REF!="Muy Baja",'R. Gestión '!#REF!="Menor"),CONCATENATE("R3C",'R. Gestión '!#REF!),"")</f>
        <v>#REF!</v>
      </c>
      <c r="V48" s="56" t="e">
        <f>IF(AND('R. Gestión '!#REF!="Muy Baja",'R. Gestión '!#REF!="Moderado"),CONCATENATE("R3C",'R. Gestión '!#REF!),"")</f>
        <v>#REF!</v>
      </c>
      <c r="W48" s="57" t="e">
        <f>IF(AND('R. Gestión '!#REF!="Muy Baja",'R. Gestión '!#REF!="Moderado"),CONCATENATE("R3C",'R. Gestión '!#REF!),"")</f>
        <v>#REF!</v>
      </c>
      <c r="X48" s="57" t="e">
        <f>IF(AND('R. Gestión '!#REF!="Muy Baja",'R. Gestión '!#REF!="Moderado"),CONCATENATE("R3C",'R. Gestión '!#REF!),"")</f>
        <v>#REF!</v>
      </c>
      <c r="Y48" s="57" t="e">
        <f>IF(AND('R. Gestión '!#REF!="Muy Baja",'R. Gestión '!#REF!="Moderado"),CONCATENATE("R3C",'R. Gestión '!#REF!),"")</f>
        <v>#REF!</v>
      </c>
      <c r="Z48" s="57" t="e">
        <f>IF(AND('R. Gestión '!#REF!="Muy Baja",'R. Gestión '!#REF!="Moderado"),CONCATENATE("R3C",'R. Gestión '!#REF!),"")</f>
        <v>#REF!</v>
      </c>
      <c r="AA48" s="58" t="e">
        <f>IF(AND('R. Gestión '!#REF!="Muy Baja",'R. Gestión '!#REF!="Moderado"),CONCATENATE("R3C",'R. Gestión '!#REF!),"")</f>
        <v>#REF!</v>
      </c>
      <c r="AB48" s="41" t="e">
        <f>IF(AND('R. Gestión '!#REF!="Muy Baja",'R. Gestión '!#REF!="Mayor"),CONCATENATE("R3C",'R. Gestión '!#REF!),"")</f>
        <v>#REF!</v>
      </c>
      <c r="AC48" s="42" t="e">
        <f>IF(AND('R. Gestión '!#REF!="Muy Baja",'R. Gestión '!#REF!="Mayor"),CONCATENATE("R3C",'R. Gestión '!#REF!),"")</f>
        <v>#REF!</v>
      </c>
      <c r="AD48" s="42" t="e">
        <f>IF(AND('R. Gestión '!#REF!="Muy Baja",'R. Gestión '!#REF!="Mayor"),CONCATENATE("R3C",'R. Gestión '!#REF!),"")</f>
        <v>#REF!</v>
      </c>
      <c r="AE48" s="42" t="e">
        <f>IF(AND('R. Gestión '!#REF!="Muy Baja",'R. Gestión '!#REF!="Mayor"),CONCATENATE("R3C",'R. Gestión '!#REF!),"")</f>
        <v>#REF!</v>
      </c>
      <c r="AF48" s="42" t="e">
        <f>IF(AND('R. Gestión '!#REF!="Muy Baja",'R. Gestión '!#REF!="Mayor"),CONCATENATE("R3C",'R. Gestión '!#REF!),"")</f>
        <v>#REF!</v>
      </c>
      <c r="AG48" s="43" t="e">
        <f>IF(AND('R. Gestión '!#REF!="Muy Baja",'R. Gestión '!#REF!="Mayor"),CONCATENATE("R3C",'R. Gestión '!#REF!),"")</f>
        <v>#REF!</v>
      </c>
      <c r="AH48" s="44" t="e">
        <f>IF(AND('R. Gestión '!#REF!="Muy Baja",'R. Gestión '!#REF!="Catastrófico"),CONCATENATE("R3C",'R. Gestión '!#REF!),"")</f>
        <v>#REF!</v>
      </c>
      <c r="AI48" s="45" t="e">
        <f>IF(AND('R. Gestión '!#REF!="Muy Baja",'R. Gestión '!#REF!="Catastrófico"),CONCATENATE("R3C",'R. Gestión '!#REF!),"")</f>
        <v>#REF!</v>
      </c>
      <c r="AJ48" s="45" t="e">
        <f>IF(AND('R. Gestión '!#REF!="Muy Baja",'R. Gestión '!#REF!="Catastrófico"),CONCATENATE("R3C",'R. Gestión '!#REF!),"")</f>
        <v>#REF!</v>
      </c>
      <c r="AK48" s="45" t="e">
        <f>IF(AND('R. Gestión '!#REF!="Muy Baja",'R. Gestión '!#REF!="Catastrófico"),CONCATENATE("R3C",'R. Gestión '!#REF!),"")</f>
        <v>#REF!</v>
      </c>
      <c r="AL48" s="45" t="e">
        <f>IF(AND('R. Gestión '!#REF!="Muy Baja",'R. Gestión '!#REF!="Catastrófico"),CONCATENATE("R3C",'R. Gestión '!#REF!),"")</f>
        <v>#REF!</v>
      </c>
      <c r="AM48" s="46" t="e">
        <f>IF(AND('R. Gestión '!#REF!="Muy Baja",'R. Gestión '!#REF!="Catastrófico"),CONCATENATE("R3C",'R. Gestión '!#REF!),"")</f>
        <v>#REF!</v>
      </c>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row>
    <row r="49" spans="1:80" ht="15" customHeight="1" x14ac:dyDescent="0.25">
      <c r="A49" s="72"/>
      <c r="B49" s="642"/>
      <c r="C49" s="642"/>
      <c r="D49" s="643"/>
      <c r="E49" s="683"/>
      <c r="F49" s="684"/>
      <c r="G49" s="684"/>
      <c r="H49" s="684"/>
      <c r="I49" s="685"/>
      <c r="J49" s="65" t="str">
        <f ca="1">IF(AND('R. Gestión '!$AC$271="Muy Baja",'R. Gestión '!$AE$271="Leve"),CONCATENATE("R4C",'R. Gestión '!$R$271),"")</f>
        <v/>
      </c>
      <c r="K49" s="66" t="str">
        <f ca="1">IF(AND('R. Gestión '!$AC$272="Muy Baja",'R. Gestión '!$AE$272="Leve"),CONCATENATE("R4C",'R. Gestión '!$R$272),"")</f>
        <v/>
      </c>
      <c r="L49" s="66" t="str">
        <f>IF(AND('R. Gestión '!$AC$273="Muy Baja",'R. Gestión '!$AE$273="Leve"),CONCATENATE("R4C",'R. Gestión '!$R$273),"")</f>
        <v/>
      </c>
      <c r="M49" s="66" t="str">
        <f>IF(AND('R. Gestión '!$AC$274="Muy Baja",'R. Gestión '!$AE$274="Leve"),CONCATENATE("R4C",'R. Gestión '!$R$274),"")</f>
        <v/>
      </c>
      <c r="N49" s="66" t="str">
        <f>IF(AND('R. Gestión '!$AC$275="Muy Baja",'R. Gestión '!$AE$275="Leve"),CONCATENATE("R4C",'R. Gestión '!$R$275),"")</f>
        <v/>
      </c>
      <c r="O49" s="67" t="str">
        <f>IF(AND('R. Gestión '!$AC$276="Muy Baja",'R. Gestión '!$AE$276="Leve"),CONCATENATE("R4C",'R. Gestión '!$R$276),"")</f>
        <v/>
      </c>
      <c r="P49" s="65" t="str">
        <f ca="1">IF(AND('R. Gestión '!$AC$271="Muy Baja",'R. Gestión '!$AE$271="Menor"),CONCATENATE("R4C",'R. Gestión '!$R$271),"")</f>
        <v/>
      </c>
      <c r="Q49" s="66" t="str">
        <f ca="1">IF(AND('R. Gestión '!$AC$272="Muy Baja",'R. Gestión '!$AE$272="Menor"),CONCATENATE("R4C",'R. Gestión '!$R$272),"")</f>
        <v/>
      </c>
      <c r="R49" s="66" t="str">
        <f>IF(AND('R. Gestión '!$AC$273="Muy Baja",'R. Gestión '!$AE$273="Menor"),CONCATENATE("R4C",'R. Gestión '!$R$273),"")</f>
        <v/>
      </c>
      <c r="S49" s="66" t="str">
        <f>IF(AND('R. Gestión '!$AC$274="Muy Baja",'R. Gestión '!$AE$274="Menor"),CONCATENATE("R4C",'R. Gestión '!$R$274),"")</f>
        <v/>
      </c>
      <c r="T49" s="66" t="str">
        <f>IF(AND('R. Gestión '!$AC$275="Muy Baja",'R. Gestión '!$AE$275="Menor"),CONCATENATE("R4C",'R. Gestión '!$R$275),"")</f>
        <v/>
      </c>
      <c r="U49" s="67" t="str">
        <f>IF(AND('R. Gestión '!$AC$276="Muy Baja",'R. Gestión '!$AE$276="Menor"),CONCATENATE("R4C",'R. Gestión '!$R$276),"")</f>
        <v/>
      </c>
      <c r="V49" s="56" t="str">
        <f ca="1">IF(AND('R. Gestión '!$AC$271="Muy Baja",'R. Gestión '!$AE$271="Moderado"),CONCATENATE("R4C",'R. Gestión '!$R$271),"")</f>
        <v/>
      </c>
      <c r="W49" s="57" t="str">
        <f ca="1">IF(AND('R. Gestión '!$AC$272="Muy Baja",'R. Gestión '!$AE$272="Moderado"),CONCATENATE("R4C",'R. Gestión '!$R$272),"")</f>
        <v>R4C2</v>
      </c>
      <c r="X49" s="57" t="str">
        <f>IF(AND('R. Gestión '!$AC$273="Muy Baja",'R. Gestión '!$AE$273="Moderado"),CONCATENATE("R4C",'R. Gestión '!$R$273),"")</f>
        <v/>
      </c>
      <c r="Y49" s="57" t="str">
        <f>IF(AND('R. Gestión '!$AC$274="Muy Baja",'R. Gestión '!$AE$274="Moderado"),CONCATENATE("R4C",'R. Gestión '!$R$274),"")</f>
        <v/>
      </c>
      <c r="Z49" s="57" t="str">
        <f>IF(AND('R. Gestión '!$AC$275="Muy Baja",'R. Gestión '!$AE$275="Moderado"),CONCATENATE("R4C",'R. Gestión '!$R$275),"")</f>
        <v/>
      </c>
      <c r="AA49" s="58" t="str">
        <f>IF(AND('R. Gestión '!$AC$276="Muy Baja",'R. Gestión '!$AE$276="Moderado"),CONCATENATE("R4C",'R. Gestión '!$R$276),"")</f>
        <v/>
      </c>
      <c r="AB49" s="41" t="str">
        <f ca="1">IF(AND('R. Gestión '!$AC$271="Muy Baja",'R. Gestión '!$AE$271="Mayor"),CONCATENATE("R4C",'R. Gestión '!$R$271),"")</f>
        <v/>
      </c>
      <c r="AC49" s="42" t="str">
        <f ca="1">IF(AND('R. Gestión '!$AC$272="Muy Baja",'R. Gestión '!$AE$272="Mayor"),CONCATENATE("R4C",'R. Gestión '!$R$272),"")</f>
        <v/>
      </c>
      <c r="AD49" s="42" t="str">
        <f>IF(AND('R. Gestión '!$AC$273="Muy Baja",'R. Gestión '!$AE$273="Mayor"),CONCATENATE("R4C",'R. Gestión '!$R$273),"")</f>
        <v/>
      </c>
      <c r="AE49" s="42" t="str">
        <f>IF(AND('R. Gestión '!$AC$274="Muy Baja",'R. Gestión '!$AE$274="Mayor"),CONCATENATE("R4C",'R. Gestión '!$R$274),"")</f>
        <v/>
      </c>
      <c r="AF49" s="42" t="str">
        <f>IF(AND('R. Gestión '!$AC$275="Muy Baja",'R. Gestión '!$AE$275="Mayor"),CONCATENATE("R4C",'R. Gestión '!$R$275),"")</f>
        <v/>
      </c>
      <c r="AG49" s="43" t="str">
        <f>IF(AND('R. Gestión '!$AC$276="Muy Baja",'R. Gestión '!$AE$276="Mayor"),CONCATENATE("R4C",'R. Gestión '!$R$276),"")</f>
        <v/>
      </c>
      <c r="AH49" s="44" t="str">
        <f ca="1">IF(AND('R. Gestión '!$AC$271="Muy Baja",'R. Gestión '!$AE$271="Catastrófico"),CONCATENATE("R4C",'R. Gestión '!$R$271),"")</f>
        <v/>
      </c>
      <c r="AI49" s="45" t="str">
        <f ca="1">IF(AND('R. Gestión '!$AC$272="Muy Baja",'R. Gestión '!$AE$272="Catastrófico"),CONCATENATE("R4C",'R. Gestión '!$R$272),"")</f>
        <v/>
      </c>
      <c r="AJ49" s="45" t="str">
        <f>IF(AND('R. Gestión '!$AC$273="Muy Baja",'R. Gestión '!$AE$273="Catastrófico"),CONCATENATE("R4C",'R. Gestión '!$R$273),"")</f>
        <v/>
      </c>
      <c r="AK49" s="45" t="str">
        <f>IF(AND('R. Gestión '!$AC$274="Muy Baja",'R. Gestión '!$AE$274="Catastrófico"),CONCATENATE("R4C",'R. Gestión '!$R$274),"")</f>
        <v/>
      </c>
      <c r="AL49" s="45" t="str">
        <f>IF(AND('R. Gestión '!$AC$275="Muy Baja",'R. Gestión '!$AE$275="Catastrófico"),CONCATENATE("R4C",'R. Gestión '!$R$275),"")</f>
        <v/>
      </c>
      <c r="AM49" s="46" t="str">
        <f>IF(AND('R. Gestión '!$AC$276="Muy Baja",'R. Gestión '!$AE$276="Catastrófico"),CONCATENATE("R4C",'R. Gestión '!$R$276),"")</f>
        <v/>
      </c>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row>
    <row r="50" spans="1:80" ht="15" customHeight="1" x14ac:dyDescent="0.25">
      <c r="A50" s="72"/>
      <c r="B50" s="642"/>
      <c r="C50" s="642"/>
      <c r="D50" s="643"/>
      <c r="E50" s="683"/>
      <c r="F50" s="684"/>
      <c r="G50" s="684"/>
      <c r="H50" s="684"/>
      <c r="I50" s="685"/>
      <c r="J50" s="65" t="str">
        <f ca="1">IF(AND('R. Gestión '!$AC$289="Muy Baja",'R. Gestión '!$AE$289="Leve"),CONCATENATE("R5C",'R. Gestión '!$R$289),"")</f>
        <v/>
      </c>
      <c r="K50" s="66" t="str">
        <f>IF(AND('R. Gestión '!$AC$290="Muy Baja",'R. Gestión '!$AE$290="Leve"),CONCATENATE("R5C",'R. Gestión '!$R$290),"")</f>
        <v/>
      </c>
      <c r="L50" s="66" t="str">
        <f>IF(AND('R. Gestión '!$AC$291="Muy Baja",'R. Gestión '!$AE$291="Leve"),CONCATENATE("R5C",'R. Gestión '!$R$291),"")</f>
        <v/>
      </c>
      <c r="M50" s="66" t="str">
        <f>IF(AND('R. Gestión '!$AC$292="Muy Baja",'R. Gestión '!$AE$292="Leve"),CONCATENATE("R5C",'R. Gestión '!$R$292),"")</f>
        <v/>
      </c>
      <c r="N50" s="66" t="str">
        <f>IF(AND('R. Gestión '!$AC$293="Muy Baja",'R. Gestión '!$AE$293="Leve"),CONCATENATE("R5C",'R. Gestión '!$R$293),"")</f>
        <v/>
      </c>
      <c r="O50" s="67" t="str">
        <f>IF(AND('R. Gestión '!$AC$294="Muy Baja",'R. Gestión '!$AE$294="Leve"),CONCATENATE("R5C",'R. Gestión '!$R$294),"")</f>
        <v/>
      </c>
      <c r="P50" s="65" t="str">
        <f ca="1">IF(AND('R. Gestión '!$AC$289="Muy Baja",'R. Gestión '!$AE$289="Menor"),CONCATENATE("R5C",'R. Gestión '!$R$289),"")</f>
        <v/>
      </c>
      <c r="Q50" s="66" t="str">
        <f>IF(AND('R. Gestión '!$AC$290="Muy Baja",'R. Gestión '!$AE$290="Menor"),CONCATENATE("R5C",'R. Gestión '!$R$290),"")</f>
        <v/>
      </c>
      <c r="R50" s="66" t="str">
        <f>IF(AND('R. Gestión '!$AC$291="Muy Baja",'R. Gestión '!$AE$291="Menor"),CONCATENATE("R5C",'R. Gestión '!$R$291),"")</f>
        <v/>
      </c>
      <c r="S50" s="66" t="str">
        <f>IF(AND('R. Gestión '!$AC$292="Muy Baja",'R. Gestión '!$AE$292="Menor"),CONCATENATE("R5C",'R. Gestión '!$R$292),"")</f>
        <v/>
      </c>
      <c r="T50" s="66" t="str">
        <f>IF(AND('R. Gestión '!$AC$293="Muy Baja",'R. Gestión '!$AE$293="Menor"),CONCATENATE("R5C",'R. Gestión '!$R$293),"")</f>
        <v/>
      </c>
      <c r="U50" s="67" t="str">
        <f>IF(AND('R. Gestión '!$AC$294="Muy Baja",'R. Gestión '!$AE$294="Menor"),CONCATENATE("R5C",'R. Gestión '!$R$294),"")</f>
        <v/>
      </c>
      <c r="V50" s="56" t="str">
        <f ca="1">IF(AND('R. Gestión '!$AC$289="Muy Baja",'R. Gestión '!$AE$289="Moderado"),CONCATENATE("R5C",'R. Gestión '!$R$289),"")</f>
        <v>R5C1</v>
      </c>
      <c r="W50" s="57" t="str">
        <f>IF(AND('R. Gestión '!$AC$290="Muy Baja",'R. Gestión '!$AE$290="Moderado"),CONCATENATE("R5C",'R. Gestión '!$R$290),"")</f>
        <v/>
      </c>
      <c r="X50" s="57" t="str">
        <f>IF(AND('R. Gestión '!$AC$291="Muy Baja",'R. Gestión '!$AE$291="Moderado"),CONCATENATE("R5C",'R. Gestión '!$R$291),"")</f>
        <v/>
      </c>
      <c r="Y50" s="57" t="str">
        <f>IF(AND('R. Gestión '!$AC$292="Muy Baja",'R. Gestión '!$AE$292="Moderado"),CONCATENATE("R5C",'R. Gestión '!$R$292),"")</f>
        <v/>
      </c>
      <c r="Z50" s="57" t="str">
        <f>IF(AND('R. Gestión '!$AC$293="Muy Baja",'R. Gestión '!$AE$293="Moderado"),CONCATENATE("R5C",'R. Gestión '!$R$293),"")</f>
        <v/>
      </c>
      <c r="AA50" s="58" t="str">
        <f>IF(AND('R. Gestión '!$AC$294="Muy Baja",'R. Gestión '!$AE$294="Moderado"),CONCATENATE("R5C",'R. Gestión '!$R$294),"")</f>
        <v/>
      </c>
      <c r="AB50" s="41" t="str">
        <f ca="1">IF(AND('R. Gestión '!$AC$289="Muy Baja",'R. Gestión '!$AE$289="Mayor"),CONCATENATE("R5C",'R. Gestión '!$R$289),"")</f>
        <v/>
      </c>
      <c r="AC50" s="42" t="str">
        <f>IF(AND('R. Gestión '!$AC$290="Muy Baja",'R. Gestión '!$AE$290="Mayor"),CONCATENATE("R5C",'R. Gestión '!$R$290),"")</f>
        <v/>
      </c>
      <c r="AD50" s="42" t="str">
        <f>IF(AND('R. Gestión '!$AC$291="Muy Baja",'R. Gestión '!$AE$291="Mayor"),CONCATENATE("R5C",'R. Gestión '!$R$291),"")</f>
        <v/>
      </c>
      <c r="AE50" s="42" t="str">
        <f>IF(AND('R. Gestión '!$AC$292="Muy Baja",'R. Gestión '!$AE$292="Mayor"),CONCATENATE("R5C",'R. Gestión '!$R$292),"")</f>
        <v/>
      </c>
      <c r="AF50" s="42" t="str">
        <f>IF(AND('R. Gestión '!$AC$293="Muy Baja",'R. Gestión '!$AE$293="Mayor"),CONCATENATE("R5C",'R. Gestión '!$R$293),"")</f>
        <v/>
      </c>
      <c r="AG50" s="43" t="str">
        <f>IF(AND('R. Gestión '!$AC$294="Muy Baja",'R. Gestión '!$AE$294="Mayor"),CONCATENATE("R5C",'R. Gestión '!$R$294),"")</f>
        <v/>
      </c>
      <c r="AH50" s="44" t="str">
        <f ca="1">IF(AND('R. Gestión '!$AC$289="Muy Baja",'R. Gestión '!$AE$289="Catastrófico"),CONCATENATE("R5C",'R. Gestión '!$R$289),"")</f>
        <v/>
      </c>
      <c r="AI50" s="45" t="str">
        <f>IF(AND('R. Gestión '!$AC$290="Muy Baja",'R. Gestión '!$AE$290="Catastrófico"),CONCATENATE("R5C",'R. Gestión '!$R$290),"")</f>
        <v/>
      </c>
      <c r="AJ50" s="45" t="str">
        <f>IF(AND('R. Gestión '!$AC$291="Muy Baja",'R. Gestión '!$AE$291="Catastrófico"),CONCATENATE("R5C",'R. Gestión '!$R$291),"")</f>
        <v/>
      </c>
      <c r="AK50" s="45" t="str">
        <f>IF(AND('R. Gestión '!$AC$292="Muy Baja",'R. Gestión '!$AE$292="Catastrófico"),CONCATENATE("R5C",'R. Gestión '!$R$292),"")</f>
        <v/>
      </c>
      <c r="AL50" s="45" t="str">
        <f>IF(AND('R. Gestión '!$AC$293="Muy Baja",'R. Gestión '!$AE$293="Catastrófico"),CONCATENATE("R5C",'R. Gestión '!$R$293),"")</f>
        <v/>
      </c>
      <c r="AM50" s="46" t="str">
        <f>IF(AND('R. Gestión '!$AC$294="Muy Baja",'R. Gestión '!$AE$294="Catastrófico"),CONCATENATE("R5C",'R. Gestión '!$R$294),"")</f>
        <v/>
      </c>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row>
    <row r="51" spans="1:80" ht="15" customHeight="1" x14ac:dyDescent="0.25">
      <c r="A51" s="72"/>
      <c r="B51" s="642"/>
      <c r="C51" s="642"/>
      <c r="D51" s="643"/>
      <c r="E51" s="683"/>
      <c r="F51" s="684"/>
      <c r="G51" s="684"/>
      <c r="H51" s="684"/>
      <c r="I51" s="685"/>
      <c r="J51" s="65" t="str">
        <f ca="1">IF(AND('R. Gestión '!$AC$295="Muy Baja",'R. Gestión '!$AE$295="Leve"),CONCATENATE("R6C",'R. Gestión '!$R$295),"")</f>
        <v/>
      </c>
      <c r="K51" s="66" t="str">
        <f>IF(AND('R. Gestión '!$AC$296="Muy Baja",'R. Gestión '!$AE$296="Leve"),CONCATENATE("R6C",'R. Gestión '!$R$296),"")</f>
        <v/>
      </c>
      <c r="L51" s="66" t="str">
        <f>IF(AND('R. Gestión '!$AC$297="Muy Baja",'R. Gestión '!$AE$297="Leve"),CONCATENATE("R6C",'R. Gestión '!$R$297),"")</f>
        <v/>
      </c>
      <c r="M51" s="66" t="str">
        <f>IF(AND('R. Gestión '!$AC$298="Muy Baja",'R. Gestión '!$AE$298="Leve"),CONCATENATE("R6C",'R. Gestión '!$R$298),"")</f>
        <v/>
      </c>
      <c r="N51" s="66" t="str">
        <f>IF(AND('R. Gestión '!$AC$299="Muy Baja",'R. Gestión '!$AE$299="Leve"),CONCATENATE("R6C",'R. Gestión '!$R$299),"")</f>
        <v/>
      </c>
      <c r="O51" s="67" t="str">
        <f>IF(AND('R. Gestión '!$AC$300="Muy Baja",'R. Gestión '!$AE$300="Leve"),CONCATENATE("R6C",'R. Gestión '!$R$300),"")</f>
        <v/>
      </c>
      <c r="P51" s="65" t="str">
        <f ca="1">IF(AND('R. Gestión '!$AC$295="Muy Baja",'R. Gestión '!$AE$295="Menor"),CONCATENATE("R6C",'R. Gestión '!$R$295),"")</f>
        <v/>
      </c>
      <c r="Q51" s="66" t="str">
        <f>IF(AND('R. Gestión '!$AC$296="Muy Baja",'R. Gestión '!$AE$296="Menor"),CONCATENATE("R6C",'R. Gestión '!$R$296),"")</f>
        <v/>
      </c>
      <c r="R51" s="66" t="str">
        <f>IF(AND('R. Gestión '!$AC$297="Muy Baja",'R. Gestión '!$AE$297="Menor"),CONCATENATE("R6C",'R. Gestión '!$R$297),"")</f>
        <v/>
      </c>
      <c r="S51" s="66" t="str">
        <f>IF(AND('R. Gestión '!$AC$298="Muy Baja",'R. Gestión '!$AE$298="Menor"),CONCATENATE("R6C",'R. Gestión '!$R$298),"")</f>
        <v/>
      </c>
      <c r="T51" s="66" t="str">
        <f>IF(AND('R. Gestión '!$AC$299="Muy Baja",'R. Gestión '!$AE$299="Menor"),CONCATENATE("R6C",'R. Gestión '!$R$299),"")</f>
        <v/>
      </c>
      <c r="U51" s="67" t="str">
        <f>IF(AND('R. Gestión '!$AC$300="Muy Baja",'R. Gestión '!$AE$300="Menor"),CONCATENATE("R6C",'R. Gestión '!$R$300),"")</f>
        <v/>
      </c>
      <c r="V51" s="56" t="str">
        <f ca="1">IF(AND('R. Gestión '!$AC$295="Muy Baja",'R. Gestión '!$AE$295="Moderado"),CONCATENATE("R6C",'R. Gestión '!$R$295),"")</f>
        <v/>
      </c>
      <c r="W51" s="57" t="str">
        <f>IF(AND('R. Gestión '!$AC$296="Muy Baja",'R. Gestión '!$AE$296="Moderado"),CONCATENATE("R6C",'R. Gestión '!$R$296),"")</f>
        <v/>
      </c>
      <c r="X51" s="57" t="str">
        <f>IF(AND('R. Gestión '!$AC$297="Muy Baja",'R. Gestión '!$AE$297="Moderado"),CONCATENATE("R6C",'R. Gestión '!$R$297),"")</f>
        <v/>
      </c>
      <c r="Y51" s="57" t="str">
        <f>IF(AND('R. Gestión '!$AC$298="Muy Baja",'R. Gestión '!$AE$298="Moderado"),CONCATENATE("R6C",'R. Gestión '!$R$298),"")</f>
        <v/>
      </c>
      <c r="Z51" s="57" t="str">
        <f>IF(AND('R. Gestión '!$AC$299="Muy Baja",'R. Gestión '!$AE$299="Moderado"),CONCATENATE("R6C",'R. Gestión '!$R$299),"")</f>
        <v/>
      </c>
      <c r="AA51" s="58" t="str">
        <f>IF(AND('R. Gestión '!$AC$300="Muy Baja",'R. Gestión '!$AE$300="Moderado"),CONCATENATE("R6C",'R. Gestión '!$R$300),"")</f>
        <v/>
      </c>
      <c r="AB51" s="41" t="str">
        <f ca="1">IF(AND('R. Gestión '!$AC$295="Muy Baja",'R. Gestión '!$AE$295="Mayor"),CONCATENATE("R6C",'R. Gestión '!$R$295),"")</f>
        <v/>
      </c>
      <c r="AC51" s="42" t="str">
        <f>IF(AND('R. Gestión '!$AC$296="Muy Baja",'R. Gestión '!$AE$296="Mayor"),CONCATENATE("R6C",'R. Gestión '!$R$296),"")</f>
        <v/>
      </c>
      <c r="AD51" s="42" t="str">
        <f>IF(AND('R. Gestión '!$AC$297="Muy Baja",'R. Gestión '!$AE$297="Mayor"),CONCATENATE("R6C",'R. Gestión '!$R$297),"")</f>
        <v/>
      </c>
      <c r="AE51" s="42" t="str">
        <f>IF(AND('R. Gestión '!$AC$298="Muy Baja",'R. Gestión '!$AE$298="Mayor"),CONCATENATE("R6C",'R. Gestión '!$R$298),"")</f>
        <v/>
      </c>
      <c r="AF51" s="42" t="str">
        <f>IF(AND('R. Gestión '!$AC$299="Muy Baja",'R. Gestión '!$AE$299="Mayor"),CONCATENATE("R6C",'R. Gestión '!$R$299),"")</f>
        <v/>
      </c>
      <c r="AG51" s="43" t="str">
        <f>IF(AND('R. Gestión '!$AC$300="Muy Baja",'R. Gestión '!$AE$300="Mayor"),CONCATENATE("R6C",'R. Gestión '!$R$300),"")</f>
        <v/>
      </c>
      <c r="AH51" s="44" t="str">
        <f ca="1">IF(AND('R. Gestión '!$AC$295="Muy Baja",'R. Gestión '!$AE$295="Catastrófico"),CONCATENATE("R6C",'R. Gestión '!$R$295),"")</f>
        <v/>
      </c>
      <c r="AI51" s="45" t="str">
        <f>IF(AND('R. Gestión '!$AC$296="Muy Baja",'R. Gestión '!$AE$296="Catastrófico"),CONCATENATE("R6C",'R. Gestión '!$R$296),"")</f>
        <v/>
      </c>
      <c r="AJ51" s="45" t="str">
        <f>IF(AND('R. Gestión '!$AC$297="Muy Baja",'R. Gestión '!$AE$297="Catastrófico"),CONCATENATE("R6C",'R. Gestión '!$R$297),"")</f>
        <v/>
      </c>
      <c r="AK51" s="45" t="str">
        <f>IF(AND('R. Gestión '!$AC$298="Muy Baja",'R. Gestión '!$AE$298="Catastrófico"),CONCATENATE("R6C",'R. Gestión '!$R$298),"")</f>
        <v/>
      </c>
      <c r="AL51" s="45" t="str">
        <f>IF(AND('R. Gestión '!$AC$299="Muy Baja",'R. Gestión '!$AE$299="Catastrófico"),CONCATENATE("R6C",'R. Gestión '!$R$299),"")</f>
        <v/>
      </c>
      <c r="AM51" s="46" t="str">
        <f>IF(AND('R. Gestión '!$AC$300="Muy Baja",'R. Gestión '!$AE$300="Catastrófico"),CONCATENATE("R6C",'R. Gestión '!$R$300),"")</f>
        <v/>
      </c>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row>
    <row r="52" spans="1:80" ht="15" customHeight="1" x14ac:dyDescent="0.25">
      <c r="A52" s="72"/>
      <c r="B52" s="642"/>
      <c r="C52" s="642"/>
      <c r="D52" s="643"/>
      <c r="E52" s="683"/>
      <c r="F52" s="684"/>
      <c r="G52" s="684"/>
      <c r="H52" s="684"/>
      <c r="I52" s="685"/>
      <c r="J52" s="65" t="str">
        <f ca="1">IF(AND('R. Gestión '!$AC$325="Muy Baja",'R. Gestión '!$AE$325="Leve"),CONCATENATE("R7C",'R. Gestión '!$R$325),"")</f>
        <v/>
      </c>
      <c r="K52" s="66" t="str">
        <f>IF(AND('R. Gestión '!$AC$326="Muy Baja",'R. Gestión '!$AE$326="Leve"),CONCATENATE("R7C",'R. Gestión '!$R$326),"")</f>
        <v/>
      </c>
      <c r="L52" s="66" t="str">
        <f>IF(AND('R. Gestión '!$AC$327="Muy Baja",'R. Gestión '!$AE$327="Leve"),CONCATENATE("R7C",'R. Gestión '!$R$327),"")</f>
        <v/>
      </c>
      <c r="M52" s="66" t="str">
        <f>IF(AND('R. Gestión '!$AC$328="Muy Baja",'R. Gestión '!$AE$328="Leve"),CONCATENATE("R7C",'R. Gestión '!$R$328),"")</f>
        <v/>
      </c>
      <c r="N52" s="66" t="str">
        <f>IF(AND('R. Gestión '!$AC$329="Muy Baja",'R. Gestión '!$AE$329="Leve"),CONCATENATE("R7C",'R. Gestión '!$R$329),"")</f>
        <v/>
      </c>
      <c r="O52" s="67" t="str">
        <f>IF(AND('R. Gestión '!$AC$330="Muy Baja",'R. Gestión '!$AE$330="Leve"),CONCATENATE("R7C",'R. Gestión '!$R$330),"")</f>
        <v/>
      </c>
      <c r="P52" s="65" t="str">
        <f ca="1">IF(AND('R. Gestión '!$AC$325="Muy Baja",'R. Gestión '!$AE$325="Menor"),CONCATENATE("R7C",'R. Gestión '!$R$325),"")</f>
        <v/>
      </c>
      <c r="Q52" s="66" t="str">
        <f>IF(AND('R. Gestión '!$AC$326="Muy Baja",'R. Gestión '!$AE$326="Menor"),CONCATENATE("R7C",'R. Gestión '!$R$326),"")</f>
        <v/>
      </c>
      <c r="R52" s="66" t="str">
        <f>IF(AND('R. Gestión '!$AC$327="Muy Baja",'R. Gestión '!$AE$327="Menor"),CONCATENATE("R7C",'R. Gestión '!$R$327),"")</f>
        <v/>
      </c>
      <c r="S52" s="66" t="str">
        <f>IF(AND('R. Gestión '!$AC$328="Muy Baja",'R. Gestión '!$AE$328="Menor"),CONCATENATE("R7C",'R. Gestión '!$R$328),"")</f>
        <v/>
      </c>
      <c r="T52" s="66" t="str">
        <f>IF(AND('R. Gestión '!$AC$329="Muy Baja",'R. Gestión '!$AE$329="Menor"),CONCATENATE("R7C",'R. Gestión '!$R$329),"")</f>
        <v/>
      </c>
      <c r="U52" s="67" t="str">
        <f>IF(AND('R. Gestión '!$AC$330="Muy Baja",'R. Gestión '!$AE$330="Menor"),CONCATENATE("R7C",'R. Gestión '!$R$330),"")</f>
        <v/>
      </c>
      <c r="V52" s="56" t="str">
        <f ca="1">IF(AND('R. Gestión '!$AC$325="Muy Baja",'R. Gestión '!$AE$325="Moderado"),CONCATENATE("R7C",'R. Gestión '!$R$325),"")</f>
        <v>R7C1</v>
      </c>
      <c r="W52" s="57" t="str">
        <f>IF(AND('R. Gestión '!$AC$326="Muy Baja",'R. Gestión '!$AE$326="Moderado"),CONCATENATE("R7C",'R. Gestión '!$R$326),"")</f>
        <v/>
      </c>
      <c r="X52" s="57" t="str">
        <f>IF(AND('R. Gestión '!$AC$327="Muy Baja",'R. Gestión '!$AE$327="Moderado"),CONCATENATE("R7C",'R. Gestión '!$R$327),"")</f>
        <v/>
      </c>
      <c r="Y52" s="57" t="str">
        <f>IF(AND('R. Gestión '!$AC$328="Muy Baja",'R. Gestión '!$AE$328="Moderado"),CONCATENATE("R7C",'R. Gestión '!$R$328),"")</f>
        <v/>
      </c>
      <c r="Z52" s="57" t="str">
        <f>IF(AND('R. Gestión '!$AC$329="Muy Baja",'R. Gestión '!$AE$329="Moderado"),CONCATENATE("R7C",'R. Gestión '!$R$329),"")</f>
        <v/>
      </c>
      <c r="AA52" s="58" t="str">
        <f>IF(AND('R. Gestión '!$AC$330="Muy Baja",'R. Gestión '!$AE$330="Moderado"),CONCATENATE("R7C",'R. Gestión '!$R$330),"")</f>
        <v/>
      </c>
      <c r="AB52" s="41" t="str">
        <f ca="1">IF(AND('R. Gestión '!$AC$325="Muy Baja",'R. Gestión '!$AE$325="Mayor"),CONCATENATE("R7C",'R. Gestión '!$R$325),"")</f>
        <v/>
      </c>
      <c r="AC52" s="42" t="str">
        <f>IF(AND('R. Gestión '!$AC$326="Muy Baja",'R. Gestión '!$AE$326="Mayor"),CONCATENATE("R7C",'R. Gestión '!$R$326),"")</f>
        <v/>
      </c>
      <c r="AD52" s="42" t="str">
        <f>IF(AND('R. Gestión '!$AC$327="Muy Baja",'R. Gestión '!$AE$327="Mayor"),CONCATENATE("R7C",'R. Gestión '!$R$327),"")</f>
        <v/>
      </c>
      <c r="AE52" s="42" t="str">
        <f>IF(AND('R. Gestión '!$AC$328="Muy Baja",'R. Gestión '!$AE$328="Mayor"),CONCATENATE("R7C",'R. Gestión '!$R$328),"")</f>
        <v/>
      </c>
      <c r="AF52" s="42" t="str">
        <f>IF(AND('R. Gestión '!$AC$329="Muy Baja",'R. Gestión '!$AE$329="Mayor"),CONCATENATE("R7C",'R. Gestión '!$R$329),"")</f>
        <v/>
      </c>
      <c r="AG52" s="43" t="str">
        <f>IF(AND('R. Gestión '!$AC$330="Muy Baja",'R. Gestión '!$AE$330="Mayor"),CONCATENATE("R7C",'R. Gestión '!$R$330),"")</f>
        <v/>
      </c>
      <c r="AH52" s="44" t="str">
        <f ca="1">IF(AND('R. Gestión '!$AC$325="Muy Baja",'R. Gestión '!$AE$325="Catastrófico"),CONCATENATE("R7C",'R. Gestión '!$R$325),"")</f>
        <v/>
      </c>
      <c r="AI52" s="45" t="str">
        <f>IF(AND('R. Gestión '!$AC$326="Muy Baja",'R. Gestión '!$AE$326="Catastrófico"),CONCATENATE("R7C",'R. Gestión '!$R$326),"")</f>
        <v/>
      </c>
      <c r="AJ52" s="45" t="str">
        <f>IF(AND('R. Gestión '!$AC$327="Muy Baja",'R. Gestión '!$AE$327="Catastrófico"),CONCATENATE("R7C",'R. Gestión '!$R$327),"")</f>
        <v/>
      </c>
      <c r="AK52" s="45" t="str">
        <f>IF(AND('R. Gestión '!$AC$328="Muy Baja",'R. Gestión '!$AE$328="Catastrófico"),CONCATENATE("R7C",'R. Gestión '!$R$328),"")</f>
        <v/>
      </c>
      <c r="AL52" s="45" t="str">
        <f>IF(AND('R. Gestión '!$AC$329="Muy Baja",'R. Gestión '!$AE$329="Catastrófico"),CONCATENATE("R7C",'R. Gestión '!$R$329),"")</f>
        <v/>
      </c>
      <c r="AM52" s="46" t="str">
        <f>IF(AND('R. Gestión '!$AC$330="Muy Baja",'R. Gestión '!$AE$330="Catastrófico"),CONCATENATE("R7C",'R. Gestión '!$R$330),"")</f>
        <v/>
      </c>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row>
    <row r="53" spans="1:80" ht="15" customHeight="1" x14ac:dyDescent="0.25">
      <c r="A53" s="72"/>
      <c r="B53" s="642"/>
      <c r="C53" s="642"/>
      <c r="D53" s="643"/>
      <c r="E53" s="683"/>
      <c r="F53" s="684"/>
      <c r="G53" s="684"/>
      <c r="H53" s="684"/>
      <c r="I53" s="685"/>
      <c r="J53" s="65" t="str">
        <f ca="1">IF(AND('R. Gestión '!$AC$331="Muy Baja",'R. Gestión '!$AE$331="Leve"),CONCATENATE("R8C",'R. Gestión '!$R$331),"")</f>
        <v/>
      </c>
      <c r="K53" s="66" t="str">
        <f>IF(AND('R. Gestión '!$AC$332="Muy Baja",'R. Gestión '!$AE$332="Leve"),CONCATENATE("R8C",'R. Gestión '!$R$332),"")</f>
        <v/>
      </c>
      <c r="L53" s="66" t="str">
        <f>IF(AND('R. Gestión '!$AC$333="Muy Baja",'R. Gestión '!$AE$333="Leve"),CONCATENATE("R8C",'R. Gestión '!$R$333),"")</f>
        <v/>
      </c>
      <c r="M53" s="66" t="str">
        <f>IF(AND('R. Gestión '!$AC$334="Muy Baja",'R. Gestión '!$AE$334="Leve"),CONCATENATE("R8C",'R. Gestión '!$R$334),"")</f>
        <v/>
      </c>
      <c r="N53" s="66" t="str">
        <f>IF(AND('R. Gestión '!$AC$335="Muy Baja",'R. Gestión '!$AE$335="Leve"),CONCATENATE("R8C",'R. Gestión '!$R$335),"")</f>
        <v/>
      </c>
      <c r="O53" s="67" t="str">
        <f>IF(AND('R. Gestión '!$AC$336="Muy Baja",'R. Gestión '!$AE$336="Leve"),CONCATENATE("R8C",'R. Gestión '!$R$336),"")</f>
        <v/>
      </c>
      <c r="P53" s="65" t="str">
        <f ca="1">IF(AND('R. Gestión '!$AC$331="Muy Baja",'R. Gestión '!$AE$331="Menor"),CONCATENATE("R8C",'R. Gestión '!$R$331),"")</f>
        <v/>
      </c>
      <c r="Q53" s="66" t="str">
        <f>IF(AND('R. Gestión '!$AC$332="Muy Baja",'R. Gestión '!$AE$332="Menor"),CONCATENATE("R8C",'R. Gestión '!$R$332),"")</f>
        <v/>
      </c>
      <c r="R53" s="66" t="str">
        <f>IF(AND('R. Gestión '!$AC$333="Muy Baja",'R. Gestión '!$AE$333="Menor"),CONCATENATE("R8C",'R. Gestión '!$R$333),"")</f>
        <v/>
      </c>
      <c r="S53" s="66" t="str">
        <f>IF(AND('R. Gestión '!$AC$334="Muy Baja",'R. Gestión '!$AE$334="Menor"),CONCATENATE("R8C",'R. Gestión '!$R$334),"")</f>
        <v/>
      </c>
      <c r="T53" s="66" t="str">
        <f>IF(AND('R. Gestión '!$AC$335="Muy Baja",'R. Gestión '!$AE$335="Menor"),CONCATENATE("R8C",'R. Gestión '!$R$335),"")</f>
        <v/>
      </c>
      <c r="U53" s="67" t="str">
        <f>IF(AND('R. Gestión '!$AC$336="Muy Baja",'R. Gestión '!$AE$336="Menor"),CONCATENATE("R8C",'R. Gestión '!$R$336),"")</f>
        <v/>
      </c>
      <c r="V53" s="56" t="str">
        <f ca="1">IF(AND('R. Gestión '!$AC$331="Muy Baja",'R. Gestión '!$AE$331="Moderado"),CONCATENATE("R8C",'R. Gestión '!$R$331),"")</f>
        <v/>
      </c>
      <c r="W53" s="57" t="str">
        <f>IF(AND('R. Gestión '!$AC$332="Muy Baja",'R. Gestión '!$AE$332="Moderado"),CONCATENATE("R8C",'R. Gestión '!$R$332),"")</f>
        <v/>
      </c>
      <c r="X53" s="57" t="str">
        <f>IF(AND('R. Gestión '!$AC$333="Muy Baja",'R. Gestión '!$AE$333="Moderado"),CONCATENATE("R8C",'R. Gestión '!$R$333),"")</f>
        <v/>
      </c>
      <c r="Y53" s="57" t="str">
        <f>IF(AND('R. Gestión '!$AC$334="Muy Baja",'R. Gestión '!$AE$334="Moderado"),CONCATENATE("R8C",'R. Gestión '!$R$334),"")</f>
        <v/>
      </c>
      <c r="Z53" s="57" t="str">
        <f>IF(AND('R. Gestión '!$AC$335="Muy Baja",'R. Gestión '!$AE$335="Moderado"),CONCATENATE("R8C",'R. Gestión '!$R$335),"")</f>
        <v/>
      </c>
      <c r="AA53" s="58" t="str">
        <f>IF(AND('R. Gestión '!$AC$336="Muy Baja",'R. Gestión '!$AE$336="Moderado"),CONCATENATE("R8C",'R. Gestión '!$R$336),"")</f>
        <v/>
      </c>
      <c r="AB53" s="41" t="str">
        <f ca="1">IF(AND('R. Gestión '!$AC$331="Muy Baja",'R. Gestión '!$AE$331="Mayor"),CONCATENATE("R8C",'R. Gestión '!$R$331),"")</f>
        <v/>
      </c>
      <c r="AC53" s="42" t="str">
        <f>IF(AND('R. Gestión '!$AC$332="Muy Baja",'R. Gestión '!$AE$332="Mayor"),CONCATENATE("R8C",'R. Gestión '!$R$332),"")</f>
        <v/>
      </c>
      <c r="AD53" s="42" t="str">
        <f>IF(AND('R. Gestión '!$AC$333="Muy Baja",'R. Gestión '!$AE$333="Mayor"),CONCATENATE("R8C",'R. Gestión '!$R$333),"")</f>
        <v/>
      </c>
      <c r="AE53" s="42" t="str">
        <f>IF(AND('R. Gestión '!$AC$334="Muy Baja",'R. Gestión '!$AE$334="Mayor"),CONCATENATE("R8C",'R. Gestión '!$R$334),"")</f>
        <v/>
      </c>
      <c r="AF53" s="42" t="str">
        <f>IF(AND('R. Gestión '!$AC$335="Muy Baja",'R. Gestión '!$AE$335="Mayor"),CONCATENATE("R8C",'R. Gestión '!$R$335),"")</f>
        <v/>
      </c>
      <c r="AG53" s="43" t="str">
        <f>IF(AND('R. Gestión '!$AC$336="Muy Baja",'R. Gestión '!$AE$336="Mayor"),CONCATENATE("R8C",'R. Gestión '!$R$336),"")</f>
        <v/>
      </c>
      <c r="AH53" s="44" t="str">
        <f ca="1">IF(AND('R. Gestión '!$AC$331="Muy Baja",'R. Gestión '!$AE$331="Catastrófico"),CONCATENATE("R8C",'R. Gestión '!$R$331),"")</f>
        <v/>
      </c>
      <c r="AI53" s="45" t="str">
        <f>IF(AND('R. Gestión '!$AC$332="Muy Baja",'R. Gestión '!$AE$332="Catastrófico"),CONCATENATE("R8C",'R. Gestión '!$R$332),"")</f>
        <v/>
      </c>
      <c r="AJ53" s="45" t="str">
        <f>IF(AND('R. Gestión '!$AC$333="Muy Baja",'R. Gestión '!$AE$333="Catastrófico"),CONCATENATE("R8C",'R. Gestión '!$R$333),"")</f>
        <v/>
      </c>
      <c r="AK53" s="45" t="str">
        <f>IF(AND('R. Gestión '!$AC$334="Muy Baja",'R. Gestión '!$AE$334="Catastrófico"),CONCATENATE("R8C",'R. Gestión '!$R$334),"")</f>
        <v/>
      </c>
      <c r="AL53" s="45" t="str">
        <f>IF(AND('R. Gestión '!$AC$335="Muy Baja",'R. Gestión '!$AE$335="Catastrófico"),CONCATENATE("R8C",'R. Gestión '!$R$335),"")</f>
        <v/>
      </c>
      <c r="AM53" s="46" t="str">
        <f>IF(AND('R. Gestión '!$AC$336="Muy Baja",'R. Gestión '!$AE$336="Catastrófico"),CONCATENATE("R8C",'R. Gestión '!$R$336),"")</f>
        <v/>
      </c>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row>
    <row r="54" spans="1:80" ht="15" customHeight="1" x14ac:dyDescent="0.25">
      <c r="A54" s="72"/>
      <c r="B54" s="642"/>
      <c r="C54" s="642"/>
      <c r="D54" s="643"/>
      <c r="E54" s="683"/>
      <c r="F54" s="684"/>
      <c r="G54" s="684"/>
      <c r="H54" s="684"/>
      <c r="I54" s="685"/>
      <c r="J54" s="65" t="e">
        <f>IF(AND('R. Gestión '!#REF!="Muy Baja",'R. Gestión '!#REF!="Leve"),CONCATENATE("R9C",'R. Gestión '!#REF!),"")</f>
        <v>#REF!</v>
      </c>
      <c r="K54" s="66" t="e">
        <f>IF(AND('R. Gestión '!#REF!="Muy Baja",'R. Gestión '!#REF!="Leve"),CONCATENATE("R9C",'R. Gestión '!#REF!),"")</f>
        <v>#REF!</v>
      </c>
      <c r="L54" s="66" t="e">
        <f>IF(AND('R. Gestión '!#REF!="Muy Baja",'R. Gestión '!#REF!="Leve"),CONCATENATE("R9C",'R. Gestión '!#REF!),"")</f>
        <v>#REF!</v>
      </c>
      <c r="M54" s="66" t="e">
        <f>IF(AND('R. Gestión '!#REF!="Muy Baja",'R. Gestión '!#REF!="Leve"),CONCATENATE("R9C",'R. Gestión '!#REF!),"")</f>
        <v>#REF!</v>
      </c>
      <c r="N54" s="66" t="e">
        <f>IF(AND('R. Gestión '!#REF!="Muy Baja",'R. Gestión '!#REF!="Leve"),CONCATENATE("R9C",'R. Gestión '!#REF!),"")</f>
        <v>#REF!</v>
      </c>
      <c r="O54" s="67" t="e">
        <f>IF(AND('R. Gestión '!#REF!="Muy Baja",'R. Gestión '!#REF!="Leve"),CONCATENATE("R9C",'R. Gestión '!#REF!),"")</f>
        <v>#REF!</v>
      </c>
      <c r="P54" s="65" t="e">
        <f>IF(AND('R. Gestión '!#REF!="Muy Baja",'R. Gestión '!#REF!="Menor"),CONCATENATE("R9C",'R. Gestión '!#REF!),"")</f>
        <v>#REF!</v>
      </c>
      <c r="Q54" s="66" t="e">
        <f>IF(AND('R. Gestión '!#REF!="Muy Baja",'R. Gestión '!#REF!="Menor"),CONCATENATE("R9C",'R. Gestión '!#REF!),"")</f>
        <v>#REF!</v>
      </c>
      <c r="R54" s="66" t="e">
        <f>IF(AND('R. Gestión '!#REF!="Muy Baja",'R. Gestión '!#REF!="Menor"),CONCATENATE("R9C",'R. Gestión '!#REF!),"")</f>
        <v>#REF!</v>
      </c>
      <c r="S54" s="66" t="e">
        <f>IF(AND('R. Gestión '!#REF!="Muy Baja",'R. Gestión '!#REF!="Menor"),CONCATENATE("R9C",'R. Gestión '!#REF!),"")</f>
        <v>#REF!</v>
      </c>
      <c r="T54" s="66" t="e">
        <f>IF(AND('R. Gestión '!#REF!="Muy Baja",'R. Gestión '!#REF!="Menor"),CONCATENATE("R9C",'R. Gestión '!#REF!),"")</f>
        <v>#REF!</v>
      </c>
      <c r="U54" s="67" t="e">
        <f>IF(AND('R. Gestión '!#REF!="Muy Baja",'R. Gestión '!#REF!="Menor"),CONCATENATE("R9C",'R. Gestión '!#REF!),"")</f>
        <v>#REF!</v>
      </c>
      <c r="V54" s="56" t="e">
        <f>IF(AND('R. Gestión '!#REF!="Muy Baja",'R. Gestión '!#REF!="Moderado"),CONCATENATE("R9C",'R. Gestión '!#REF!),"")</f>
        <v>#REF!</v>
      </c>
      <c r="W54" s="57" t="e">
        <f>IF(AND('R. Gestión '!#REF!="Muy Baja",'R. Gestión '!#REF!="Moderado"),CONCATENATE("R9C",'R. Gestión '!#REF!),"")</f>
        <v>#REF!</v>
      </c>
      <c r="X54" s="57" t="e">
        <f>IF(AND('R. Gestión '!#REF!="Muy Baja",'R. Gestión '!#REF!="Moderado"),CONCATENATE("R9C",'R. Gestión '!#REF!),"")</f>
        <v>#REF!</v>
      </c>
      <c r="Y54" s="57" t="e">
        <f>IF(AND('R. Gestión '!#REF!="Muy Baja",'R. Gestión '!#REF!="Moderado"),CONCATENATE("R9C",'R. Gestión '!#REF!),"")</f>
        <v>#REF!</v>
      </c>
      <c r="Z54" s="57" t="e">
        <f>IF(AND('R. Gestión '!#REF!="Muy Baja",'R. Gestión '!#REF!="Moderado"),CONCATENATE("R9C",'R. Gestión '!#REF!),"")</f>
        <v>#REF!</v>
      </c>
      <c r="AA54" s="58" t="e">
        <f>IF(AND('R. Gestión '!#REF!="Muy Baja",'R. Gestión '!#REF!="Moderado"),CONCATENATE("R9C",'R. Gestión '!#REF!),"")</f>
        <v>#REF!</v>
      </c>
      <c r="AB54" s="41" t="e">
        <f>IF(AND('R. Gestión '!#REF!="Muy Baja",'R. Gestión '!#REF!="Mayor"),CONCATENATE("R9C",'R. Gestión '!#REF!),"")</f>
        <v>#REF!</v>
      </c>
      <c r="AC54" s="42" t="e">
        <f>IF(AND('R. Gestión '!#REF!="Muy Baja",'R. Gestión '!#REF!="Mayor"),CONCATENATE("R9C",'R. Gestión '!#REF!),"")</f>
        <v>#REF!</v>
      </c>
      <c r="AD54" s="42" t="e">
        <f>IF(AND('R. Gestión '!#REF!="Muy Baja",'R. Gestión '!#REF!="Mayor"),CONCATENATE("R9C",'R. Gestión '!#REF!),"")</f>
        <v>#REF!</v>
      </c>
      <c r="AE54" s="42" t="e">
        <f>IF(AND('R. Gestión '!#REF!="Muy Baja",'R. Gestión '!#REF!="Mayor"),CONCATENATE("R9C",'R. Gestión '!#REF!),"")</f>
        <v>#REF!</v>
      </c>
      <c r="AF54" s="42" t="e">
        <f>IF(AND('R. Gestión '!#REF!="Muy Baja",'R. Gestión '!#REF!="Mayor"),CONCATENATE("R9C",'R. Gestión '!#REF!),"")</f>
        <v>#REF!</v>
      </c>
      <c r="AG54" s="43" t="e">
        <f>IF(AND('R. Gestión '!#REF!="Muy Baja",'R. Gestión '!#REF!="Mayor"),CONCATENATE("R9C",'R. Gestión '!#REF!),"")</f>
        <v>#REF!</v>
      </c>
      <c r="AH54" s="44" t="e">
        <f>IF(AND('R. Gestión '!#REF!="Muy Baja",'R. Gestión '!#REF!="Catastrófico"),CONCATENATE("R9C",'R. Gestión '!#REF!),"")</f>
        <v>#REF!</v>
      </c>
      <c r="AI54" s="45" t="e">
        <f>IF(AND('R. Gestión '!#REF!="Muy Baja",'R. Gestión '!#REF!="Catastrófico"),CONCATENATE("R9C",'R. Gestión '!#REF!),"")</f>
        <v>#REF!</v>
      </c>
      <c r="AJ54" s="45" t="e">
        <f>IF(AND('R. Gestión '!#REF!="Muy Baja",'R. Gestión '!#REF!="Catastrófico"),CONCATENATE("R9C",'R. Gestión '!#REF!),"")</f>
        <v>#REF!</v>
      </c>
      <c r="AK54" s="45" t="e">
        <f>IF(AND('R. Gestión '!#REF!="Muy Baja",'R. Gestión '!#REF!="Catastrófico"),CONCATENATE("R9C",'R. Gestión '!#REF!),"")</f>
        <v>#REF!</v>
      </c>
      <c r="AL54" s="45" t="e">
        <f>IF(AND('R. Gestión '!#REF!="Muy Baja",'R. Gestión '!#REF!="Catastrófico"),CONCATENATE("R9C",'R. Gestión '!#REF!),"")</f>
        <v>#REF!</v>
      </c>
      <c r="AM54" s="46" t="e">
        <f>IF(AND('R. Gestión '!#REF!="Muy Baja",'R. Gestión '!#REF!="Catastrófico"),CONCATENATE("R9C",'R. Gestión '!#REF!),"")</f>
        <v>#REF!</v>
      </c>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row>
    <row r="55" spans="1:80" ht="15.75" customHeight="1" thickBot="1" x14ac:dyDescent="0.3">
      <c r="A55" s="72"/>
      <c r="B55" s="642"/>
      <c r="C55" s="642"/>
      <c r="D55" s="643"/>
      <c r="E55" s="686"/>
      <c r="F55" s="687"/>
      <c r="G55" s="687"/>
      <c r="H55" s="687"/>
      <c r="I55" s="688"/>
      <c r="J55" s="68" t="e">
        <f>IF(AND('R. Gestión '!#REF!="Muy Baja",'R. Gestión '!#REF!="Leve"),CONCATENATE("R10C",'R. Gestión '!#REF!),"")</f>
        <v>#REF!</v>
      </c>
      <c r="K55" s="69" t="e">
        <f>IF(AND('R. Gestión '!#REF!="Muy Baja",'R. Gestión '!#REF!="Leve"),CONCATENATE("R10C",'R. Gestión '!#REF!),"")</f>
        <v>#REF!</v>
      </c>
      <c r="L55" s="69" t="e">
        <f>IF(AND('R. Gestión '!#REF!="Muy Baja",'R. Gestión '!#REF!="Leve"),CONCATENATE("R10C",'R. Gestión '!#REF!),"")</f>
        <v>#REF!</v>
      </c>
      <c r="M55" s="69" t="e">
        <f>IF(AND('R. Gestión '!#REF!="Muy Baja",'R. Gestión '!#REF!="Leve"),CONCATENATE("R10C",'R. Gestión '!#REF!),"")</f>
        <v>#REF!</v>
      </c>
      <c r="N55" s="69" t="e">
        <f>IF(AND('R. Gestión '!#REF!="Muy Baja",'R. Gestión '!#REF!="Leve"),CONCATENATE("R10C",'R. Gestión '!#REF!),"")</f>
        <v>#REF!</v>
      </c>
      <c r="O55" s="70" t="e">
        <f>IF(AND('R. Gestión '!#REF!="Muy Baja",'R. Gestión '!#REF!="Leve"),CONCATENATE("R10C",'R. Gestión '!#REF!),"")</f>
        <v>#REF!</v>
      </c>
      <c r="P55" s="68" t="e">
        <f>IF(AND('R. Gestión '!#REF!="Muy Baja",'R. Gestión '!#REF!="Menor"),CONCATENATE("R10C",'R. Gestión '!#REF!),"")</f>
        <v>#REF!</v>
      </c>
      <c r="Q55" s="69" t="e">
        <f>IF(AND('R. Gestión '!#REF!="Muy Baja",'R. Gestión '!#REF!="Menor"),CONCATENATE("R10C",'R. Gestión '!#REF!),"")</f>
        <v>#REF!</v>
      </c>
      <c r="R55" s="69" t="e">
        <f>IF(AND('R. Gestión '!#REF!="Muy Baja",'R. Gestión '!#REF!="Menor"),CONCATENATE("R10C",'R. Gestión '!#REF!),"")</f>
        <v>#REF!</v>
      </c>
      <c r="S55" s="69" t="e">
        <f>IF(AND('R. Gestión '!#REF!="Muy Baja",'R. Gestión '!#REF!="Menor"),CONCATENATE("R10C",'R. Gestión '!#REF!),"")</f>
        <v>#REF!</v>
      </c>
      <c r="T55" s="69" t="e">
        <f>IF(AND('R. Gestión '!#REF!="Muy Baja",'R. Gestión '!#REF!="Menor"),CONCATENATE("R10C",'R. Gestión '!#REF!),"")</f>
        <v>#REF!</v>
      </c>
      <c r="U55" s="70" t="e">
        <f>IF(AND('R. Gestión '!#REF!="Muy Baja",'R. Gestión '!#REF!="Menor"),CONCATENATE("R10C",'R. Gestión '!#REF!),"")</f>
        <v>#REF!</v>
      </c>
      <c r="V55" s="59" t="e">
        <f>IF(AND('R. Gestión '!#REF!="Muy Baja",'R. Gestión '!#REF!="Moderado"),CONCATENATE("R10C",'R. Gestión '!#REF!),"")</f>
        <v>#REF!</v>
      </c>
      <c r="W55" s="60" t="e">
        <f>IF(AND('R. Gestión '!#REF!="Muy Baja",'R. Gestión '!#REF!="Moderado"),CONCATENATE("R10C",'R. Gestión '!#REF!),"")</f>
        <v>#REF!</v>
      </c>
      <c r="X55" s="60" t="e">
        <f>IF(AND('R. Gestión '!#REF!="Muy Baja",'R. Gestión '!#REF!="Moderado"),CONCATENATE("R10C",'R. Gestión '!#REF!),"")</f>
        <v>#REF!</v>
      </c>
      <c r="Y55" s="60" t="e">
        <f>IF(AND('R. Gestión '!#REF!="Muy Baja",'R. Gestión '!#REF!="Moderado"),CONCATENATE("R10C",'R. Gestión '!#REF!),"")</f>
        <v>#REF!</v>
      </c>
      <c r="Z55" s="60" t="e">
        <f>IF(AND('R. Gestión '!#REF!="Muy Baja",'R. Gestión '!#REF!="Moderado"),CONCATENATE("R10C",'R. Gestión '!#REF!),"")</f>
        <v>#REF!</v>
      </c>
      <c r="AA55" s="61" t="e">
        <f>IF(AND('R. Gestión '!#REF!="Muy Baja",'R. Gestión '!#REF!="Moderado"),CONCATENATE("R10C",'R. Gestión '!#REF!),"")</f>
        <v>#REF!</v>
      </c>
      <c r="AB55" s="47" t="e">
        <f>IF(AND('R. Gestión '!#REF!="Muy Baja",'R. Gestión '!#REF!="Mayor"),CONCATENATE("R10C",'R. Gestión '!#REF!),"")</f>
        <v>#REF!</v>
      </c>
      <c r="AC55" s="48" t="e">
        <f>IF(AND('R. Gestión '!#REF!="Muy Baja",'R. Gestión '!#REF!="Mayor"),CONCATENATE("R10C",'R. Gestión '!#REF!),"")</f>
        <v>#REF!</v>
      </c>
      <c r="AD55" s="48" t="e">
        <f>IF(AND('R. Gestión '!#REF!="Muy Baja",'R. Gestión '!#REF!="Mayor"),CONCATENATE("R10C",'R. Gestión '!#REF!),"")</f>
        <v>#REF!</v>
      </c>
      <c r="AE55" s="48" t="e">
        <f>IF(AND('R. Gestión '!#REF!="Muy Baja",'R. Gestión '!#REF!="Mayor"),CONCATENATE("R10C",'R. Gestión '!#REF!),"")</f>
        <v>#REF!</v>
      </c>
      <c r="AF55" s="48" t="e">
        <f>IF(AND('R. Gestión '!#REF!="Muy Baja",'R. Gestión '!#REF!="Mayor"),CONCATENATE("R10C",'R. Gestión '!#REF!),"")</f>
        <v>#REF!</v>
      </c>
      <c r="AG55" s="49" t="e">
        <f>IF(AND('R. Gestión '!#REF!="Muy Baja",'R. Gestión '!#REF!="Mayor"),CONCATENATE("R10C",'R. Gestión '!#REF!),"")</f>
        <v>#REF!</v>
      </c>
      <c r="AH55" s="50" t="e">
        <f>IF(AND('R. Gestión '!#REF!="Muy Baja",'R. Gestión '!#REF!="Catastrófico"),CONCATENATE("R10C",'R. Gestión '!#REF!),"")</f>
        <v>#REF!</v>
      </c>
      <c r="AI55" s="51" t="e">
        <f>IF(AND('R. Gestión '!#REF!="Muy Baja",'R. Gestión '!#REF!="Catastrófico"),CONCATENATE("R10C",'R. Gestión '!#REF!),"")</f>
        <v>#REF!</v>
      </c>
      <c r="AJ55" s="51" t="e">
        <f>IF(AND('R. Gestión '!#REF!="Muy Baja",'R. Gestión '!#REF!="Catastrófico"),CONCATENATE("R10C",'R. Gestión '!#REF!),"")</f>
        <v>#REF!</v>
      </c>
      <c r="AK55" s="51" t="e">
        <f>IF(AND('R. Gestión '!#REF!="Muy Baja",'R. Gestión '!#REF!="Catastrófico"),CONCATENATE("R10C",'R. Gestión '!#REF!),"")</f>
        <v>#REF!</v>
      </c>
      <c r="AL55" s="51" t="e">
        <f>IF(AND('R. Gestión '!#REF!="Muy Baja",'R. Gestión '!#REF!="Catastrófico"),CONCATENATE("R10C",'R. Gestión '!#REF!),"")</f>
        <v>#REF!</v>
      </c>
      <c r="AM55" s="52" t="e">
        <f>IF(AND('R. Gestión '!#REF!="Muy Baja",'R. Gestión '!#REF!="Catastrófico"),CONCATENATE("R10C",'R. Gestión '!#REF!),"")</f>
        <v>#REF!</v>
      </c>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row>
    <row r="56" spans="1:80" x14ac:dyDescent="0.25">
      <c r="A56" s="72"/>
      <c r="B56" s="72"/>
      <c r="C56" s="72"/>
      <c r="D56" s="72"/>
      <c r="E56" s="72"/>
      <c r="F56" s="72"/>
      <c r="G56" s="72"/>
      <c r="H56" s="72"/>
      <c r="I56" s="72"/>
      <c r="J56" s="680" t="s">
        <v>96</v>
      </c>
      <c r="K56" s="681"/>
      <c r="L56" s="681"/>
      <c r="M56" s="681"/>
      <c r="N56" s="681"/>
      <c r="O56" s="682"/>
      <c r="P56" s="680" t="s">
        <v>95</v>
      </c>
      <c r="Q56" s="681"/>
      <c r="R56" s="681"/>
      <c r="S56" s="681"/>
      <c r="T56" s="681"/>
      <c r="U56" s="682"/>
      <c r="V56" s="680" t="s">
        <v>94</v>
      </c>
      <c r="W56" s="681"/>
      <c r="X56" s="681"/>
      <c r="Y56" s="681"/>
      <c r="Z56" s="681"/>
      <c r="AA56" s="682"/>
      <c r="AB56" s="680" t="s">
        <v>93</v>
      </c>
      <c r="AC56" s="689"/>
      <c r="AD56" s="681"/>
      <c r="AE56" s="681"/>
      <c r="AF56" s="681"/>
      <c r="AG56" s="682"/>
      <c r="AH56" s="680" t="s">
        <v>92</v>
      </c>
      <c r="AI56" s="681"/>
      <c r="AJ56" s="681"/>
      <c r="AK56" s="681"/>
      <c r="AL56" s="681"/>
      <c r="AM56" s="68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row>
    <row r="57" spans="1:80" x14ac:dyDescent="0.25">
      <c r="A57" s="72"/>
      <c r="B57" s="72"/>
      <c r="C57" s="72"/>
      <c r="D57" s="72"/>
      <c r="E57" s="72"/>
      <c r="F57" s="72"/>
      <c r="G57" s="72"/>
      <c r="H57" s="72"/>
      <c r="I57" s="72"/>
      <c r="J57" s="683"/>
      <c r="K57" s="684"/>
      <c r="L57" s="684"/>
      <c r="M57" s="684"/>
      <c r="N57" s="684"/>
      <c r="O57" s="685"/>
      <c r="P57" s="683"/>
      <c r="Q57" s="684"/>
      <c r="R57" s="684"/>
      <c r="S57" s="684"/>
      <c r="T57" s="684"/>
      <c r="U57" s="685"/>
      <c r="V57" s="683"/>
      <c r="W57" s="684"/>
      <c r="X57" s="684"/>
      <c r="Y57" s="684"/>
      <c r="Z57" s="684"/>
      <c r="AA57" s="685"/>
      <c r="AB57" s="683"/>
      <c r="AC57" s="684"/>
      <c r="AD57" s="684"/>
      <c r="AE57" s="684"/>
      <c r="AF57" s="684"/>
      <c r="AG57" s="685"/>
      <c r="AH57" s="683"/>
      <c r="AI57" s="684"/>
      <c r="AJ57" s="684"/>
      <c r="AK57" s="684"/>
      <c r="AL57" s="684"/>
      <c r="AM57" s="685"/>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row>
    <row r="58" spans="1:80" x14ac:dyDescent="0.25">
      <c r="A58" s="72"/>
      <c r="B58" s="72"/>
      <c r="C58" s="72"/>
      <c r="D58" s="72"/>
      <c r="E58" s="72"/>
      <c r="F58" s="72"/>
      <c r="G58" s="72"/>
      <c r="H58" s="72"/>
      <c r="I58" s="72"/>
      <c r="J58" s="683"/>
      <c r="K58" s="684"/>
      <c r="L58" s="684"/>
      <c r="M58" s="684"/>
      <c r="N58" s="684"/>
      <c r="O58" s="685"/>
      <c r="P58" s="683"/>
      <c r="Q58" s="684"/>
      <c r="R58" s="684"/>
      <c r="S58" s="684"/>
      <c r="T58" s="684"/>
      <c r="U58" s="685"/>
      <c r="V58" s="683"/>
      <c r="W58" s="684"/>
      <c r="X58" s="684"/>
      <c r="Y58" s="684"/>
      <c r="Z58" s="684"/>
      <c r="AA58" s="685"/>
      <c r="AB58" s="683"/>
      <c r="AC58" s="684"/>
      <c r="AD58" s="684"/>
      <c r="AE58" s="684"/>
      <c r="AF58" s="684"/>
      <c r="AG58" s="685"/>
      <c r="AH58" s="683"/>
      <c r="AI58" s="684"/>
      <c r="AJ58" s="684"/>
      <c r="AK58" s="684"/>
      <c r="AL58" s="684"/>
      <c r="AM58" s="685"/>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row>
    <row r="59" spans="1:80" x14ac:dyDescent="0.25">
      <c r="A59" s="72"/>
      <c r="B59" s="72"/>
      <c r="C59" s="72"/>
      <c r="D59" s="72"/>
      <c r="E59" s="72"/>
      <c r="F59" s="72"/>
      <c r="G59" s="72"/>
      <c r="H59" s="72"/>
      <c r="I59" s="72"/>
      <c r="J59" s="683"/>
      <c r="K59" s="684"/>
      <c r="L59" s="684"/>
      <c r="M59" s="684"/>
      <c r="N59" s="684"/>
      <c r="O59" s="685"/>
      <c r="P59" s="683"/>
      <c r="Q59" s="684"/>
      <c r="R59" s="684"/>
      <c r="S59" s="684"/>
      <c r="T59" s="684"/>
      <c r="U59" s="685"/>
      <c r="V59" s="683"/>
      <c r="W59" s="684"/>
      <c r="X59" s="684"/>
      <c r="Y59" s="684"/>
      <c r="Z59" s="684"/>
      <c r="AA59" s="685"/>
      <c r="AB59" s="683"/>
      <c r="AC59" s="684"/>
      <c r="AD59" s="684"/>
      <c r="AE59" s="684"/>
      <c r="AF59" s="684"/>
      <c r="AG59" s="685"/>
      <c r="AH59" s="683"/>
      <c r="AI59" s="684"/>
      <c r="AJ59" s="684"/>
      <c r="AK59" s="684"/>
      <c r="AL59" s="684"/>
      <c r="AM59" s="685"/>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row>
    <row r="60" spans="1:80" x14ac:dyDescent="0.25">
      <c r="A60" s="72"/>
      <c r="B60" s="72"/>
      <c r="C60" s="72"/>
      <c r="D60" s="72"/>
      <c r="E60" s="72"/>
      <c r="F60" s="72"/>
      <c r="G60" s="72"/>
      <c r="H60" s="72"/>
      <c r="I60" s="72"/>
      <c r="J60" s="683"/>
      <c r="K60" s="684"/>
      <c r="L60" s="684"/>
      <c r="M60" s="684"/>
      <c r="N60" s="684"/>
      <c r="O60" s="685"/>
      <c r="P60" s="683"/>
      <c r="Q60" s="684"/>
      <c r="R60" s="684"/>
      <c r="S60" s="684"/>
      <c r="T60" s="684"/>
      <c r="U60" s="685"/>
      <c r="V60" s="683"/>
      <c r="W60" s="684"/>
      <c r="X60" s="684"/>
      <c r="Y60" s="684"/>
      <c r="Z60" s="684"/>
      <c r="AA60" s="685"/>
      <c r="AB60" s="683"/>
      <c r="AC60" s="684"/>
      <c r="AD60" s="684"/>
      <c r="AE60" s="684"/>
      <c r="AF60" s="684"/>
      <c r="AG60" s="685"/>
      <c r="AH60" s="683"/>
      <c r="AI60" s="684"/>
      <c r="AJ60" s="684"/>
      <c r="AK60" s="684"/>
      <c r="AL60" s="684"/>
      <c r="AM60" s="685"/>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row>
    <row r="61" spans="1:80" ht="15.75" thickBot="1" x14ac:dyDescent="0.3">
      <c r="A61" s="72"/>
      <c r="B61" s="72"/>
      <c r="C61" s="72"/>
      <c r="D61" s="72"/>
      <c r="E61" s="72"/>
      <c r="F61" s="72"/>
      <c r="G61" s="72"/>
      <c r="H61" s="72"/>
      <c r="I61" s="72"/>
      <c r="J61" s="686"/>
      <c r="K61" s="687"/>
      <c r="L61" s="687"/>
      <c r="M61" s="687"/>
      <c r="N61" s="687"/>
      <c r="O61" s="688"/>
      <c r="P61" s="686"/>
      <c r="Q61" s="687"/>
      <c r="R61" s="687"/>
      <c r="S61" s="687"/>
      <c r="T61" s="687"/>
      <c r="U61" s="688"/>
      <c r="V61" s="686"/>
      <c r="W61" s="687"/>
      <c r="X61" s="687"/>
      <c r="Y61" s="687"/>
      <c r="Z61" s="687"/>
      <c r="AA61" s="688"/>
      <c r="AB61" s="686"/>
      <c r="AC61" s="687"/>
      <c r="AD61" s="687"/>
      <c r="AE61" s="687"/>
      <c r="AF61" s="687"/>
      <c r="AG61" s="688"/>
      <c r="AH61" s="686"/>
      <c r="AI61" s="687"/>
      <c r="AJ61" s="687"/>
      <c r="AK61" s="687"/>
      <c r="AL61" s="687"/>
      <c r="AM61" s="688"/>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row>
    <row r="62" spans="1:80" x14ac:dyDescent="0.2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row>
    <row r="63" spans="1:80" ht="15" customHeight="1" x14ac:dyDescent="0.25">
      <c r="A63" s="72"/>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2"/>
      <c r="AV63" s="72"/>
      <c r="AW63" s="72"/>
      <c r="AX63" s="72"/>
      <c r="AY63" s="72"/>
      <c r="AZ63" s="72"/>
      <c r="BA63" s="72"/>
      <c r="BB63" s="72"/>
      <c r="BC63" s="72"/>
      <c r="BD63" s="72"/>
      <c r="BE63" s="72"/>
      <c r="BF63" s="72"/>
      <c r="BG63" s="72"/>
      <c r="BH63" s="72"/>
    </row>
    <row r="64" spans="1:80" ht="15" customHeight="1" x14ac:dyDescent="0.25">
      <c r="A64" s="72"/>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2"/>
      <c r="AV64" s="72"/>
      <c r="AW64" s="72"/>
      <c r="AX64" s="72"/>
      <c r="AY64" s="72"/>
      <c r="AZ64" s="72"/>
      <c r="BA64" s="72"/>
      <c r="BB64" s="72"/>
      <c r="BC64" s="72"/>
      <c r="BD64" s="72"/>
      <c r="BE64" s="72"/>
      <c r="BF64" s="72"/>
      <c r="BG64" s="72"/>
      <c r="BH64" s="72"/>
    </row>
    <row r="65" spans="1:60"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row>
    <row r="66" spans="1:60"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row>
    <row r="67" spans="1:60"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row>
    <row r="68" spans="1:60"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row>
    <row r="69" spans="1:60"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row>
    <row r="70" spans="1:60"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row>
    <row r="71" spans="1:60"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row>
    <row r="72" spans="1:60"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row>
    <row r="73" spans="1:60"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row>
    <row r="74" spans="1:60"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row>
    <row r="75" spans="1:60"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row>
    <row r="76" spans="1:60"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row>
    <row r="77" spans="1:60"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row>
    <row r="78" spans="1:60"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row>
    <row r="79" spans="1:60"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row>
    <row r="80" spans="1:60"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row>
    <row r="81" spans="1:60"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row>
    <row r="82" spans="1:60"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row>
    <row r="83" spans="1:60"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row>
    <row r="84" spans="1:60"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row>
    <row r="85" spans="1:60"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row>
    <row r="86" spans="1:60"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row>
    <row r="87" spans="1:60"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row>
    <row r="88" spans="1:60"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row>
    <row r="89" spans="1:60"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row>
    <row r="90" spans="1:60"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row>
    <row r="91" spans="1:60"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row>
    <row r="92" spans="1:60"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row>
    <row r="93" spans="1:60"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row>
    <row r="94" spans="1:60"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row>
    <row r="95" spans="1:60"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row>
    <row r="96" spans="1:60"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row>
    <row r="97" spans="1:60"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row>
    <row r="98" spans="1:60"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row>
    <row r="99" spans="1:60"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row>
    <row r="100" spans="1:60"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row>
    <row r="101" spans="1:60"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row>
    <row r="102" spans="1:60"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row>
    <row r="103" spans="1:60"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row>
    <row r="104" spans="1:60"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row>
    <row r="105" spans="1:60"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row>
    <row r="106" spans="1:60"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row>
    <row r="107" spans="1:60"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row>
    <row r="108" spans="1:60"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row>
    <row r="109" spans="1:60"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row>
    <row r="110" spans="1:60" x14ac:dyDescent="0.2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row>
    <row r="111" spans="1:60" x14ac:dyDescent="0.2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row>
    <row r="112" spans="1:60" x14ac:dyDescent="0.2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row>
    <row r="113" spans="1:60" x14ac:dyDescent="0.2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row>
    <row r="114" spans="1:60" x14ac:dyDescent="0.2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row>
    <row r="115" spans="1:60" x14ac:dyDescent="0.2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row>
    <row r="116" spans="1:60" x14ac:dyDescent="0.2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row>
    <row r="117" spans="1:60" x14ac:dyDescent="0.2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row>
    <row r="118" spans="1:60"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row>
    <row r="119" spans="1:60" x14ac:dyDescent="0.2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row>
    <row r="120" spans="1:60" x14ac:dyDescent="0.2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row>
    <row r="121" spans="1:60" x14ac:dyDescent="0.2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row>
    <row r="122" spans="1:60"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row>
    <row r="123" spans="1:60" x14ac:dyDescent="0.2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row>
    <row r="124" spans="1:60" x14ac:dyDescent="0.2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row>
    <row r="125" spans="1:60" x14ac:dyDescent="0.2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row>
    <row r="126" spans="1:60" x14ac:dyDescent="0.2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row>
    <row r="127" spans="1:60" x14ac:dyDescent="0.2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row>
    <row r="128" spans="1:60" x14ac:dyDescent="0.2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row>
    <row r="129" spans="1:60" x14ac:dyDescent="0.2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row>
    <row r="130" spans="1:60" x14ac:dyDescent="0.2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row>
    <row r="131" spans="1:60" x14ac:dyDescent="0.2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row>
    <row r="132" spans="1:60" x14ac:dyDescent="0.2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row>
    <row r="133" spans="1:60" x14ac:dyDescent="0.2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row>
    <row r="134" spans="1:60" x14ac:dyDescent="0.2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row>
    <row r="135" spans="1:60" x14ac:dyDescent="0.2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row>
    <row r="136" spans="1:60" x14ac:dyDescent="0.2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row>
    <row r="137" spans="1:60" x14ac:dyDescent="0.2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row>
    <row r="138" spans="1:60" x14ac:dyDescent="0.2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row>
    <row r="139" spans="1:60" x14ac:dyDescent="0.2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row>
    <row r="140" spans="1:60" x14ac:dyDescent="0.2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row>
    <row r="141" spans="1:60"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row>
    <row r="142" spans="1:60" x14ac:dyDescent="0.2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row>
    <row r="143" spans="1:60" x14ac:dyDescent="0.2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row>
    <row r="144" spans="1:60" x14ac:dyDescent="0.2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row>
    <row r="145" spans="1:60" x14ac:dyDescent="0.2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row>
    <row r="146" spans="1:60" x14ac:dyDescent="0.2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row>
    <row r="147" spans="1:60" x14ac:dyDescent="0.2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row>
    <row r="148" spans="1:60" x14ac:dyDescent="0.2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row>
    <row r="149" spans="1:60" x14ac:dyDescent="0.2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row>
    <row r="150" spans="1:60" x14ac:dyDescent="0.2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row>
    <row r="151" spans="1:60" x14ac:dyDescent="0.2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row>
    <row r="152" spans="1:60" x14ac:dyDescent="0.2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row>
    <row r="153" spans="1:60" x14ac:dyDescent="0.2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row>
    <row r="154" spans="1:60" x14ac:dyDescent="0.2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row>
    <row r="155" spans="1:60" x14ac:dyDescent="0.2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row>
    <row r="156" spans="1:60" x14ac:dyDescent="0.2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row>
    <row r="157" spans="1:60" x14ac:dyDescent="0.2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row>
    <row r="158" spans="1:60" x14ac:dyDescent="0.2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row>
    <row r="159" spans="1:60" x14ac:dyDescent="0.2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row>
    <row r="160" spans="1:60" x14ac:dyDescent="0.2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row>
    <row r="161" spans="1:60" x14ac:dyDescent="0.2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row>
    <row r="162" spans="1:60" x14ac:dyDescent="0.2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row>
    <row r="163" spans="1:60" x14ac:dyDescent="0.2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row>
    <row r="164" spans="1:60" x14ac:dyDescent="0.2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row>
    <row r="165" spans="1:60" x14ac:dyDescent="0.2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row>
    <row r="166" spans="1:60" x14ac:dyDescent="0.2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row>
    <row r="167" spans="1:60" x14ac:dyDescent="0.2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row>
    <row r="168" spans="1:60" x14ac:dyDescent="0.2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row>
    <row r="169" spans="1:60" x14ac:dyDescent="0.2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row>
    <row r="170" spans="1:60" x14ac:dyDescent="0.2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row>
    <row r="171" spans="1:60" x14ac:dyDescent="0.2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row>
    <row r="172" spans="1:60" x14ac:dyDescent="0.2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row>
    <row r="173" spans="1:60" x14ac:dyDescent="0.2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row>
    <row r="174" spans="1:60" x14ac:dyDescent="0.2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row>
    <row r="175" spans="1:60" x14ac:dyDescent="0.2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row>
    <row r="176" spans="1:60" x14ac:dyDescent="0.2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row>
    <row r="177" spans="1:60" x14ac:dyDescent="0.2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row>
    <row r="178" spans="1:60" x14ac:dyDescent="0.2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row>
    <row r="179" spans="1:60" x14ac:dyDescent="0.2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row>
    <row r="180" spans="1:60" x14ac:dyDescent="0.2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row>
    <row r="181" spans="1:60" x14ac:dyDescent="0.2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row>
    <row r="182" spans="1:60" x14ac:dyDescent="0.2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row>
    <row r="183" spans="1:60" x14ac:dyDescent="0.2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row>
    <row r="184" spans="1:60" x14ac:dyDescent="0.2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row>
    <row r="185" spans="1:60" x14ac:dyDescent="0.2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row>
    <row r="186" spans="1:60" x14ac:dyDescent="0.2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row>
    <row r="187" spans="1:60" x14ac:dyDescent="0.2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row>
    <row r="188" spans="1:60" x14ac:dyDescent="0.2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row>
    <row r="189" spans="1:60" x14ac:dyDescent="0.2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row>
    <row r="190" spans="1:60" x14ac:dyDescent="0.2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row>
    <row r="191" spans="1:60" x14ac:dyDescent="0.25">
      <c r="A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row>
    <row r="192" spans="1:60" x14ac:dyDescent="0.25">
      <c r="A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row>
    <row r="193" spans="1:60" x14ac:dyDescent="0.25">
      <c r="A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row>
    <row r="194" spans="1:60" x14ac:dyDescent="0.25">
      <c r="A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row>
    <row r="195" spans="1:60" x14ac:dyDescent="0.25">
      <c r="A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row>
    <row r="196" spans="1:60" x14ac:dyDescent="0.25">
      <c r="A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row>
    <row r="197" spans="1:60" x14ac:dyDescent="0.25">
      <c r="A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row>
    <row r="198" spans="1:60" x14ac:dyDescent="0.25">
      <c r="A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row>
    <row r="199" spans="1:60" x14ac:dyDescent="0.25">
      <c r="A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row>
    <row r="200" spans="1:60" x14ac:dyDescent="0.25">
      <c r="A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row>
    <row r="201" spans="1:60" x14ac:dyDescent="0.25">
      <c r="A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row>
    <row r="202" spans="1:60" x14ac:dyDescent="0.25">
      <c r="A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row>
    <row r="203" spans="1:60" x14ac:dyDescent="0.25">
      <c r="A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row>
    <row r="204" spans="1:60" x14ac:dyDescent="0.25">
      <c r="A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row>
    <row r="205" spans="1:60" x14ac:dyDescent="0.25">
      <c r="A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row>
    <row r="206" spans="1:60" x14ac:dyDescent="0.25">
      <c r="A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row>
    <row r="207" spans="1:60" x14ac:dyDescent="0.25">
      <c r="A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row>
    <row r="208" spans="1:60" x14ac:dyDescent="0.25">
      <c r="A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row>
    <row r="209" spans="1:60" x14ac:dyDescent="0.25">
      <c r="A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row>
    <row r="210" spans="1:60" x14ac:dyDescent="0.25">
      <c r="A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row>
    <row r="211" spans="1:60" x14ac:dyDescent="0.25">
      <c r="A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row>
    <row r="212" spans="1:60" x14ac:dyDescent="0.25">
      <c r="A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row>
    <row r="213" spans="1:60" x14ac:dyDescent="0.25">
      <c r="A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row>
    <row r="214" spans="1:60" x14ac:dyDescent="0.25">
      <c r="A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row>
    <row r="215" spans="1:60" x14ac:dyDescent="0.25">
      <c r="A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row>
    <row r="216" spans="1:60" x14ac:dyDescent="0.25">
      <c r="A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row>
    <row r="217" spans="1:60" x14ac:dyDescent="0.25">
      <c r="A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row>
    <row r="218" spans="1:60" x14ac:dyDescent="0.25">
      <c r="A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row>
    <row r="219" spans="1:60" x14ac:dyDescent="0.25">
      <c r="A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row>
    <row r="220" spans="1:60" x14ac:dyDescent="0.25">
      <c r="A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row>
    <row r="221" spans="1:60" x14ac:dyDescent="0.25">
      <c r="A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row>
    <row r="222" spans="1:60" x14ac:dyDescent="0.25">
      <c r="A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row>
    <row r="223" spans="1:60" x14ac:dyDescent="0.25">
      <c r="A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row>
    <row r="224" spans="1:60" x14ac:dyDescent="0.25">
      <c r="A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row>
    <row r="225" spans="1:60" x14ac:dyDescent="0.25">
      <c r="A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row>
    <row r="226" spans="1:60" x14ac:dyDescent="0.25">
      <c r="A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row>
    <row r="227" spans="1:60" x14ac:dyDescent="0.25">
      <c r="A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row>
    <row r="228" spans="1:60" x14ac:dyDescent="0.25">
      <c r="A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row>
    <row r="229" spans="1:60" x14ac:dyDescent="0.25">
      <c r="A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row>
    <row r="230" spans="1:60" x14ac:dyDescent="0.25">
      <c r="A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row>
    <row r="231" spans="1:60" x14ac:dyDescent="0.25">
      <c r="A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row>
    <row r="232" spans="1:60" x14ac:dyDescent="0.25">
      <c r="A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row>
    <row r="233" spans="1:60" x14ac:dyDescent="0.25">
      <c r="A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row>
    <row r="234" spans="1:60" x14ac:dyDescent="0.25">
      <c r="A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row>
    <row r="235" spans="1:60" x14ac:dyDescent="0.25">
      <c r="A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row>
    <row r="236" spans="1:60" x14ac:dyDescent="0.25">
      <c r="A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row>
    <row r="237" spans="1:60" x14ac:dyDescent="0.25">
      <c r="A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row>
    <row r="238" spans="1:60" x14ac:dyDescent="0.25">
      <c r="A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row>
    <row r="239" spans="1:60" x14ac:dyDescent="0.25">
      <c r="A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row>
    <row r="240" spans="1:60" x14ac:dyDescent="0.25">
      <c r="A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row>
    <row r="241" spans="1:60" x14ac:dyDescent="0.25">
      <c r="A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row>
    <row r="242" spans="1:60" x14ac:dyDescent="0.25">
      <c r="A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row>
    <row r="243" spans="1:60" x14ac:dyDescent="0.25">
      <c r="A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row>
    <row r="244" spans="1:60" x14ac:dyDescent="0.25">
      <c r="A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row>
    <row r="245" spans="1:60" x14ac:dyDescent="0.25">
      <c r="A245" s="72"/>
    </row>
    <row r="246" spans="1:60" x14ac:dyDescent="0.25">
      <c r="A246" s="72"/>
    </row>
    <row r="247" spans="1:60" x14ac:dyDescent="0.25">
      <c r="A247" s="72"/>
    </row>
    <row r="248" spans="1:60" x14ac:dyDescent="0.25">
      <c r="A248" s="72"/>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5"/>
  <sheetViews>
    <sheetView zoomScale="60" zoomScaleNormal="60" workbookViewId="0">
      <selection activeCell="A7" sqref="A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2"/>
      <c r="B1" s="729" t="s">
        <v>41</v>
      </c>
      <c r="C1" s="729"/>
      <c r="D1" s="729"/>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7"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7" ht="25.5" x14ac:dyDescent="0.25">
      <c r="A3" s="72"/>
      <c r="B3" s="5"/>
      <c r="C3" s="6" t="s">
        <v>38</v>
      </c>
      <c r="D3" s="6" t="s">
        <v>3</v>
      </c>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7" ht="51" x14ac:dyDescent="0.25">
      <c r="A4" s="72"/>
      <c r="B4" s="7" t="s">
        <v>37</v>
      </c>
      <c r="C4" s="8" t="s">
        <v>86</v>
      </c>
      <c r="D4" s="9">
        <v>0.2</v>
      </c>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7" ht="51" x14ac:dyDescent="0.25">
      <c r="A5" s="72"/>
      <c r="B5" s="10" t="s">
        <v>39</v>
      </c>
      <c r="C5" s="11" t="s">
        <v>87</v>
      </c>
      <c r="D5" s="12">
        <v>0.4</v>
      </c>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7" ht="51" x14ac:dyDescent="0.25">
      <c r="A6" s="72"/>
      <c r="B6" s="13" t="s">
        <v>91</v>
      </c>
      <c r="C6" s="11" t="s">
        <v>88</v>
      </c>
      <c r="D6" s="12">
        <v>0.6</v>
      </c>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7" ht="76.5" x14ac:dyDescent="0.25">
      <c r="A7" s="72"/>
      <c r="B7" s="14" t="s">
        <v>5</v>
      </c>
      <c r="C7" s="11" t="s">
        <v>89</v>
      </c>
      <c r="D7" s="12">
        <v>0.8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row>
    <row r="8" spans="1:37" ht="51" x14ac:dyDescent="0.25">
      <c r="A8" s="72"/>
      <c r="B8" s="15" t="s">
        <v>40</v>
      </c>
      <c r="C8" s="11" t="s">
        <v>90</v>
      </c>
      <c r="D8" s="12">
        <v>1</v>
      </c>
      <c r="E8" s="72"/>
      <c r="F8" s="72"/>
      <c r="G8" s="72"/>
      <c r="H8" s="72"/>
      <c r="I8" s="72"/>
      <c r="J8" s="72"/>
      <c r="K8" s="72"/>
      <c r="L8" s="72"/>
      <c r="M8" s="72"/>
      <c r="N8" s="72"/>
      <c r="O8" s="72"/>
      <c r="P8" s="72"/>
      <c r="Q8" s="72"/>
      <c r="R8" s="72"/>
      <c r="S8" s="72"/>
      <c r="T8" s="72"/>
      <c r="U8" s="72"/>
      <c r="V8" s="72"/>
      <c r="W8" s="72"/>
      <c r="X8" s="72"/>
      <c r="Y8" s="72"/>
      <c r="Z8" s="72"/>
      <c r="AA8" s="72"/>
      <c r="AB8" s="72"/>
      <c r="AC8" s="72"/>
      <c r="AD8" s="72"/>
      <c r="AE8" s="72"/>
    </row>
    <row r="9" spans="1:37" x14ac:dyDescent="0.25">
      <c r="A9" s="72"/>
      <c r="B9" s="96"/>
      <c r="C9" s="96"/>
      <c r="D9" s="96"/>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row>
    <row r="10" spans="1:37" ht="16.5" x14ac:dyDescent="0.25">
      <c r="A10" s="72"/>
      <c r="B10" s="97"/>
      <c r="C10" s="96"/>
      <c r="D10" s="96"/>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x14ac:dyDescent="0.25">
      <c r="A11" s="72"/>
      <c r="B11" s="96"/>
      <c r="C11" s="96"/>
      <c r="D11" s="96"/>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x14ac:dyDescent="0.25">
      <c r="A12" s="72"/>
      <c r="B12" s="96"/>
      <c r="C12" s="96"/>
      <c r="D12" s="9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row>
    <row r="13" spans="1:37" x14ac:dyDescent="0.25">
      <c r="A13" s="72"/>
      <c r="B13" s="96"/>
      <c r="C13" s="96"/>
      <c r="D13" s="96"/>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7" x14ac:dyDescent="0.25">
      <c r="A14" s="72"/>
      <c r="B14" s="96"/>
      <c r="C14" s="96"/>
      <c r="D14" s="96"/>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row>
    <row r="15" spans="1:37" x14ac:dyDescent="0.25">
      <c r="A15" s="72"/>
      <c r="B15" s="96"/>
      <c r="C15" s="96"/>
      <c r="D15" s="96"/>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row>
    <row r="16" spans="1:37" x14ac:dyDescent="0.25">
      <c r="A16" s="72"/>
      <c r="B16" s="96"/>
      <c r="C16" s="96"/>
      <c r="D16" s="96"/>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row>
    <row r="17" spans="1:37" x14ac:dyDescent="0.25">
      <c r="A17" s="72"/>
      <c r="B17" s="96"/>
      <c r="C17" s="96"/>
      <c r="D17" s="96"/>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row>
    <row r="18" spans="1:37" x14ac:dyDescent="0.25">
      <c r="A18" s="72"/>
      <c r="B18" s="96"/>
      <c r="C18" s="96"/>
      <c r="D18" s="96"/>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row>
    <row r="19" spans="1:37" x14ac:dyDescent="0.2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row>
    <row r="20" spans="1:37" x14ac:dyDescent="0.2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1:37"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row>
    <row r="22" spans="1:37"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row>
    <row r="23" spans="1:37" x14ac:dyDescent="0.2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x14ac:dyDescent="0.2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row>
    <row r="25" spans="1:37" x14ac:dyDescent="0.2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row>
    <row r="26" spans="1:37" x14ac:dyDescent="0.2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row>
    <row r="27" spans="1:37" x14ac:dyDescent="0.2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row>
    <row r="28" spans="1:37" x14ac:dyDescent="0.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x14ac:dyDescent="0.2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x14ac:dyDescent="0.2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row>
    <row r="31" spans="1:37" x14ac:dyDescent="0.2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row>
    <row r="32" spans="1:37" x14ac:dyDescent="0.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row>
    <row r="33" spans="1:31" x14ac:dyDescent="0.25">
      <c r="A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x14ac:dyDescent="0.25">
      <c r="A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1:31" x14ac:dyDescent="0.25">
      <c r="A35" s="72"/>
    </row>
    <row r="36" spans="1:31" x14ac:dyDescent="0.25">
      <c r="A36" s="72"/>
    </row>
    <row r="37" spans="1:31" x14ac:dyDescent="0.25">
      <c r="A37" s="72"/>
    </row>
    <row r="38" spans="1:31" x14ac:dyDescent="0.25">
      <c r="A38" s="72"/>
    </row>
    <row r="39" spans="1:31" x14ac:dyDescent="0.25">
      <c r="A39" s="72"/>
    </row>
    <row r="40" spans="1:31" x14ac:dyDescent="0.25">
      <c r="A40" s="72"/>
    </row>
    <row r="41" spans="1:31" x14ac:dyDescent="0.25">
      <c r="A41" s="72"/>
    </row>
    <row r="42" spans="1:31" x14ac:dyDescent="0.25">
      <c r="A42" s="72"/>
    </row>
    <row r="43" spans="1:31" x14ac:dyDescent="0.25">
      <c r="A43" s="72"/>
    </row>
    <row r="44" spans="1:31" x14ac:dyDescent="0.25">
      <c r="A44" s="72"/>
    </row>
    <row r="45" spans="1:31" x14ac:dyDescent="0.25">
      <c r="A45" s="72"/>
    </row>
    <row r="46" spans="1:31" x14ac:dyDescent="0.25">
      <c r="A46" s="72"/>
    </row>
    <row r="47" spans="1:31" x14ac:dyDescent="0.25">
      <c r="A47" s="72"/>
    </row>
    <row r="48" spans="1:31" x14ac:dyDescent="0.25">
      <c r="A48" s="72"/>
    </row>
    <row r="49" spans="1:1" x14ac:dyDescent="0.25">
      <c r="A49" s="72"/>
    </row>
    <row r="50" spans="1:1" x14ac:dyDescent="0.25">
      <c r="A50" s="72"/>
    </row>
    <row r="51" spans="1:1" x14ac:dyDescent="0.25">
      <c r="A51" s="72"/>
    </row>
    <row r="52" spans="1:1" x14ac:dyDescent="0.25">
      <c r="A52" s="72"/>
    </row>
    <row r="53" spans="1:1" x14ac:dyDescent="0.25">
      <c r="A53" s="72"/>
    </row>
    <row r="54" spans="1:1" x14ac:dyDescent="0.25">
      <c r="A54" s="72"/>
    </row>
    <row r="55" spans="1:1" x14ac:dyDescent="0.25">
      <c r="A55" s="72"/>
    </row>
  </sheetData>
  <mergeCells count="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16</vt:i4>
      </vt:variant>
    </vt:vector>
  </HeadingPairs>
  <TitlesOfParts>
    <vt:vector size="30" baseType="lpstr">
      <vt:lpstr>Instructivo</vt:lpstr>
      <vt:lpstr>Instructivo R. Gestión</vt:lpstr>
      <vt:lpstr>R. Gestión </vt:lpstr>
      <vt:lpstr>Instructivo R. Corrupción</vt:lpstr>
      <vt:lpstr>R. Corrupción</vt:lpstr>
      <vt:lpstr>Impacto Corrupción</vt:lpstr>
      <vt:lpstr>Matriz Calor Inherente</vt:lpstr>
      <vt:lpstr>Matriz Calor Residual</vt:lpstr>
      <vt:lpstr>Tabla probabilidad</vt:lpstr>
      <vt:lpstr>Tabla Impacto</vt:lpstr>
      <vt:lpstr>Tabla Valoración controles</vt:lpstr>
      <vt:lpstr>Opciones Tratamiento</vt:lpstr>
      <vt:lpstr>ListasRSec</vt:lpstr>
      <vt:lpstr>Listas</vt:lpstr>
      <vt:lpstr>_rc</vt:lpstr>
      <vt:lpstr>amenazas</vt:lpstr>
      <vt:lpstr>bd</vt:lpstr>
      <vt:lpstr>ClasificacionRSEG</vt:lpstr>
      <vt:lpstr>di</vt:lpstr>
      <vt:lpstr>ea</vt:lpstr>
      <vt:lpstr>ListasRSec!hw</vt:lpstr>
      <vt:lpstr>hw</vt:lpstr>
      <vt:lpstr>ip</vt:lpstr>
      <vt:lpstr>ListasRSec!nada</vt:lpstr>
      <vt:lpstr>ProcesosSEG</vt:lpstr>
      <vt:lpstr>sa</vt:lpstr>
      <vt:lpstr>si</vt:lpstr>
      <vt:lpstr>sw</vt:lpstr>
      <vt:lpstr>Tipo_Activo</vt:lpstr>
      <vt:lpstr>Tipo_riesgoseg</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2024-01-30T15:36:46Z</cp:lastPrinted>
  <dcterms:created xsi:type="dcterms:W3CDTF">2020-03-24T23:12:47Z</dcterms:created>
  <dcterms:modified xsi:type="dcterms:W3CDTF">2024-01-31T14:17:10Z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2022-11-03T17:28:54Z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99df4c21-7bee-45bd-b4cd-b464291b7020</vt:lpwstr>
  </property>
  <property fmtid="{D5CDD505-2E9C-101B-9397-08002B2CF9AE}" pid="8" name="MSIP_Label_5fac521f-e930-485b-97f4-efbe7db8e98f_ContentBits">
    <vt:lpwstr>0</vt:lpwstr>
  </property>
</Properties>
</file>