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\Downloads\Avaluos\Avaluos comerciales\"/>
    </mc:Choice>
  </mc:AlternateContent>
  <xr:revisionPtr revIDLastSave="0" documentId="13_ncr:1_{1AAEA920-A83D-42F1-AAA6-303314E0C549}" xr6:coauthVersionLast="47" xr6:coauthVersionMax="47" xr10:uidLastSave="{00000000-0000-0000-0000-000000000000}"/>
  <bookViews>
    <workbookView xWindow="-120" yWindow="-120" windowWidth="20730" windowHeight="11160" tabRatio="891" xr2:uid="{00000000-000D-0000-FFFF-FFFF00000000}"/>
  </bookViews>
  <sheets>
    <sheet name="FITTO" sheetId="11" r:id="rId1"/>
    <sheet name="HEIDECKE" sheetId="14" r:id="rId2"/>
    <sheet name="MERCADO RURAL" sheetId="2" r:id="rId3"/>
    <sheet name="MERCADO URBANO" sheetId="12" r:id="rId4"/>
    <sheet name="RESULTADO DE AVALUO" sheetId="9" r:id="rId5"/>
    <sheet name="ANTECEDENTES" sheetId="13" r:id="rId6"/>
  </sheets>
  <definedNames>
    <definedName name="_xlnm._FilterDatabase" localSheetId="2" hidden="1">'MERCADO RURAL'!$A$3:$K$10</definedName>
    <definedName name="_xlnm.Print_Area" localSheetId="0">FITTO!$A$1:$J$5</definedName>
    <definedName name="SOLO">HEIDECKE!$B$4:$E$12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9" l="1"/>
  <c r="G7" i="9"/>
  <c r="G6" i="9"/>
  <c r="F4" i="11"/>
  <c r="H4" i="11" s="1"/>
  <c r="I4" i="11" s="1"/>
  <c r="J4" i="11" s="1"/>
  <c r="B18" i="14"/>
  <c r="B17" i="14"/>
  <c r="B16" i="14"/>
  <c r="B15" i="14"/>
  <c r="K7" i="13"/>
  <c r="T19" i="13"/>
  <c r="T21" i="13" s="1"/>
  <c r="T16" i="13"/>
  <c r="T18" i="13"/>
  <c r="T13" i="13"/>
  <c r="T15" i="13" s="1"/>
  <c r="T10" i="13"/>
  <c r="T12" i="13" s="1"/>
  <c r="T6" i="13"/>
  <c r="T9" i="13" s="1"/>
  <c r="T3" i="13"/>
  <c r="T5" i="13"/>
  <c r="Q28" i="9"/>
  <c r="M23" i="9"/>
  <c r="M19" i="9"/>
  <c r="Q15" i="9"/>
  <c r="Q23" i="9"/>
  <c r="Q11" i="9"/>
  <c r="Q19" i="9" s="1"/>
  <c r="Q29" i="9" s="1"/>
  <c r="Q33" i="9" s="1"/>
  <c r="J30" i="14"/>
  <c r="D18" i="14"/>
  <c r="F18" i="14" s="1"/>
  <c r="G18" i="14" s="1"/>
  <c r="H18" i="14" s="1"/>
  <c r="D17" i="14"/>
  <c r="F17" i="14" s="1"/>
  <c r="G17" i="14" s="1"/>
  <c r="H17" i="14" s="1"/>
  <c r="D16" i="14"/>
  <c r="F16" i="14" s="1"/>
  <c r="G16" i="14" s="1"/>
  <c r="H16" i="14" s="1"/>
  <c r="K8" i="13"/>
  <c r="K6" i="13"/>
  <c r="K4" i="13"/>
  <c r="K5" i="13" s="1"/>
  <c r="K3" i="13"/>
  <c r="K3" i="9"/>
  <c r="K4" i="9" s="1"/>
  <c r="E16" i="9"/>
  <c r="E15" i="9"/>
  <c r="A11" i="9"/>
  <c r="A10" i="9"/>
  <c r="E4" i="9"/>
  <c r="F11" i="11"/>
  <c r="H11" i="11" s="1"/>
  <c r="I11" i="11" s="1"/>
  <c r="J11" i="11" s="1"/>
  <c r="D11" i="11"/>
  <c r="F10" i="11"/>
  <c r="H10" i="11"/>
  <c r="I10" i="11" s="1"/>
  <c r="J10" i="11" s="1"/>
  <c r="D10" i="11"/>
  <c r="F9" i="11"/>
  <c r="H9" i="11"/>
  <c r="I9" i="11" s="1"/>
  <c r="J9" i="11" s="1"/>
  <c r="D9" i="11"/>
  <c r="F8" i="11"/>
  <c r="H8" i="11"/>
  <c r="I8" i="11" s="1"/>
  <c r="J8" i="11" s="1"/>
  <c r="D8" i="11"/>
  <c r="F7" i="11"/>
  <c r="H7" i="11"/>
  <c r="I7" i="11" s="1"/>
  <c r="J7" i="11" s="1"/>
  <c r="D7" i="11"/>
  <c r="F6" i="11"/>
  <c r="H6" i="11"/>
  <c r="I6" i="11"/>
  <c r="J6" i="11" s="1"/>
  <c r="J8" i="9" s="1"/>
  <c r="K8" i="9" s="1"/>
  <c r="D6" i="11"/>
  <c r="K9" i="12"/>
  <c r="H9" i="12"/>
  <c r="E9" i="12"/>
  <c r="K8" i="12"/>
  <c r="H8" i="12"/>
  <c r="E8" i="12"/>
  <c r="K7" i="12"/>
  <c r="H7" i="12"/>
  <c r="E7" i="12"/>
  <c r="K6" i="12"/>
  <c r="H6" i="12"/>
  <c r="E6" i="12"/>
  <c r="K5" i="12"/>
  <c r="H5" i="12"/>
  <c r="H12" i="12" s="1"/>
  <c r="E5" i="12"/>
  <c r="H55" i="2"/>
  <c r="G55" i="2"/>
  <c r="H54" i="2"/>
  <c r="G54" i="2" s="1"/>
  <c r="H53" i="2"/>
  <c r="G53" i="2"/>
  <c r="G58" i="2"/>
  <c r="C58" i="2"/>
  <c r="D58" i="2" s="1"/>
  <c r="G57" i="2"/>
  <c r="D57" i="2"/>
  <c r="G56" i="2"/>
  <c r="D56" i="2"/>
  <c r="D55" i="2"/>
  <c r="D54" i="2"/>
  <c r="D53" i="2"/>
  <c r="E5" i="9"/>
  <c r="C9" i="2"/>
  <c r="D9" i="2"/>
  <c r="G9" i="2"/>
  <c r="G10" i="2"/>
  <c r="D10" i="2"/>
  <c r="G6" i="2"/>
  <c r="G21" i="2" s="1"/>
  <c r="G22" i="2" s="1"/>
  <c r="D6" i="2"/>
  <c r="G5" i="2"/>
  <c r="G7" i="2"/>
  <c r="G4" i="2"/>
  <c r="D4" i="2"/>
  <c r="G8" i="2"/>
  <c r="G12" i="2" s="1"/>
  <c r="D8" i="2"/>
  <c r="D5" i="2"/>
  <c r="D4" i="11"/>
  <c r="F5" i="11"/>
  <c r="H5" i="11"/>
  <c r="I5" i="11"/>
  <c r="J5" i="11"/>
  <c r="J7" i="9" s="1"/>
  <c r="K7" i="9" s="1"/>
  <c r="D5" i="11"/>
  <c r="D7" i="2"/>
  <c r="E6" i="9"/>
  <c r="G20" i="2"/>
  <c r="K9" i="13"/>
  <c r="E7" i="9"/>
  <c r="E17" i="9"/>
  <c r="G24" i="2" l="1"/>
  <c r="J6" i="9"/>
  <c r="K6" i="9" s="1"/>
  <c r="K9" i="9" s="1"/>
  <c r="K10" i="9" s="1"/>
  <c r="D10" i="9"/>
  <c r="E10" i="9" s="1"/>
  <c r="E12" i="9" s="1"/>
  <c r="E18" i="9" s="1"/>
  <c r="G16" i="2"/>
  <c r="G15" i="2"/>
  <c r="Q27" i="9"/>
  <c r="H11" i="12"/>
  <c r="H13" i="12" s="1"/>
  <c r="D11" i="9"/>
  <c r="E11" i="9" s="1"/>
  <c r="G13" i="2"/>
  <c r="G14" i="2" s="1"/>
  <c r="G23" i="2"/>
  <c r="H15" i="12" l="1"/>
  <c r="H14" i="12"/>
</calcChain>
</file>

<file path=xl/sharedStrings.xml><?xml version="1.0" encoding="utf-8"?>
<sst xmlns="http://schemas.openxmlformats.org/spreadsheetml/2006/main" count="337" uniqueCount="198">
  <si>
    <t>No.</t>
  </si>
  <si>
    <t>ESTUDIO DE MERCADO PREDIOS RURALES</t>
  </si>
  <si>
    <t>VALOR PEDIDO</t>
  </si>
  <si>
    <t>%. NEG.</t>
  </si>
  <si>
    <t>VALOR DEPURADO</t>
  </si>
  <si>
    <t>TERRENO</t>
  </si>
  <si>
    <t>OBSERVACIONES</t>
  </si>
  <si>
    <t>TIPO DE INMUEBLE</t>
  </si>
  <si>
    <t>NOMBRE FUENTE</t>
  </si>
  <si>
    <t>UBICACIÓN</t>
  </si>
  <si>
    <t>VALOR TERRENO Ha</t>
  </si>
  <si>
    <t>VALOR ESTIMADO CONSTRUCCIONES</t>
  </si>
  <si>
    <t>PROMEDIO</t>
  </si>
  <si>
    <t>LIMITE SUPERIOR</t>
  </si>
  <si>
    <t>LIMITE INFERIOR</t>
  </si>
  <si>
    <t>VALOR TOTAL</t>
  </si>
  <si>
    <t>ÍTEM</t>
  </si>
  <si>
    <t>ÁREA</t>
  </si>
  <si>
    <t>CONSTRUCCIÓN</t>
  </si>
  <si>
    <t>DIRECCIÓN</t>
  </si>
  <si>
    <t>TELÉFONO FUENTE</t>
  </si>
  <si>
    <t>DESCRIPCIÓN DEL INMUEBLE</t>
  </si>
  <si>
    <t>DESVIACIÓN ESTÁNDAR</t>
  </si>
  <si>
    <t>COEFICIENTE DE VARIACIÓN</t>
  </si>
  <si>
    <t>VALOR INTEGRAL</t>
  </si>
  <si>
    <t>ESTUDIO DE MERCADO PREDIOS URBANOS</t>
  </si>
  <si>
    <t>EDAD</t>
  </si>
  <si>
    <t>EDAD EN % DE VIDA</t>
  </si>
  <si>
    <t>VALOR DEPRECIADO</t>
  </si>
  <si>
    <t>VALOR FINAL</t>
  </si>
  <si>
    <t>VALOR ADOPTADO</t>
  </si>
  <si>
    <t>AVALÚO TOTAL</t>
  </si>
  <si>
    <t>CONSTRUCCIONES Y ANEXOS</t>
  </si>
  <si>
    <t>UN</t>
  </si>
  <si>
    <t>VALOR UNITARIO</t>
  </si>
  <si>
    <t>SUB TOTAL TERRENO</t>
  </si>
  <si>
    <t>VIDA ÚTIL</t>
  </si>
  <si>
    <t>ESTADO DE CONSERVACIÓN</t>
  </si>
  <si>
    <t>DEPRECIACIÓN</t>
  </si>
  <si>
    <t>VALOR REPOSICIÓN</t>
  </si>
  <si>
    <t>CULTIVOS</t>
  </si>
  <si>
    <t>SUB TOTAL CULTIVOS</t>
  </si>
  <si>
    <t>Unidad Fisiográfica 1</t>
  </si>
  <si>
    <t>ha</t>
  </si>
  <si>
    <t>m²</t>
  </si>
  <si>
    <t>VALOR UNITARIO $/ha</t>
  </si>
  <si>
    <t>VALOR UNITARIO $/m²</t>
  </si>
  <si>
    <t>Unidad Fisiográfica 2</t>
  </si>
  <si>
    <t>El Porvenir, vereda Canoas</t>
  </si>
  <si>
    <t>Manizales, Vereda San Roque</t>
  </si>
  <si>
    <t>Adela Lasso</t>
  </si>
  <si>
    <t>Javier Torillo</t>
  </si>
  <si>
    <t>Vereda Balsillas</t>
  </si>
  <si>
    <t>Terreno</t>
  </si>
  <si>
    <t>La Manuela, vereda Balsillas</t>
  </si>
  <si>
    <t>Finca en pastos naturales, en regular estado</t>
  </si>
  <si>
    <t>Finca Vereda Santa Rosa</t>
  </si>
  <si>
    <t>https://co.tixuz.com/inmuebles/venta/terreno/se-vende-finca-ganadera-en-ataco-tolima/6298022?utm_source=casas.mitula.com.co&amp;utm_medium=referral</t>
  </si>
  <si>
    <t>Vereda Potrerito sector La Y</t>
  </si>
  <si>
    <t>Finca con casa pequeña en bahareque, piso en mineral, dos habitaciones, matas de café</t>
  </si>
  <si>
    <t>Finca cercana a la vía veredal, con casa en bahareque en mal estado</t>
  </si>
  <si>
    <t>José Domingo</t>
  </si>
  <si>
    <t>El Paraíso, Vereda Canoas La Vega</t>
  </si>
  <si>
    <t>Finca cercana a la vía veredal, con casa de 62 m² en regular estado</t>
  </si>
  <si>
    <t>Finca cercana a la vía veredal, con casa en material, 5 habitaciones 2 baños, cocina toda en obra gris, 1 ha en café</t>
  </si>
  <si>
    <t>Patricia Céspedes</t>
  </si>
  <si>
    <t xml:space="preserve">Se encuentra en pastos con rastrojos medios, cercada en alambre de púa, </t>
  </si>
  <si>
    <t>Félix María Lasso</t>
  </si>
  <si>
    <t>Finca ganadera, casa con energía, bebederos y porteros</t>
  </si>
  <si>
    <t>Aristóbulo Ávila</t>
  </si>
  <si>
    <t>Kr 2B 2 20</t>
  </si>
  <si>
    <t>ÁREA DE TERRENO m²</t>
  </si>
  <si>
    <t>Tv 5 8 20</t>
  </si>
  <si>
    <t>Doris Berrocal</t>
  </si>
  <si>
    <t>3116832281, 7922542</t>
  </si>
  <si>
    <t>Kr 1B 2 52</t>
  </si>
  <si>
    <t>3003671388, 3022885855</t>
  </si>
  <si>
    <t>Casa principal</t>
  </si>
  <si>
    <t xml:space="preserve">MUNICIPIO: </t>
  </si>
  <si>
    <t>DEPARTAMENTO:</t>
  </si>
  <si>
    <t>TOLIMA</t>
  </si>
  <si>
    <t>ATACO</t>
  </si>
  <si>
    <t>ÁREA DE TERRENO Ha</t>
  </si>
  <si>
    <t xml:space="preserve">FOTOGRAFIA </t>
  </si>
  <si>
    <t>FECHA</t>
  </si>
  <si>
    <t>ABRIL DE 2022</t>
  </si>
  <si>
    <t xml:space="preserve">Edificio </t>
  </si>
  <si>
    <t>Cali San Pedro Centro</t>
  </si>
  <si>
    <t>CARRERA 3 FRENTE A LA DIAN con Av. Del Rio</t>
  </si>
  <si>
    <t>CENTRO FINANCIEROI DE CALI</t>
  </si>
  <si>
    <t>Cl. 9 # 3-93, B/San Pedro Centro de Cali</t>
  </si>
  <si>
    <t>EDIFICIO EN SAN PEDRO Cali Carrera 7 con calle 12</t>
  </si>
  <si>
    <t>ÁREA EN m²</t>
  </si>
  <si>
    <t>VALOR m²</t>
  </si>
  <si>
    <t>Beneficiadero</t>
  </si>
  <si>
    <t>Corral</t>
  </si>
  <si>
    <t>Ha</t>
  </si>
  <si>
    <t>Cacao</t>
  </si>
  <si>
    <t>Café</t>
  </si>
  <si>
    <t>SUB TOTAL CONSTRUCCIONES Y ANEXOS</t>
  </si>
  <si>
    <t>SUB TOTAL</t>
  </si>
  <si>
    <t>CONSTRICCIONES Y ANEXOS</t>
  </si>
  <si>
    <t>ml</t>
  </si>
  <si>
    <t>Cerramiento</t>
  </si>
  <si>
    <t>CUADRO DE AVALÚO RURAL
NOTA: LOS NOMBRES DE LAS CONSTRUCCIONES SE DILIGENCIAN EN LA HOJA DE FITTO, INSERTAR FILAS SEGÚN SE REQUIERA, EL VALOR SE TRAE AUTOMÁTICAMENTE</t>
  </si>
  <si>
    <t>CUADRO DE AVALÚO URBANO</t>
  </si>
  <si>
    <t>CALCULO DEL VALOR POR ESTADO DE CONSERVACIÓN SEGÚN FITTO Y CORVINI</t>
  </si>
  <si>
    <t>RADICACIÓN</t>
  </si>
  <si>
    <t>SUELOS</t>
  </si>
  <si>
    <t>PENDIENTE</t>
  </si>
  <si>
    <t>VP</t>
  </si>
  <si>
    <t>VR UNITARIO a 2012</t>
  </si>
  <si>
    <t>VR TOTAL</t>
  </si>
  <si>
    <t>8002016ER 2852</t>
  </si>
  <si>
    <t>TERRENO UF1</t>
  </si>
  <si>
    <t>II</t>
  </si>
  <si>
    <t>1-3%</t>
  </si>
  <si>
    <t>VALOR TOTAL AVALÚO</t>
  </si>
  <si>
    <t>IV</t>
  </si>
  <si>
    <t>TERRENO UF2</t>
  </si>
  <si>
    <t>MUNICIPIO/ VEREDA/PREDIO</t>
  </si>
  <si>
    <t>Barbosa /   Vereda Pacho Prieto / Predio Parcela 11,</t>
  </si>
  <si>
    <t>25-75%</t>
  </si>
  <si>
    <t>RURALES</t>
  </si>
  <si>
    <t>URBANOS</t>
  </si>
  <si>
    <t>CRITERIO DE HEIDECKE</t>
  </si>
  <si>
    <t>ESTADOS</t>
  </si>
  <si>
    <t>CONDICIONES FÍSICAS</t>
  </si>
  <si>
    <t>CLASIFICACIÓN</t>
  </si>
  <si>
    <t>COEFICIENTE (%)</t>
  </si>
  <si>
    <t>Nuevo, no ha sufrido ni necesita reparaciones</t>
  </si>
  <si>
    <r>
      <t xml:space="preserve">REPARACIONES MENORES: </t>
    </r>
    <r>
      <rPr>
        <sz val="11"/>
        <rFont val="Arial"/>
        <family val="2"/>
      </rPr>
      <t>Consisten en la pintura general, en el arreglo de la fachada (si son casas), enchapes de baños y cocinas, estado de los pisos (enchapes o madera, tapete, etc.), humedades, impermeabilización  de cubiertas, arreglos de equipos de cocinas o electrodomésticos incluidos en el mueble.</t>
    </r>
  </si>
  <si>
    <t>..................</t>
  </si>
  <si>
    <t>Regular, requiere o ha recibido reparaciones sin importancia.</t>
  </si>
  <si>
    <r>
      <t xml:space="preserve">REPARACIONES MEDIANAS: </t>
    </r>
    <r>
      <rPr>
        <sz val="11"/>
        <rFont val="Arial"/>
        <family val="2"/>
      </rPr>
      <t>Se trata de instalaciones hidráulicas , sanitarias o eléctricas. Reparación de cielorasos o cambio de pisos. Cambio de aparatos sanitarios y de cocina. Cambio de enchapes en baños y cocina. Severas filtraciones de humedades o en la cubierta. Cambio de algunos muros o pañetes (repellos o enlucidos).</t>
    </r>
  </si>
  <si>
    <t>...................</t>
  </si>
  <si>
    <t>Requiere reparaciones simples</t>
  </si>
  <si>
    <r>
      <t xml:space="preserve">REPARACIONES IMPORTANTES: </t>
    </r>
    <r>
      <rPr>
        <sz val="11"/>
        <rFont val="Arial"/>
        <family val="2"/>
      </rPr>
      <t>Se trata de daños en la cubierta o en la estructura y cimentación de la edificación. Rehacer la mampostería o muros. Cambio total de las instaciones hidráulicas o sanitarias. Fallas en la cimentación, hundimiento de pisos o peligros en la estructura.</t>
    </r>
  </si>
  <si>
    <t>Requiere reparaciones importantes</t>
  </si>
  <si>
    <t>Sin valor, Valor de demolicion</t>
  </si>
  <si>
    <t>CALCULO DEL VALOR POR ESTADO DE CONSERVACIÓN SEGÚN HEIDECKE</t>
  </si>
  <si>
    <t>VALOR DE REPOSICIÓN</t>
  </si>
  <si>
    <t>DAÑO EMERGENTE</t>
  </si>
  <si>
    <t>LUCRO CESANTE</t>
  </si>
  <si>
    <t>AVALÚO TOTAL FINAL</t>
  </si>
  <si>
    <t>TOTAL COMPONENTE INDEMNIZATORIO</t>
  </si>
  <si>
    <t>AVALÚO TOTAL FRANJA O PREDIO REQUERIDO</t>
  </si>
  <si>
    <t>CUADRO CALCULO DE INDEMNIZACIONES</t>
  </si>
  <si>
    <t>1.1. NOTARIADO Y REGISTRO</t>
  </si>
  <si>
    <t>1.2. CÁLCULOS GASTOS DE DESMONTE, EMBALAJE, TRASLADO Y MONTAJE</t>
  </si>
  <si>
    <t>1.3. CÁLCULOS GASTOS DESCONEXIÓN SERVICIOS PÚBLICOS</t>
  </si>
  <si>
    <t>1.4. CÁLCULOS ARRENDAMIENTO Y/O ALMACENAMIENTO PROVISIONAL</t>
  </si>
  <si>
    <t>1.5. IMPUESTO PREDIAL</t>
  </si>
  <si>
    <t>1.6. ADECUACIÓN ÁREAS REMANENTES</t>
  </si>
  <si>
    <t>1.7. PERJUICIOS DERIVADOS DE LA TERMINACIÓN DE CONTRATOS</t>
  </si>
  <si>
    <t>1. DAÑO EMERGENTE</t>
  </si>
  <si>
    <t>2. LUCRO CESANTE</t>
  </si>
  <si>
    <t xml:space="preserve">2.1. PERDIDA DE UTILIDAD POR CONTRATOS </t>
  </si>
  <si>
    <t>2.2. PERDIDA DE UTILIDAD POR OTRAS ACTIVIDADES ECONÓMICAS</t>
  </si>
  <si>
    <t>AÑO</t>
  </si>
  <si>
    <t>ÁREA m²</t>
  </si>
  <si>
    <t>Norma POT</t>
  </si>
  <si>
    <t>2015ER5980</t>
  </si>
  <si>
    <t>Carrera 10 3 - 86
Migración Colombia</t>
  </si>
  <si>
    <t>UPI-U19 Consolidación Equipamiento Aeropuerto.</t>
  </si>
  <si>
    <t>CONSTRUCCIONES</t>
  </si>
  <si>
    <t>Carrera 10 3 - 128
Migración Colombia</t>
  </si>
  <si>
    <t>ER299</t>
  </si>
  <si>
    <t>Calle 30 # 10-235</t>
  </si>
  <si>
    <t>Área de Actividad R-4 (Residencial)</t>
  </si>
  <si>
    <t>ER11057</t>
  </si>
  <si>
    <t>Calle 30 # 11B-25</t>
  </si>
  <si>
    <t>Área de Actividad R-3 (Residencial)</t>
  </si>
  <si>
    <t>2017ER14429</t>
  </si>
  <si>
    <t>Calle 1 15 - 90 Av Colombia</t>
  </si>
  <si>
    <t>UPI-U1 Residencial Consolidado Serie Bay.</t>
  </si>
  <si>
    <t>ER2224</t>
  </si>
  <si>
    <t>Calle 31 # 16-51</t>
  </si>
  <si>
    <t>TERRENO UF3</t>
  </si>
  <si>
    <t>VI</t>
  </si>
  <si>
    <t>25-50%</t>
  </si>
  <si>
    <t>50-75%</t>
  </si>
  <si>
    <t>VR UNITARIO TERRENO $/m²</t>
  </si>
  <si>
    <t>Optimo</t>
  </si>
  <si>
    <t>Muy bueno</t>
  </si>
  <si>
    <t>Bueno</t>
  </si>
  <si>
    <t>Intermedio</t>
  </si>
  <si>
    <t xml:space="preserve">Regular </t>
  </si>
  <si>
    <t>Deficiente</t>
  </si>
  <si>
    <t>Malo</t>
  </si>
  <si>
    <t>Muy malo</t>
  </si>
  <si>
    <t>TOTAL AVALÚO DAÑO EMERGENTE</t>
  </si>
  <si>
    <t>TOTAL AVALÚO LUCRO CESANTE</t>
  </si>
  <si>
    <t>Demolicion</t>
  </si>
  <si>
    <t>Amenza Ruina</t>
  </si>
  <si>
    <t xml:space="preserve">NOTA: </t>
  </si>
  <si>
    <t xml:space="preserve">Solamente diligenciar información en celdas sombreadas, las demás son automáticas </t>
  </si>
  <si>
    <t>PARA AVALÚOS URBANOS Y RURALES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</si>
</sst>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&quot;$&quot;\ #,##0_);[Red]\(&quot;$&quot;\ #,##0\)"/>
    <numFmt numFmtId="165" formatCode="&quot;$&quot;\ #,##0.00_);[Red]\(&quot;$&quot;\ #,##0.00\)"/>
    <numFmt numFmtId="166" formatCode="_(&quot;$&quot;\ * #,##0.00_);_(&quot;$&quot;\ * \(#,##0.00\);_(&quot;$&quot;\ * &quot;-&quot;??_);_(@_)"/>
    <numFmt numFmtId="167" formatCode="_(* #,##0.00_);_(* \(#,##0.00\);_(* &quot;-&quot;??_);_(@_)"/>
    <numFmt numFmtId="168" formatCode="_(&quot;$&quot;\ * #,##0_);_(&quot;$&quot;\ * \(#,##0\);_(&quot;$&quot;\ * &quot;-&quot;??_);_(@_)"/>
    <numFmt numFmtId="169" formatCode="0.0%"/>
    <numFmt numFmtId="170" formatCode="&quot;$&quot;#,##0"/>
    <numFmt numFmtId="171" formatCode="0.0"/>
    <numFmt numFmtId="172" formatCode="&quot;$&quot;\ #,##0"/>
    <numFmt numFmtId="173" formatCode="&quot;$&quot;\ #,##0.00"/>
    <numFmt numFmtId="174" formatCode="#,##0.0"/>
    <numFmt numFmtId="175" formatCode="#,##0.0000"/>
    <numFmt numFmtId="176" formatCode="0.000"/>
    <numFmt numFmtId="177" formatCode="0.0000"/>
    <numFmt numFmtId="178" formatCode="&quot;$&quot;\ #,##0.00;[Red]&quot;$&quot;\ #,##0.00"/>
    <numFmt numFmtId="179" formatCode="_(* #,##0_);_(* \(#,##0\);_(* &quot;-&quot;??_);_(@_)"/>
    <numFmt numFmtId="180" formatCode="_(* #,##0.0_);_(* \(#,##0.0\);_(* &quot;-&quot;??_);_(@_)"/>
  </numFmts>
  <fonts count="36" x14ac:knownFonts="1">
    <font>
      <sz val="11"/>
      <color theme="1"/>
      <name val="Calibri"/>
      <family val="2"/>
      <scheme val="minor"/>
    </font>
    <font>
      <b/>
      <sz val="7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sz val="7"/>
      <color theme="1"/>
      <name val="Arial"/>
      <family val="2"/>
    </font>
    <font>
      <u/>
      <sz val="11"/>
      <color theme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1"/>
      <color rgb="FFFF0000"/>
      <name val="Arial"/>
      <family val="2"/>
    </font>
    <font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Arial"/>
      <family val="2"/>
    </font>
    <font>
      <b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16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4" fillId="0" borderId="0"/>
    <xf numFmtId="0" fontId="11" fillId="0" borderId="0"/>
    <xf numFmtId="9" fontId="13" fillId="0" borderId="0" applyFont="0" applyFill="0" applyBorder="0" applyAlignment="0" applyProtection="0"/>
  </cellStyleXfs>
  <cellXfs count="257">
    <xf numFmtId="0" fontId="0" fillId="0" borderId="0" xfId="0"/>
    <xf numFmtId="175" fontId="3" fillId="2" borderId="1" xfId="0" applyNumberFormat="1" applyFont="1" applyFill="1" applyBorder="1" applyAlignment="1">
      <alignment horizontal="centerContinuous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172" fontId="3" fillId="2" borderId="0" xfId="0" applyNumberFormat="1" applyFont="1" applyFill="1" applyBorder="1" applyAlignment="1">
      <alignment horizontal="right" vertical="center"/>
    </xf>
    <xf numFmtId="174" fontId="3" fillId="2" borderId="0" xfId="0" applyNumberFormat="1" applyFont="1" applyFill="1" applyBorder="1" applyAlignment="1">
      <alignment horizontal="right" vertical="center"/>
    </xf>
    <xf numFmtId="172" fontId="3" fillId="2" borderId="0" xfId="0" applyNumberFormat="1" applyFont="1" applyFill="1" applyBorder="1" applyAlignment="1">
      <alignment horizontal="right" vertical="center" wrapText="1"/>
    </xf>
    <xf numFmtId="4" fontId="3" fillId="2" borderId="0" xfId="0" applyNumberFormat="1" applyFont="1" applyFill="1" applyBorder="1" applyAlignment="1">
      <alignment horizontal="right" vertical="center"/>
    </xf>
    <xf numFmtId="0" fontId="5" fillId="2" borderId="1" xfId="0" applyNumberFormat="1" applyFont="1" applyFill="1" applyBorder="1" applyAlignment="1">
      <alignment horizontal="center" vertical="center"/>
    </xf>
    <xf numFmtId="172" fontId="6" fillId="2" borderId="1" xfId="0" applyNumberFormat="1" applyFont="1" applyFill="1" applyBorder="1" applyAlignment="1">
      <alignment horizontal="right" vertical="center"/>
    </xf>
    <xf numFmtId="174" fontId="6" fillId="2" borderId="1" xfId="0" applyNumberFormat="1" applyFont="1" applyFill="1" applyBorder="1" applyAlignment="1">
      <alignment horizontal="right" vertical="center"/>
    </xf>
    <xf numFmtId="172" fontId="6" fillId="2" borderId="1" xfId="0" applyNumberFormat="1" applyFont="1" applyFill="1" applyBorder="1" applyAlignment="1">
      <alignment horizontal="right" vertical="center" wrapText="1"/>
    </xf>
    <xf numFmtId="0" fontId="16" fillId="2" borderId="1" xfId="0" applyNumberFormat="1" applyFont="1" applyFill="1" applyBorder="1" applyAlignment="1">
      <alignment horizontal="center" vertical="center"/>
    </xf>
    <xf numFmtId="172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0" xfId="0" applyFont="1" applyFill="1"/>
    <xf numFmtId="177" fontId="16" fillId="2" borderId="1" xfId="0" applyNumberFormat="1" applyFont="1" applyFill="1" applyBorder="1" applyAlignment="1">
      <alignment horizontal="center" vertical="center"/>
    </xf>
    <xf numFmtId="9" fontId="16" fillId="2" borderId="1" xfId="6" applyFont="1" applyFill="1" applyBorder="1" applyAlignment="1">
      <alignment horizontal="center" vertical="center"/>
    </xf>
    <xf numFmtId="172" fontId="16" fillId="3" borderId="1" xfId="0" applyNumberFormat="1" applyFont="1" applyFill="1" applyBorder="1" applyAlignment="1">
      <alignment horizontal="center" vertical="center"/>
    </xf>
    <xf numFmtId="172" fontId="16" fillId="4" borderId="1" xfId="0" applyNumberFormat="1" applyFont="1" applyFill="1" applyBorder="1" applyAlignment="1">
      <alignment horizontal="center" vertical="center"/>
    </xf>
    <xf numFmtId="171" fontId="16" fillId="2" borderId="1" xfId="0" applyNumberFormat="1" applyFont="1" applyFill="1" applyBorder="1" applyAlignment="1">
      <alignment horizontal="center" vertical="center"/>
    </xf>
    <xf numFmtId="171" fontId="1" fillId="5" borderId="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168" fontId="16" fillId="0" borderId="0" xfId="3" applyNumberFormat="1" applyFont="1" applyAlignment="1">
      <alignment vertical="center"/>
    </xf>
    <xf numFmtId="0" fontId="16" fillId="0" borderId="0" xfId="0" applyFont="1" applyAlignment="1">
      <alignment horizontal="center" vertical="center"/>
    </xf>
    <xf numFmtId="166" fontId="16" fillId="0" borderId="0" xfId="3" applyFont="1" applyAlignment="1">
      <alignment vertical="center"/>
    </xf>
    <xf numFmtId="10" fontId="17" fillId="2" borderId="1" xfId="0" applyNumberFormat="1" applyFont="1" applyFill="1" applyBorder="1" applyAlignment="1">
      <alignment vertical="center"/>
    </xf>
    <xf numFmtId="10" fontId="17" fillId="2" borderId="1" xfId="0" applyNumberFormat="1" applyFont="1" applyFill="1" applyBorder="1" applyAlignment="1" applyProtection="1">
      <alignment vertical="center"/>
      <protection hidden="1"/>
    </xf>
    <xf numFmtId="170" fontId="17" fillId="2" borderId="1" xfId="0" applyNumberFormat="1" applyFont="1" applyFill="1" applyBorder="1" applyAlignment="1">
      <alignment vertical="center"/>
    </xf>
    <xf numFmtId="172" fontId="17" fillId="2" borderId="1" xfId="0" applyNumberFormat="1" applyFont="1" applyFill="1" applyBorder="1" applyAlignment="1">
      <alignment vertical="center"/>
    </xf>
    <xf numFmtId="0" fontId="18" fillId="2" borderId="0" xfId="0" applyFont="1" applyFill="1"/>
    <xf numFmtId="0" fontId="18" fillId="2" borderId="0" xfId="0" applyFont="1" applyFill="1" applyAlignment="1">
      <alignment horizontal="center"/>
    </xf>
    <xf numFmtId="0" fontId="18" fillId="2" borderId="0" xfId="0" applyFont="1" applyFill="1" applyAlignment="1">
      <alignment wrapText="1"/>
    </xf>
    <xf numFmtId="0" fontId="19" fillId="2" borderId="1" xfId="1" applyFont="1" applyFill="1" applyBorder="1" applyAlignment="1" applyProtection="1">
      <alignment horizontal="center" vertical="center" wrapText="1"/>
    </xf>
    <xf numFmtId="172" fontId="7" fillId="0" borderId="1" xfId="0" applyNumberFormat="1" applyFont="1" applyBorder="1" applyAlignment="1">
      <alignment vertical="center" wrapText="1"/>
    </xf>
    <xf numFmtId="10" fontId="7" fillId="0" borderId="1" xfId="6" applyNumberFormat="1" applyFont="1" applyBorder="1" applyAlignment="1">
      <alignment vertical="center" wrapText="1"/>
    </xf>
    <xf numFmtId="0" fontId="20" fillId="2" borderId="0" xfId="0" applyFont="1" applyFill="1" applyBorder="1" applyAlignment="1">
      <alignment vertical="center" wrapText="1"/>
    </xf>
    <xf numFmtId="0" fontId="21" fillId="2" borderId="0" xfId="0" applyFont="1" applyFill="1" applyAlignment="1">
      <alignment wrapText="1"/>
    </xf>
    <xf numFmtId="0" fontId="21" fillId="2" borderId="0" xfId="0" applyFont="1" applyFill="1"/>
    <xf numFmtId="173" fontId="8" fillId="6" borderId="1" xfId="0" applyNumberFormat="1" applyFont="1" applyFill="1" applyBorder="1" applyAlignment="1">
      <alignment horizontal="right" vertical="center"/>
    </xf>
    <xf numFmtId="171" fontId="9" fillId="0" borderId="1" xfId="0" applyNumberFormat="1" applyFont="1" applyBorder="1" applyAlignment="1">
      <alignment horizontal="center" vertical="center" wrapText="1"/>
    </xf>
    <xf numFmtId="169" fontId="16" fillId="2" borderId="1" xfId="6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73" fontId="1" fillId="2" borderId="0" xfId="0" applyNumberFormat="1" applyFont="1" applyFill="1" applyBorder="1" applyAlignment="1">
      <alignment horizontal="right" vertical="center"/>
    </xf>
    <xf numFmtId="173" fontId="2" fillId="2" borderId="0" xfId="0" applyNumberFormat="1" applyFont="1" applyFill="1" applyBorder="1" applyAlignment="1">
      <alignment horizontal="center" vertical="center" wrapText="1"/>
    </xf>
    <xf numFmtId="0" fontId="22" fillId="2" borderId="0" xfId="0" applyFont="1" applyFill="1" applyAlignment="1"/>
    <xf numFmtId="0" fontId="18" fillId="0" borderId="0" xfId="0" applyFont="1" applyFill="1"/>
    <xf numFmtId="0" fontId="18" fillId="2" borderId="0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0" borderId="0" xfId="0" applyFont="1" applyFill="1" applyBorder="1"/>
    <xf numFmtId="0" fontId="17" fillId="0" borderId="0" xfId="0" applyFont="1"/>
    <xf numFmtId="0" fontId="23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 wrapText="1"/>
    </xf>
    <xf numFmtId="175" fontId="25" fillId="0" borderId="1" xfId="0" applyNumberFormat="1" applyFont="1" applyFill="1" applyBorder="1" applyAlignment="1">
      <alignment horizontal="right" vertical="center" wrapText="1"/>
    </xf>
    <xf numFmtId="4" fontId="25" fillId="0" borderId="1" xfId="0" applyNumberFormat="1" applyFont="1" applyFill="1" applyBorder="1" applyAlignment="1">
      <alignment horizontal="center" vertical="center" wrapText="1"/>
    </xf>
    <xf numFmtId="165" fontId="25" fillId="0" borderId="1" xfId="0" applyNumberFormat="1" applyFont="1" applyFill="1" applyBorder="1" applyAlignment="1">
      <alignment horizontal="right" vertical="center"/>
    </xf>
    <xf numFmtId="164" fontId="25" fillId="0" borderId="0" xfId="0" applyNumberFormat="1" applyFont="1" applyFill="1" applyBorder="1" applyAlignment="1">
      <alignment horizontal="right" vertical="center"/>
    </xf>
    <xf numFmtId="164" fontId="24" fillId="0" borderId="0" xfId="0" applyNumberFormat="1" applyFont="1" applyFill="1" applyBorder="1" applyAlignment="1">
      <alignment horizontal="right" vertical="center"/>
    </xf>
    <xf numFmtId="4" fontId="25" fillId="0" borderId="1" xfId="0" applyNumberFormat="1" applyFont="1" applyFill="1" applyBorder="1" applyAlignment="1">
      <alignment horizontal="right" vertical="center" wrapText="1"/>
    </xf>
    <xf numFmtId="165" fontId="25" fillId="0" borderId="1" xfId="0" applyNumberFormat="1" applyFont="1" applyFill="1" applyBorder="1" applyAlignment="1">
      <alignment horizontal="right" vertical="center" wrapText="1"/>
    </xf>
    <xf numFmtId="165" fontId="25" fillId="0" borderId="0" xfId="0" applyNumberFormat="1" applyFont="1" applyFill="1" applyBorder="1" applyAlignment="1">
      <alignment horizontal="right" vertical="center" wrapText="1"/>
    </xf>
    <xf numFmtId="0" fontId="17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4" fontId="17" fillId="0" borderId="0" xfId="0" applyNumberFormat="1" applyFont="1" applyAlignment="1">
      <alignment vertical="center"/>
    </xf>
    <xf numFmtId="172" fontId="17" fillId="0" borderId="0" xfId="0" applyNumberFormat="1" applyFont="1" applyAlignment="1">
      <alignment vertical="center"/>
    </xf>
    <xf numFmtId="164" fontId="25" fillId="0" borderId="1" xfId="0" applyNumberFormat="1" applyFont="1" applyFill="1" applyBorder="1" applyAlignment="1">
      <alignment horizontal="right" vertical="center"/>
    </xf>
    <xf numFmtId="0" fontId="15" fillId="5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7" fontId="0" fillId="0" borderId="1" xfId="0" applyNumberFormat="1" applyBorder="1" applyAlignment="1">
      <alignment vertical="center" wrapText="1"/>
    </xf>
    <xf numFmtId="178" fontId="0" fillId="0" borderId="1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178" fontId="15" fillId="5" borderId="1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0" fillId="0" borderId="0" xfId="5" applyNumberFormat="1" applyFont="1" applyFill="1" applyAlignment="1">
      <alignment horizontal="center" vertical="center"/>
    </xf>
    <xf numFmtId="0" fontId="10" fillId="0" borderId="2" xfId="4" applyFont="1" applyFill="1" applyBorder="1" applyAlignment="1">
      <alignment horizontal="center" vertical="center" wrapText="1"/>
    </xf>
    <xf numFmtId="0" fontId="12" fillId="0" borderId="3" xfId="4" applyFont="1" applyFill="1" applyBorder="1" applyAlignment="1">
      <alignment horizontal="center" vertical="center"/>
    </xf>
    <xf numFmtId="0" fontId="12" fillId="0" borderId="4" xfId="4" applyFont="1" applyFill="1" applyBorder="1" applyAlignment="1">
      <alignment vertical="center" wrapText="1"/>
    </xf>
    <xf numFmtId="0" fontId="12" fillId="0" borderId="4" xfId="4" applyFont="1" applyFill="1" applyBorder="1" applyAlignment="1">
      <alignment horizontal="center" vertical="center"/>
    </xf>
    <xf numFmtId="176" fontId="12" fillId="0" borderId="5" xfId="4" applyNumberFormat="1" applyFont="1" applyFill="1" applyBorder="1" applyAlignment="1">
      <alignment horizontal="right" vertical="center"/>
    </xf>
    <xf numFmtId="0" fontId="10" fillId="0" borderId="0" xfId="5" applyNumberFormat="1" applyFont="1" applyFill="1" applyAlignment="1">
      <alignment vertical="center" wrapText="1"/>
    </xf>
    <xf numFmtId="0" fontId="12" fillId="0" borderId="6" xfId="4" applyFont="1" applyFill="1" applyBorder="1" applyAlignment="1">
      <alignment horizontal="center" vertical="center"/>
    </xf>
    <xf numFmtId="0" fontId="12" fillId="0" borderId="1" xfId="4" applyFont="1" applyFill="1" applyBorder="1" applyAlignment="1">
      <alignment vertical="center" wrapText="1"/>
    </xf>
    <xf numFmtId="0" fontId="12" fillId="0" borderId="1" xfId="4" applyFont="1" applyFill="1" applyBorder="1" applyAlignment="1">
      <alignment horizontal="center" vertical="center"/>
    </xf>
    <xf numFmtId="176" fontId="12" fillId="0" borderId="7" xfId="4" applyNumberFormat="1" applyFont="1" applyFill="1" applyBorder="1" applyAlignment="1">
      <alignment horizontal="right" vertical="center"/>
    </xf>
    <xf numFmtId="0" fontId="12" fillId="0" borderId="8" xfId="4" applyFont="1" applyFill="1" applyBorder="1" applyAlignment="1">
      <alignment horizontal="center" vertical="center"/>
    </xf>
    <xf numFmtId="0" fontId="12" fillId="0" borderId="9" xfId="4" applyFont="1" applyFill="1" applyBorder="1" applyAlignment="1">
      <alignment vertical="center" wrapText="1"/>
    </xf>
    <xf numFmtId="0" fontId="12" fillId="0" borderId="9" xfId="4" applyFont="1" applyFill="1" applyBorder="1" applyAlignment="1">
      <alignment horizontal="center" vertical="center"/>
    </xf>
    <xf numFmtId="176" fontId="12" fillId="0" borderId="10" xfId="4" applyNumberFormat="1" applyFont="1" applyFill="1" applyBorder="1" applyAlignment="1">
      <alignment horizontal="right" vertical="center"/>
    </xf>
    <xf numFmtId="179" fontId="17" fillId="0" borderId="0" xfId="2" applyNumberFormat="1" applyFont="1"/>
    <xf numFmtId="180" fontId="17" fillId="0" borderId="0" xfId="0" applyNumberFormat="1" applyFont="1"/>
    <xf numFmtId="172" fontId="17" fillId="0" borderId="10" xfId="0" applyNumberFormat="1" applyFont="1" applyFill="1" applyBorder="1" applyAlignment="1">
      <alignment horizontal="center" vertical="center"/>
    </xf>
    <xf numFmtId="167" fontId="17" fillId="0" borderId="0" xfId="0" applyNumberFormat="1" applyFont="1"/>
    <xf numFmtId="179" fontId="17" fillId="0" borderId="0" xfId="0" applyNumberFormat="1" applyFont="1"/>
    <xf numFmtId="172" fontId="17" fillId="0" borderId="5" xfId="0" applyNumberFormat="1" applyFont="1" applyFill="1" applyBorder="1" applyAlignment="1">
      <alignment horizontal="center" vertical="center"/>
    </xf>
    <xf numFmtId="167" fontId="17" fillId="0" borderId="0" xfId="2" applyFont="1"/>
    <xf numFmtId="172" fontId="17" fillId="0" borderId="0" xfId="0" applyNumberFormat="1" applyFont="1"/>
    <xf numFmtId="0" fontId="17" fillId="0" borderId="0" xfId="0" applyFont="1" applyProtection="1">
      <protection locked="0"/>
    </xf>
    <xf numFmtId="167" fontId="17" fillId="0" borderId="0" xfId="2" applyNumberFormat="1" applyFont="1"/>
    <xf numFmtId="168" fontId="17" fillId="0" borderId="0" xfId="3" applyNumberFormat="1" applyFont="1"/>
    <xf numFmtId="0" fontId="15" fillId="5" borderId="11" xfId="0" applyFont="1" applyFill="1" applyBorder="1" applyAlignment="1">
      <alignment horizontal="center" vertical="center" wrapText="1"/>
    </xf>
    <xf numFmtId="164" fontId="26" fillId="7" borderId="1" xfId="0" applyNumberFormat="1" applyFont="1" applyFill="1" applyBorder="1" applyAlignment="1">
      <alignment horizontal="center" vertical="center"/>
    </xf>
    <xf numFmtId="0" fontId="24" fillId="7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10" fontId="8" fillId="7" borderId="1" xfId="0" applyNumberFormat="1" applyFont="1" applyFill="1" applyBorder="1" applyAlignment="1">
      <alignment horizontal="center" vertical="center" wrapText="1"/>
    </xf>
    <xf numFmtId="170" fontId="8" fillId="7" borderId="1" xfId="0" applyNumberFormat="1" applyFont="1" applyFill="1" applyBorder="1" applyAlignment="1">
      <alignment horizontal="center" vertical="center" wrapText="1"/>
    </xf>
    <xf numFmtId="171" fontId="1" fillId="7" borderId="1" xfId="0" applyNumberFormat="1" applyFont="1" applyFill="1" applyBorder="1" applyAlignment="1">
      <alignment horizontal="center" vertical="center" wrapText="1"/>
    </xf>
    <xf numFmtId="3" fontId="1" fillId="7" borderId="1" xfId="0" applyNumberFormat="1" applyFont="1" applyFill="1" applyBorder="1" applyAlignment="1">
      <alignment horizontal="center" vertical="center" wrapText="1"/>
    </xf>
    <xf numFmtId="164" fontId="24" fillId="7" borderId="1" xfId="0" applyNumberFormat="1" applyFont="1" applyFill="1" applyBorder="1" applyAlignment="1">
      <alignment horizontal="center" vertical="center" wrapText="1"/>
    </xf>
    <xf numFmtId="164" fontId="24" fillId="0" borderId="1" xfId="0" applyNumberFormat="1" applyFont="1" applyFill="1" applyBorder="1" applyAlignment="1">
      <alignment horizontal="right" vertical="center"/>
    </xf>
    <xf numFmtId="164" fontId="24" fillId="7" borderId="1" xfId="0" applyNumberFormat="1" applyFont="1" applyFill="1" applyBorder="1" applyAlignment="1">
      <alignment horizontal="right" vertical="center"/>
    </xf>
    <xf numFmtId="0" fontId="21" fillId="0" borderId="12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" fontId="21" fillId="2" borderId="1" xfId="0" applyNumberFormat="1" applyFont="1" applyFill="1" applyBorder="1" applyAlignment="1">
      <alignment horizontal="center" vertical="center"/>
    </xf>
    <xf numFmtId="178" fontId="21" fillId="0" borderId="1" xfId="0" applyNumberFormat="1" applyFont="1" applyFill="1" applyBorder="1" applyAlignment="1">
      <alignment vertical="center" wrapText="1"/>
    </xf>
    <xf numFmtId="178" fontId="21" fillId="0" borderId="11" xfId="0" applyNumberFormat="1" applyFont="1" applyBorder="1" applyAlignment="1">
      <alignment vertical="center" wrapText="1"/>
    </xf>
    <xf numFmtId="0" fontId="21" fillId="0" borderId="13" xfId="0" applyFont="1" applyBorder="1" applyAlignment="1">
      <alignment horizontal="center" vertical="center" wrapText="1"/>
    </xf>
    <xf numFmtId="3" fontId="21" fillId="2" borderId="1" xfId="0" applyNumberFormat="1" applyFont="1" applyFill="1" applyBorder="1" applyAlignment="1">
      <alignment horizontal="center" vertical="center"/>
    </xf>
    <xf numFmtId="178" fontId="21" fillId="0" borderId="1" xfId="0" applyNumberFormat="1" applyFont="1" applyBorder="1" applyAlignment="1">
      <alignment vertical="center" wrapText="1"/>
    </xf>
    <xf numFmtId="0" fontId="21" fillId="0" borderId="4" xfId="0" applyFont="1" applyBorder="1" applyAlignment="1">
      <alignment horizontal="center" vertical="center" wrapText="1"/>
    </xf>
    <xf numFmtId="178" fontId="20" fillId="5" borderId="11" xfId="0" applyNumberFormat="1" applyFont="1" applyFill="1" applyBorder="1" applyAlignment="1">
      <alignment vertical="center" wrapText="1"/>
    </xf>
    <xf numFmtId="178" fontId="21" fillId="0" borderId="11" xfId="0" applyNumberFormat="1" applyFont="1" applyBorder="1" applyAlignment="1">
      <alignment horizontal="right" vertical="center" wrapText="1"/>
    </xf>
    <xf numFmtId="174" fontId="21" fillId="2" borderId="1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 wrapText="1"/>
    </xf>
    <xf numFmtId="172" fontId="17" fillId="0" borderId="7" xfId="0" applyNumberFormat="1" applyFont="1" applyFill="1" applyBorder="1" applyAlignment="1">
      <alignment horizontal="center" vertical="center"/>
    </xf>
    <xf numFmtId="2" fontId="17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7" borderId="14" xfId="0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 wrapText="1"/>
    </xf>
    <xf numFmtId="10" fontId="10" fillId="7" borderId="15" xfId="0" applyNumberFormat="1" applyFont="1" applyFill="1" applyBorder="1" applyAlignment="1">
      <alignment horizontal="center" vertical="center" wrapText="1"/>
    </xf>
    <xf numFmtId="170" fontId="10" fillId="7" borderId="15" xfId="0" applyNumberFormat="1" applyFont="1" applyFill="1" applyBorder="1" applyAlignment="1">
      <alignment horizontal="center" vertical="center" wrapText="1"/>
    </xf>
    <xf numFmtId="170" fontId="10" fillId="7" borderId="16" xfId="0" applyNumberFormat="1" applyFont="1" applyFill="1" applyBorder="1" applyAlignment="1">
      <alignment horizontal="center" vertical="center" wrapText="1"/>
    </xf>
    <xf numFmtId="171" fontId="17" fillId="5" borderId="4" xfId="0" applyNumberFormat="1" applyFont="1" applyFill="1" applyBorder="1" applyAlignment="1">
      <alignment horizontal="center" vertical="center"/>
    </xf>
    <xf numFmtId="171" fontId="17" fillId="5" borderId="1" xfId="0" applyNumberFormat="1" applyFont="1" applyFill="1" applyBorder="1" applyAlignment="1">
      <alignment horizontal="center" vertical="center"/>
    </xf>
    <xf numFmtId="171" fontId="17" fillId="5" borderId="9" xfId="0" applyNumberFormat="1" applyFont="1" applyFill="1" applyBorder="1" applyAlignment="1">
      <alignment horizontal="center" vertical="center"/>
    </xf>
    <xf numFmtId="179" fontId="17" fillId="5" borderId="4" xfId="2" applyNumberFormat="1" applyFont="1" applyFill="1" applyBorder="1" applyAlignment="1">
      <alignment horizontal="center" vertical="center"/>
    </xf>
    <xf numFmtId="179" fontId="17" fillId="5" borderId="1" xfId="2" applyNumberFormat="1" applyFont="1" applyFill="1" applyBorder="1" applyAlignment="1">
      <alignment horizontal="center" vertical="center"/>
    </xf>
    <xf numFmtId="179" fontId="17" fillId="5" borderId="9" xfId="2" applyNumberFormat="1" applyFont="1" applyFill="1" applyBorder="1" applyAlignment="1">
      <alignment horizontal="center" vertical="center"/>
    </xf>
    <xf numFmtId="167" fontId="17" fillId="0" borderId="4" xfId="2" applyFont="1" applyFill="1" applyBorder="1" applyAlignment="1">
      <alignment horizontal="center" vertical="center"/>
    </xf>
    <xf numFmtId="170" fontId="17" fillId="0" borderId="4" xfId="0" applyNumberFormat="1" applyFont="1" applyFill="1" applyBorder="1" applyAlignment="1">
      <alignment horizontal="center" vertical="center"/>
    </xf>
    <xf numFmtId="167" fontId="17" fillId="0" borderId="1" xfId="2" applyFont="1" applyFill="1" applyBorder="1" applyAlignment="1">
      <alignment horizontal="center" vertical="center"/>
    </xf>
    <xf numFmtId="170" fontId="17" fillId="0" borderId="1" xfId="0" applyNumberFormat="1" applyFont="1" applyFill="1" applyBorder="1" applyAlignment="1">
      <alignment horizontal="center" vertical="center"/>
    </xf>
    <xf numFmtId="167" fontId="17" fillId="0" borderId="9" xfId="2" applyFont="1" applyFill="1" applyBorder="1" applyAlignment="1">
      <alignment horizontal="center" vertical="center"/>
    </xf>
    <xf numFmtId="170" fontId="17" fillId="0" borderId="9" xfId="0" applyNumberFormat="1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 applyProtection="1">
      <alignment horizontal="center" vertical="center"/>
      <protection locked="0"/>
    </xf>
    <xf numFmtId="2" fontId="17" fillId="0" borderId="9" xfId="0" applyNumberFormat="1" applyFont="1" applyFill="1" applyBorder="1" applyAlignment="1" applyProtection="1">
      <alignment horizontal="center" vertical="center"/>
      <protection locked="0"/>
    </xf>
    <xf numFmtId="0" fontId="17" fillId="0" borderId="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34" fillId="0" borderId="0" xfId="0" applyFont="1"/>
    <xf numFmtId="0" fontId="25" fillId="5" borderId="1" xfId="0" applyFont="1" applyFill="1" applyBorder="1" applyAlignment="1">
      <alignment horizontal="left" vertical="center" wrapText="1"/>
    </xf>
    <xf numFmtId="0" fontId="17" fillId="5" borderId="1" xfId="0" applyFont="1" applyFill="1" applyBorder="1" applyAlignment="1">
      <alignment horizontal="center" vertical="center"/>
    </xf>
    <xf numFmtId="168" fontId="17" fillId="5" borderId="1" xfId="0" applyNumberFormat="1" applyFont="1" applyFill="1" applyBorder="1" applyAlignment="1">
      <alignment horizontal="right" vertical="center"/>
    </xf>
    <xf numFmtId="0" fontId="21" fillId="2" borderId="0" xfId="0" applyFont="1" applyFill="1" applyBorder="1" applyAlignment="1">
      <alignment vertical="center" wrapText="1"/>
    </xf>
    <xf numFmtId="0" fontId="17" fillId="0" borderId="6" xfId="0" applyFont="1" applyFill="1" applyBorder="1" applyAlignment="1">
      <alignment horizontal="justify" vertical="center" wrapText="1"/>
    </xf>
    <xf numFmtId="164" fontId="25" fillId="0" borderId="7" xfId="0" applyNumberFormat="1" applyFont="1" applyFill="1" applyBorder="1" applyAlignment="1">
      <alignment horizontal="right" vertical="center"/>
    </xf>
    <xf numFmtId="0" fontId="23" fillId="7" borderId="14" xfId="0" applyFont="1" applyFill="1" applyBorder="1" applyAlignment="1">
      <alignment horizontal="center" vertical="center" wrapText="1"/>
    </xf>
    <xf numFmtId="0" fontId="23" fillId="7" borderId="15" xfId="0" applyFont="1" applyFill="1" applyBorder="1" applyAlignment="1">
      <alignment horizontal="center" vertical="center" wrapText="1"/>
    </xf>
    <xf numFmtId="0" fontId="23" fillId="7" borderId="16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justify" vertical="center" wrapText="1"/>
    </xf>
    <xf numFmtId="4" fontId="25" fillId="0" borderId="26" xfId="0" applyNumberFormat="1" applyFont="1" applyFill="1" applyBorder="1" applyAlignment="1">
      <alignment horizontal="right" vertical="center" wrapText="1"/>
    </xf>
    <xf numFmtId="4" fontId="25" fillId="0" borderId="26" xfId="0" applyNumberFormat="1" applyFont="1" applyFill="1" applyBorder="1" applyAlignment="1">
      <alignment horizontal="center" vertical="center" wrapText="1"/>
    </xf>
    <xf numFmtId="165" fontId="25" fillId="0" borderId="26" xfId="0" applyNumberFormat="1" applyFont="1" applyFill="1" applyBorder="1" applyAlignment="1">
      <alignment horizontal="right" vertical="center"/>
    </xf>
    <xf numFmtId="164" fontId="25" fillId="0" borderId="27" xfId="0" applyNumberFormat="1" applyFont="1" applyFill="1" applyBorder="1" applyAlignment="1">
      <alignment horizontal="right" vertical="center"/>
    </xf>
    <xf numFmtId="165" fontId="24" fillId="0" borderId="10" xfId="0" applyNumberFormat="1" applyFont="1" applyFill="1" applyBorder="1" applyAlignment="1">
      <alignment horizontal="right" vertical="center"/>
    </xf>
    <xf numFmtId="165" fontId="24" fillId="0" borderId="29" xfId="0" applyNumberFormat="1" applyFont="1" applyFill="1" applyBorder="1" applyAlignment="1">
      <alignment horizontal="right" vertical="center"/>
    </xf>
    <xf numFmtId="165" fontId="26" fillId="7" borderId="16" xfId="0" applyNumberFormat="1" applyFont="1" applyFill="1" applyBorder="1" applyAlignment="1">
      <alignment horizontal="right" vertical="center"/>
    </xf>
    <xf numFmtId="164" fontId="25" fillId="0" borderId="6" xfId="0" applyNumberFormat="1" applyFont="1" applyFill="1" applyBorder="1" applyAlignment="1">
      <alignment horizontal="left" vertical="center" wrapText="1"/>
    </xf>
    <xf numFmtId="165" fontId="25" fillId="0" borderId="7" xfId="0" applyNumberFormat="1" applyFont="1" applyFill="1" applyBorder="1" applyAlignment="1">
      <alignment horizontal="right" vertical="center"/>
    </xf>
    <xf numFmtId="0" fontId="24" fillId="0" borderId="6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left" vertical="center" wrapText="1"/>
    </xf>
    <xf numFmtId="165" fontId="25" fillId="0" borderId="7" xfId="0" applyNumberFormat="1" applyFont="1" applyFill="1" applyBorder="1" applyAlignment="1">
      <alignment horizontal="right" vertical="center" wrapText="1"/>
    </xf>
    <xf numFmtId="164" fontId="26" fillId="7" borderId="16" xfId="0" applyNumberFormat="1" applyFont="1" applyFill="1" applyBorder="1" applyAlignment="1">
      <alignment horizontal="center" vertical="center"/>
    </xf>
    <xf numFmtId="0" fontId="24" fillId="7" borderId="21" xfId="0" applyFont="1" applyFill="1" applyBorder="1" applyAlignment="1">
      <alignment horizontal="center" vertical="center" wrapText="1"/>
    </xf>
    <xf numFmtId="0" fontId="24" fillId="7" borderId="22" xfId="0" applyFont="1" applyFill="1" applyBorder="1" applyAlignment="1">
      <alignment horizontal="center" vertical="center" wrapText="1"/>
    </xf>
    <xf numFmtId="0" fontId="24" fillId="7" borderId="23" xfId="0" applyFont="1" applyFill="1" applyBorder="1" applyAlignment="1">
      <alignment horizontal="center" vertical="center" wrapText="1"/>
    </xf>
    <xf numFmtId="0" fontId="29" fillId="0" borderId="18" xfId="0" applyFont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10" fillId="0" borderId="14" xfId="4" applyFont="1" applyFill="1" applyBorder="1" applyAlignment="1">
      <alignment horizontal="center" vertical="center"/>
    </xf>
    <xf numFmtId="0" fontId="10" fillId="0" borderId="15" xfId="4" applyFont="1" applyFill="1" applyBorder="1" applyAlignment="1">
      <alignment horizontal="center" vertical="center"/>
    </xf>
    <xf numFmtId="0" fontId="10" fillId="0" borderId="16" xfId="4" applyFont="1" applyFill="1" applyBorder="1" applyAlignment="1">
      <alignment horizontal="center" vertical="center"/>
    </xf>
    <xf numFmtId="0" fontId="10" fillId="0" borderId="0" xfId="5" applyNumberFormat="1" applyFont="1" applyFill="1" applyAlignment="1">
      <alignment horizontal="justify" vertical="center" wrapText="1"/>
    </xf>
    <xf numFmtId="0" fontId="23" fillId="0" borderId="21" xfId="0" applyFont="1" applyBorder="1" applyAlignment="1" applyProtection="1">
      <alignment horizontal="center" vertical="center"/>
    </xf>
    <xf numFmtId="0" fontId="23" fillId="0" borderId="22" xfId="0" applyFont="1" applyBorder="1" applyAlignment="1" applyProtection="1">
      <alignment horizontal="center" vertical="center"/>
    </xf>
    <xf numFmtId="0" fontId="23" fillId="0" borderId="23" xfId="0" applyFont="1" applyBorder="1" applyAlignment="1" applyProtection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left" vertical="center" wrapText="1"/>
    </xf>
    <xf numFmtId="0" fontId="21" fillId="2" borderId="0" xfId="0" applyFont="1" applyFill="1" applyBorder="1" applyAlignment="1">
      <alignment horizontal="left" vertical="center" wrapText="1"/>
    </xf>
    <xf numFmtId="0" fontId="30" fillId="2" borderId="0" xfId="0" applyFont="1" applyFill="1" applyAlignment="1">
      <alignment horizontal="center"/>
    </xf>
    <xf numFmtId="171" fontId="1" fillId="7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1" fillId="7" borderId="19" xfId="0" applyNumberFormat="1" applyFont="1" applyFill="1" applyBorder="1" applyAlignment="1">
      <alignment horizontal="center"/>
    </xf>
    <xf numFmtId="3" fontId="1" fillId="7" borderId="11" xfId="0" applyNumberFormat="1" applyFont="1" applyFill="1" applyBorder="1" applyAlignment="1">
      <alignment horizontal="center"/>
    </xf>
    <xf numFmtId="171" fontId="1" fillId="7" borderId="19" xfId="0" applyNumberFormat="1" applyFont="1" applyFill="1" applyBorder="1" applyAlignment="1">
      <alignment horizontal="center"/>
    </xf>
    <xf numFmtId="171" fontId="1" fillId="7" borderId="11" xfId="0" applyNumberFormat="1" applyFont="1" applyFill="1" applyBorder="1" applyAlignment="1">
      <alignment horizontal="center"/>
    </xf>
    <xf numFmtId="0" fontId="21" fillId="2" borderId="17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/>
    </xf>
    <xf numFmtId="171" fontId="1" fillId="7" borderId="12" xfId="0" applyNumberFormat="1" applyFont="1" applyFill="1" applyBorder="1" applyAlignment="1">
      <alignment horizontal="center" vertical="center" wrapText="1"/>
    </xf>
    <xf numFmtId="171" fontId="1" fillId="7" borderId="4" xfId="0" applyNumberFormat="1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left" vertical="center" wrapText="1" indent="1"/>
    </xf>
    <xf numFmtId="0" fontId="25" fillId="0" borderId="20" xfId="0" applyFont="1" applyFill="1" applyBorder="1" applyAlignment="1">
      <alignment horizontal="left" vertical="center" wrapText="1" indent="1"/>
    </xf>
    <xf numFmtId="0" fontId="25" fillId="0" borderId="11" xfId="0" applyFont="1" applyFill="1" applyBorder="1" applyAlignment="1">
      <alignment horizontal="left" vertical="center" wrapText="1" inden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35" fillId="7" borderId="30" xfId="0" applyFont="1" applyFill="1" applyBorder="1" applyAlignment="1">
      <alignment horizontal="center" vertical="center" wrapText="1"/>
    </xf>
    <xf numFmtId="0" fontId="35" fillId="7" borderId="31" xfId="0" applyFont="1" applyFill="1" applyBorder="1" applyAlignment="1">
      <alignment horizontal="center" vertical="center" wrapText="1"/>
    </xf>
    <xf numFmtId="0" fontId="35" fillId="7" borderId="32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23" fillId="0" borderId="25" xfId="0" applyFont="1" applyBorder="1" applyAlignment="1">
      <alignment horizontal="left" vertical="center"/>
    </xf>
    <xf numFmtId="0" fontId="23" fillId="0" borderId="26" xfId="0" applyFont="1" applyBorder="1" applyAlignment="1">
      <alignment horizontal="left" vertical="center"/>
    </xf>
    <xf numFmtId="0" fontId="23" fillId="0" borderId="27" xfId="0" applyFont="1" applyBorder="1" applyAlignment="1">
      <alignment horizontal="left" vertical="center"/>
    </xf>
    <xf numFmtId="0" fontId="23" fillId="0" borderId="3" xfId="0" applyFont="1" applyFill="1" applyBorder="1" applyAlignment="1">
      <alignment horizontal="left" vertical="center"/>
    </xf>
    <xf numFmtId="0" fontId="23" fillId="0" borderId="4" xfId="0" applyFont="1" applyFill="1" applyBorder="1" applyAlignment="1">
      <alignment horizontal="left" vertical="center"/>
    </xf>
    <xf numFmtId="0" fontId="23" fillId="0" borderId="5" xfId="0" applyFont="1" applyFill="1" applyBorder="1" applyAlignment="1">
      <alignment horizontal="left" vertical="center"/>
    </xf>
    <xf numFmtId="0" fontId="26" fillId="7" borderId="14" xfId="0" applyFont="1" applyFill="1" applyBorder="1" applyAlignment="1">
      <alignment horizontal="center" vertical="center" wrapText="1"/>
    </xf>
    <xf numFmtId="0" fontId="26" fillId="7" borderId="15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left" vertical="center"/>
    </xf>
    <xf numFmtId="0" fontId="23" fillId="0" borderId="26" xfId="0" applyFont="1" applyFill="1" applyBorder="1" applyAlignment="1">
      <alignment horizontal="left" vertical="center"/>
    </xf>
    <xf numFmtId="0" fontId="23" fillId="0" borderId="27" xfId="0" applyFont="1" applyFill="1" applyBorder="1" applyAlignment="1">
      <alignment horizontal="left" vertical="center"/>
    </xf>
    <xf numFmtId="0" fontId="31" fillId="0" borderId="0" xfId="0" applyFont="1" applyBorder="1" applyAlignment="1">
      <alignment horizontal="center" vertical="center" wrapText="1"/>
    </xf>
    <xf numFmtId="0" fontId="26" fillId="7" borderId="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174" fontId="21" fillId="2" borderId="19" xfId="0" applyNumberFormat="1" applyFont="1" applyFill="1" applyBorder="1" applyAlignment="1">
      <alignment horizontal="center" vertical="center"/>
    </xf>
    <xf numFmtId="174" fontId="21" fillId="2" borderId="11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5" fillId="5" borderId="19" xfId="0" applyFont="1" applyFill="1" applyBorder="1" applyAlignment="1">
      <alignment horizontal="center" vertical="center" wrapText="1"/>
    </xf>
    <xf numFmtId="0" fontId="15" fillId="5" borderId="20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</cellXfs>
  <cellStyles count="7">
    <cellStyle name="Hipervínculo" xfId="1" builtinId="8"/>
    <cellStyle name="Millares" xfId="2" builtinId="3"/>
    <cellStyle name="Moneda" xfId="3" builtinId="4"/>
    <cellStyle name="Normal" xfId="0" builtinId="0"/>
    <cellStyle name="Normal 2" xfId="4" xr:uid="{00000000-0005-0000-0000-000004000000}"/>
    <cellStyle name="Normal_11255-05" xfId="5" xr:uid="{00000000-0005-0000-0000-000005000000}"/>
    <cellStyle name="Porcentaje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laplata.olx.com.co/se-vende-finca-ganadera-exelente-paraje-iid-974983738" TargetMode="External"/><Relationship Id="rId2" Type="http://schemas.openxmlformats.org/officeDocument/2006/relationships/hyperlink" Target="https://co.tixuz.com/inmuebles/venta/terreno/se-vende-finca-ganadera-en-ataco-tolima/6298022?utm_source=casas.mitula.com.co&amp;utm_medium=referral" TargetMode="External"/><Relationship Id="rId1" Type="http://schemas.openxmlformats.org/officeDocument/2006/relationships/hyperlink" Target="https://laplata.olx.com.co/se-vende-finca-ganadera-exelente-paraje-iid-974983738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co.tixuz.com/inmuebles/venta/terreno/se-vende-finca-ganadera-en-ataco-tolima/6298022?utm_source=casas.mitula.com.co&amp;utm_medium=referra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K14"/>
  <sheetViews>
    <sheetView tabSelected="1" zoomScale="115" zoomScaleNormal="115" workbookViewId="0">
      <selection sqref="A1:J1"/>
    </sheetView>
  </sheetViews>
  <sheetFormatPr baseColWidth="10" defaultRowHeight="11.25" x14ac:dyDescent="0.25"/>
  <cols>
    <col min="1" max="1" width="23.140625" style="25" customWidth="1"/>
    <col min="2" max="3" width="6.7109375" style="24" customWidth="1"/>
    <col min="4" max="4" width="10.140625" style="26" customWidth="1"/>
    <col min="5" max="5" width="13.28515625" style="25" customWidth="1"/>
    <col min="6" max="6" width="12" style="23" customWidth="1"/>
    <col min="7" max="7" width="13.7109375" style="23" bestFit="1" customWidth="1"/>
    <col min="8" max="8" width="12.28515625" style="23" customWidth="1"/>
    <col min="9" max="10" width="13.140625" style="23" customWidth="1"/>
    <col min="11" max="11" width="14.5703125" style="24" bestFit="1" customWidth="1"/>
    <col min="12" max="16384" width="11.42578125" style="23"/>
  </cols>
  <sheetData>
    <row r="1" spans="1:10" ht="42" customHeight="1" x14ac:dyDescent="0.25">
      <c r="A1" s="179" t="s">
        <v>106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37.5" customHeight="1" x14ac:dyDescent="0.25">
      <c r="A2" s="181" t="s">
        <v>197</v>
      </c>
      <c r="B2" s="181"/>
      <c r="C2" s="181"/>
      <c r="D2" s="181"/>
      <c r="E2" s="181"/>
      <c r="F2" s="181"/>
      <c r="G2" s="181"/>
      <c r="H2" s="181"/>
      <c r="I2" s="181"/>
      <c r="J2" s="181"/>
    </row>
    <row r="3" spans="1:10" ht="22.5" x14ac:dyDescent="0.25">
      <c r="A3" s="107" t="s">
        <v>16</v>
      </c>
      <c r="B3" s="107" t="s">
        <v>26</v>
      </c>
      <c r="C3" s="107" t="s">
        <v>36</v>
      </c>
      <c r="D3" s="108" t="s">
        <v>27</v>
      </c>
      <c r="E3" s="107" t="s">
        <v>37</v>
      </c>
      <c r="F3" s="107" t="s">
        <v>38</v>
      </c>
      <c r="G3" s="109" t="s">
        <v>39</v>
      </c>
      <c r="H3" s="109" t="s">
        <v>28</v>
      </c>
      <c r="I3" s="109" t="s">
        <v>29</v>
      </c>
      <c r="J3" s="109" t="s">
        <v>30</v>
      </c>
    </row>
    <row r="4" spans="1:10" ht="27.75" customHeight="1" x14ac:dyDescent="0.25">
      <c r="A4" s="152" t="s">
        <v>77</v>
      </c>
      <c r="B4" s="153">
        <v>12</v>
      </c>
      <c r="C4" s="153">
        <v>100</v>
      </c>
      <c r="D4" s="27">
        <f t="shared" ref="D4:D11" si="0">B4/C4</f>
        <v>0.12</v>
      </c>
      <c r="E4" s="153">
        <v>2</v>
      </c>
      <c r="F4" s="28">
        <f t="shared" ref="F4:F11" si="1">IF(E4=1,(0.005*((B4/C4)*100)^2+0.5001*((B4/C4)*100)-0.0071)/100,IF(E4=1.5,(0.005*((B4/C4)*100)^2+0.4998*((B4/C4)*100)+0.0262)/100,IF(E4=2,(0.0049*((B4/C4)*100)^2+0.4861*((B4/C4)*100)+2.5407)/100,IF(E4=2.5,(0.0046*((B4/C4)*100)^2+0.4581*((B4/C4)*100)+8.1068)/100,IF(E4=3,(0.0041*((B4/C4)*100)^2+0.4092*((B4/C4)*100)+18.1041)/100,IF(E4=3.5,(0.0033*((B4/C4)*100)^2+0.3341*((B4/C4)*100)+33.199)/100,IF(E4=4,(0.0023*((B4/C4)*100)^2+0.24*((B4/C4)*100)+52.5274)/100,IF(E4=4.5,(0.0012*((B4/C4)*100)^2+0.1275*((B4/C4)*100)+75.153)/100))))))))</f>
        <v>9.0795000000000001E-2</v>
      </c>
      <c r="G4" s="154">
        <v>1265000</v>
      </c>
      <c r="H4" s="29">
        <f t="shared" ref="H4:H11" si="2">G4*F4</f>
        <v>114855.675</v>
      </c>
      <c r="I4" s="29">
        <f t="shared" ref="I4:I11" si="3">G4-H4</f>
        <v>1150144.325</v>
      </c>
      <c r="J4" s="30">
        <f t="shared" ref="J4:J11" si="4">MROUND(I4,1000)</f>
        <v>1150000</v>
      </c>
    </row>
    <row r="5" spans="1:10" ht="27.75" customHeight="1" x14ac:dyDescent="0.25">
      <c r="A5" s="152" t="s">
        <v>94</v>
      </c>
      <c r="B5" s="153">
        <v>50</v>
      </c>
      <c r="C5" s="153">
        <v>70</v>
      </c>
      <c r="D5" s="27">
        <f t="shared" si="0"/>
        <v>0.7142857142857143</v>
      </c>
      <c r="E5" s="153">
        <v>3</v>
      </c>
      <c r="F5" s="28">
        <f t="shared" si="1"/>
        <v>0.68251038775510209</v>
      </c>
      <c r="G5" s="154">
        <v>850000</v>
      </c>
      <c r="H5" s="29">
        <f t="shared" si="2"/>
        <v>580133.82959183678</v>
      </c>
      <c r="I5" s="29">
        <f t="shared" si="3"/>
        <v>269866.17040816322</v>
      </c>
      <c r="J5" s="30">
        <f t="shared" si="4"/>
        <v>270000</v>
      </c>
    </row>
    <row r="6" spans="1:10" ht="27.75" customHeight="1" x14ac:dyDescent="0.25">
      <c r="A6" s="152" t="s">
        <v>95</v>
      </c>
      <c r="B6" s="153">
        <v>10</v>
      </c>
      <c r="C6" s="153">
        <v>20</v>
      </c>
      <c r="D6" s="27">
        <f t="shared" si="0"/>
        <v>0.5</v>
      </c>
      <c r="E6" s="153">
        <v>4</v>
      </c>
      <c r="F6" s="28">
        <f t="shared" si="1"/>
        <v>0.70277400000000001</v>
      </c>
      <c r="G6" s="154">
        <v>260000</v>
      </c>
      <c r="H6" s="29">
        <f t="shared" si="2"/>
        <v>182721.24</v>
      </c>
      <c r="I6" s="29">
        <f t="shared" si="3"/>
        <v>77278.760000000009</v>
      </c>
      <c r="J6" s="30">
        <f t="shared" si="4"/>
        <v>77000</v>
      </c>
    </row>
    <row r="7" spans="1:10" ht="27" customHeight="1" x14ac:dyDescent="0.25">
      <c r="A7" s="152" t="s">
        <v>103</v>
      </c>
      <c r="B7" s="153">
        <v>15</v>
      </c>
      <c r="C7" s="153">
        <v>50</v>
      </c>
      <c r="D7" s="27">
        <f t="shared" si="0"/>
        <v>0.3</v>
      </c>
      <c r="E7" s="153">
        <v>2.5</v>
      </c>
      <c r="F7" s="28">
        <f t="shared" si="1"/>
        <v>0.25989799999999996</v>
      </c>
      <c r="G7" s="154">
        <v>250000</v>
      </c>
      <c r="H7" s="29">
        <f t="shared" si="2"/>
        <v>64974.499999999993</v>
      </c>
      <c r="I7" s="29">
        <f t="shared" si="3"/>
        <v>185025.5</v>
      </c>
      <c r="J7" s="30">
        <f t="shared" si="4"/>
        <v>185000</v>
      </c>
    </row>
    <row r="8" spans="1:10" ht="27" customHeight="1" x14ac:dyDescent="0.25">
      <c r="A8" s="152"/>
      <c r="B8" s="153"/>
      <c r="C8" s="153"/>
      <c r="D8" s="27" t="e">
        <f t="shared" si="0"/>
        <v>#DIV/0!</v>
      </c>
      <c r="E8" s="153"/>
      <c r="F8" s="28" t="b">
        <f t="shared" si="1"/>
        <v>0</v>
      </c>
      <c r="G8" s="154"/>
      <c r="H8" s="29">
        <f t="shared" si="2"/>
        <v>0</v>
      </c>
      <c r="I8" s="29">
        <f t="shared" si="3"/>
        <v>0</v>
      </c>
      <c r="J8" s="30">
        <f t="shared" si="4"/>
        <v>0</v>
      </c>
    </row>
    <row r="9" spans="1:10" ht="27" customHeight="1" x14ac:dyDescent="0.25">
      <c r="A9" s="152"/>
      <c r="B9" s="153"/>
      <c r="C9" s="153"/>
      <c r="D9" s="27" t="e">
        <f t="shared" si="0"/>
        <v>#DIV/0!</v>
      </c>
      <c r="E9" s="153"/>
      <c r="F9" s="28" t="b">
        <f t="shared" si="1"/>
        <v>0</v>
      </c>
      <c r="G9" s="154"/>
      <c r="H9" s="29">
        <f t="shared" si="2"/>
        <v>0</v>
      </c>
      <c r="I9" s="29">
        <f t="shared" si="3"/>
        <v>0</v>
      </c>
      <c r="J9" s="30">
        <f t="shared" si="4"/>
        <v>0</v>
      </c>
    </row>
    <row r="10" spans="1:10" ht="27" customHeight="1" x14ac:dyDescent="0.25">
      <c r="A10" s="152"/>
      <c r="B10" s="153"/>
      <c r="C10" s="153"/>
      <c r="D10" s="27" t="e">
        <f t="shared" si="0"/>
        <v>#DIV/0!</v>
      </c>
      <c r="E10" s="153"/>
      <c r="F10" s="28" t="b">
        <f t="shared" si="1"/>
        <v>0</v>
      </c>
      <c r="G10" s="154"/>
      <c r="H10" s="29">
        <f t="shared" si="2"/>
        <v>0</v>
      </c>
      <c r="I10" s="29">
        <f t="shared" si="3"/>
        <v>0</v>
      </c>
      <c r="J10" s="30">
        <f t="shared" si="4"/>
        <v>0</v>
      </c>
    </row>
    <row r="11" spans="1:10" ht="27" customHeight="1" x14ac:dyDescent="0.25">
      <c r="A11" s="152"/>
      <c r="B11" s="153"/>
      <c r="C11" s="153"/>
      <c r="D11" s="27" t="e">
        <f t="shared" si="0"/>
        <v>#DIV/0!</v>
      </c>
      <c r="E11" s="153"/>
      <c r="F11" s="28" t="b">
        <f t="shared" si="1"/>
        <v>0</v>
      </c>
      <c r="G11" s="154"/>
      <c r="H11" s="29">
        <f t="shared" si="2"/>
        <v>0</v>
      </c>
      <c r="I11" s="29">
        <f t="shared" si="3"/>
        <v>0</v>
      </c>
      <c r="J11" s="30">
        <f t="shared" si="4"/>
        <v>0</v>
      </c>
    </row>
    <row r="12" spans="1:10" ht="27" customHeight="1" x14ac:dyDescent="0.25"/>
    <row r="13" spans="1:10" ht="18" x14ac:dyDescent="0.25">
      <c r="A13" s="151" t="s">
        <v>195</v>
      </c>
    </row>
    <row r="14" spans="1:10" ht="18" x14ac:dyDescent="0.25">
      <c r="A14" s="151" t="s">
        <v>196</v>
      </c>
    </row>
  </sheetData>
  <mergeCells count="2">
    <mergeCell ref="A1:J1"/>
    <mergeCell ref="A2:J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1:L30"/>
  <sheetViews>
    <sheetView workbookViewId="0"/>
  </sheetViews>
  <sheetFormatPr baseColWidth="10" defaultRowHeight="14.25" x14ac:dyDescent="0.2"/>
  <cols>
    <col min="1" max="1" width="5.7109375" style="52" customWidth="1"/>
    <col min="2" max="2" width="30.7109375" style="52" customWidth="1"/>
    <col min="3" max="11" width="20.7109375" style="52" customWidth="1"/>
    <col min="12" max="12" width="5.7109375" style="52" customWidth="1"/>
    <col min="13" max="16384" width="11.42578125" style="52"/>
  </cols>
  <sheetData>
    <row r="1" spans="2:12" ht="15" thickBot="1" x14ac:dyDescent="0.25"/>
    <row r="2" spans="2:12" ht="15.75" thickBot="1" x14ac:dyDescent="0.25">
      <c r="B2" s="182" t="s">
        <v>125</v>
      </c>
      <c r="C2" s="183"/>
      <c r="D2" s="183"/>
      <c r="E2" s="184"/>
      <c r="F2" s="77"/>
      <c r="G2" s="77"/>
    </row>
    <row r="3" spans="2:12" ht="30.75" thickBot="1" x14ac:dyDescent="0.25">
      <c r="B3" s="78" t="s">
        <v>126</v>
      </c>
      <c r="C3" s="78" t="s">
        <v>127</v>
      </c>
      <c r="D3" s="78" t="s">
        <v>128</v>
      </c>
      <c r="E3" s="78" t="s">
        <v>129</v>
      </c>
      <c r="F3" s="77"/>
      <c r="G3" s="77"/>
    </row>
    <row r="4" spans="2:12" ht="42.75" x14ac:dyDescent="0.2">
      <c r="B4" s="79">
        <v>1</v>
      </c>
      <c r="C4" s="80" t="s">
        <v>130</v>
      </c>
      <c r="D4" s="81" t="s">
        <v>183</v>
      </c>
      <c r="E4" s="82">
        <v>0</v>
      </c>
      <c r="F4" s="77"/>
      <c r="G4" s="185" t="s">
        <v>131</v>
      </c>
      <c r="H4" s="185"/>
      <c r="I4" s="185"/>
      <c r="J4" s="185"/>
      <c r="K4" s="185"/>
      <c r="L4" s="83"/>
    </row>
    <row r="5" spans="2:12" ht="15" x14ac:dyDescent="0.2">
      <c r="B5" s="84">
        <v>1.5</v>
      </c>
      <c r="C5" s="85" t="s">
        <v>132</v>
      </c>
      <c r="D5" s="86" t="s">
        <v>184</v>
      </c>
      <c r="E5" s="87">
        <v>3.2000000000000001E-2</v>
      </c>
      <c r="F5" s="77"/>
      <c r="G5" s="77"/>
    </row>
    <row r="6" spans="2:12" ht="57" x14ac:dyDescent="0.2">
      <c r="B6" s="84">
        <v>2</v>
      </c>
      <c r="C6" s="85" t="s">
        <v>133</v>
      </c>
      <c r="D6" s="86" t="s">
        <v>185</v>
      </c>
      <c r="E6" s="87">
        <v>2.52</v>
      </c>
      <c r="F6" s="77"/>
      <c r="G6" s="185" t="s">
        <v>134</v>
      </c>
      <c r="H6" s="185"/>
      <c r="I6" s="185"/>
      <c r="J6" s="185"/>
      <c r="K6" s="185"/>
    </row>
    <row r="7" spans="2:12" ht="15" x14ac:dyDescent="0.2">
      <c r="B7" s="84">
        <v>2.5</v>
      </c>
      <c r="C7" s="85" t="s">
        <v>135</v>
      </c>
      <c r="D7" s="86" t="s">
        <v>186</v>
      </c>
      <c r="E7" s="87">
        <v>8.09</v>
      </c>
      <c r="F7" s="77"/>
      <c r="G7" s="77"/>
    </row>
    <row r="8" spans="2:12" ht="42.75" x14ac:dyDescent="0.2">
      <c r="B8" s="84">
        <v>3</v>
      </c>
      <c r="C8" s="85" t="s">
        <v>136</v>
      </c>
      <c r="D8" s="86" t="s">
        <v>187</v>
      </c>
      <c r="E8" s="87">
        <v>18.100000000000001</v>
      </c>
      <c r="F8" s="77"/>
      <c r="G8" s="185" t="s">
        <v>137</v>
      </c>
      <c r="H8" s="185"/>
      <c r="I8" s="185"/>
      <c r="J8" s="185"/>
      <c r="K8" s="185"/>
    </row>
    <row r="9" spans="2:12" ht="15" x14ac:dyDescent="0.2">
      <c r="B9" s="84">
        <v>3.5</v>
      </c>
      <c r="C9" s="85" t="s">
        <v>132</v>
      </c>
      <c r="D9" s="86" t="s">
        <v>188</v>
      </c>
      <c r="E9" s="87">
        <v>33.200000000000003</v>
      </c>
      <c r="F9" s="77"/>
      <c r="G9" s="77"/>
    </row>
    <row r="10" spans="2:12" ht="42.75" x14ac:dyDescent="0.2">
      <c r="B10" s="84">
        <v>4</v>
      </c>
      <c r="C10" s="85" t="s">
        <v>138</v>
      </c>
      <c r="D10" s="86" t="s">
        <v>189</v>
      </c>
      <c r="E10" s="87">
        <v>52.6</v>
      </c>
      <c r="F10" s="77"/>
      <c r="G10" s="77"/>
    </row>
    <row r="11" spans="2:12" ht="15" x14ac:dyDescent="0.2">
      <c r="B11" s="84">
        <v>4.5</v>
      </c>
      <c r="C11" s="85" t="s">
        <v>194</v>
      </c>
      <c r="D11" s="86" t="s">
        <v>190</v>
      </c>
      <c r="E11" s="87">
        <v>72.2</v>
      </c>
      <c r="F11" s="77"/>
      <c r="G11" s="77"/>
    </row>
    <row r="12" spans="2:12" ht="29.25" thickBot="1" x14ac:dyDescent="0.25">
      <c r="B12" s="88">
        <v>5</v>
      </c>
      <c r="C12" s="89" t="s">
        <v>139</v>
      </c>
      <c r="D12" s="90" t="s">
        <v>193</v>
      </c>
      <c r="E12" s="91">
        <v>100</v>
      </c>
      <c r="F12" s="77"/>
      <c r="G12" s="77"/>
    </row>
    <row r="13" spans="2:12" ht="15.75" thickBot="1" x14ac:dyDescent="0.25">
      <c r="B13" s="77"/>
      <c r="C13" s="77"/>
      <c r="D13" s="77"/>
      <c r="E13" s="77"/>
      <c r="F13" s="77"/>
      <c r="G13" s="77"/>
    </row>
    <row r="14" spans="2:12" ht="26.25" customHeight="1" thickBot="1" x14ac:dyDescent="0.25">
      <c r="B14" s="186" t="s">
        <v>140</v>
      </c>
      <c r="C14" s="187"/>
      <c r="D14" s="187"/>
      <c r="E14" s="187"/>
      <c r="F14" s="187"/>
      <c r="G14" s="187"/>
      <c r="H14" s="188"/>
    </row>
    <row r="15" spans="2:12" ht="30.75" thickBot="1" x14ac:dyDescent="0.25">
      <c r="B15" s="130" t="str">
        <f>+C3</f>
        <v>CONDICIONES FÍSICAS</v>
      </c>
      <c r="C15" s="131" t="s">
        <v>37</v>
      </c>
      <c r="D15" s="131" t="s">
        <v>38</v>
      </c>
      <c r="E15" s="132" t="s">
        <v>141</v>
      </c>
      <c r="F15" s="133" t="s">
        <v>28</v>
      </c>
      <c r="G15" s="133" t="s">
        <v>29</v>
      </c>
      <c r="H15" s="134" t="s">
        <v>30</v>
      </c>
      <c r="I15" s="92"/>
      <c r="K15" s="93"/>
    </row>
    <row r="16" spans="2:12" ht="30" customHeight="1" x14ac:dyDescent="0.2">
      <c r="B16" s="149" t="str">
        <f>+VLOOKUP(C16,SOLO,2,FALSE)</f>
        <v>Regular, requiere o ha recibido reparaciones sin importancia.</v>
      </c>
      <c r="C16" s="135">
        <v>2</v>
      </c>
      <c r="D16" s="129">
        <f>IF(C16=1,($E$4),IF(C16=1.5,($E$5),IF(C16=2,($E$6),IF(C16=2.5,($E$7),IF(C16=3,($E$8),IF(C16=3.5,($E$9),IF(C16=4,($E$10),IF(C16=4.5,($E$11)))))))))</f>
        <v>2.52</v>
      </c>
      <c r="E16" s="138">
        <v>2100000</v>
      </c>
      <c r="F16" s="141">
        <f>+(E16*D16)/100</f>
        <v>52920</v>
      </c>
      <c r="G16" s="142">
        <f>E16-F16</f>
        <v>2047080</v>
      </c>
      <c r="H16" s="97">
        <f>ROUND(G16,-3)</f>
        <v>2047000</v>
      </c>
      <c r="J16" s="95"/>
      <c r="K16" s="96"/>
    </row>
    <row r="17" spans="2:11" ht="30" customHeight="1" x14ac:dyDescent="0.2">
      <c r="B17" s="149" t="str">
        <f>+VLOOKUP(C17,SOLO,2,FALSE)</f>
        <v>Requiere reparaciones importantes</v>
      </c>
      <c r="C17" s="136">
        <v>4</v>
      </c>
      <c r="D17" s="147">
        <f>IF(C17=1,($E$4),IF(C17=1.5,($E$5),IF(C17=2,($E$6),IF(C17=2.5,($E$7),IF(C17=3,($E$8),IF(C17=3.5,($E$9),IF(C17=4,($E$10),IF(C17=4.5,($E$11)))))))))</f>
        <v>52.6</v>
      </c>
      <c r="E17" s="139">
        <v>4500000</v>
      </c>
      <c r="F17" s="143">
        <f>+(E17*D17)/100</f>
        <v>2367000</v>
      </c>
      <c r="G17" s="144">
        <f>E17-F17</f>
        <v>2133000</v>
      </c>
      <c r="H17" s="128">
        <f>ROUND(G17,-5)</f>
        <v>2100000</v>
      </c>
      <c r="J17" s="95"/>
      <c r="K17" s="96"/>
    </row>
    <row r="18" spans="2:11" ht="30" customHeight="1" thickBot="1" x14ac:dyDescent="0.25">
      <c r="B18" s="150" t="str">
        <f>+VLOOKUP(C18,SOLO,2,FALSE)</f>
        <v>Amenza Ruina</v>
      </c>
      <c r="C18" s="137">
        <v>4.5</v>
      </c>
      <c r="D18" s="148">
        <f>IF(C18=1,($E$4),IF(C18=1.5,($E$5),IF(C18=2,($E$6),IF(C18=2.5,($E$7),IF(C18=3,($E$8),IF(C18=3.5,($E$9),IF(C18=4,($E$10),IF(C18=4.5,($E$11)))))))))</f>
        <v>72.2</v>
      </c>
      <c r="E18" s="140">
        <v>4500000</v>
      </c>
      <c r="F18" s="145">
        <f>+(E18*D18)/100</f>
        <v>3249000</v>
      </c>
      <c r="G18" s="146">
        <f>E18-F18</f>
        <v>1251000</v>
      </c>
      <c r="H18" s="94">
        <f>ROUND(G18,-5)</f>
        <v>1300000</v>
      </c>
      <c r="J18" s="98"/>
      <c r="K18" s="96"/>
    </row>
    <row r="19" spans="2:11" x14ac:dyDescent="0.2">
      <c r="K19" s="99"/>
    </row>
    <row r="20" spans="2:11" ht="18" x14ac:dyDescent="0.25">
      <c r="B20" s="151" t="s">
        <v>195</v>
      </c>
    </row>
    <row r="21" spans="2:11" ht="18" x14ac:dyDescent="0.25">
      <c r="B21" s="151" t="s">
        <v>196</v>
      </c>
      <c r="K21" s="99"/>
    </row>
    <row r="22" spans="2:11" x14ac:dyDescent="0.2">
      <c r="F22" s="100"/>
    </row>
    <row r="23" spans="2:11" x14ac:dyDescent="0.2">
      <c r="I23" s="101"/>
      <c r="J23" s="102"/>
      <c r="K23" s="92"/>
    </row>
    <row r="24" spans="2:11" x14ac:dyDescent="0.2">
      <c r="I24" s="101"/>
      <c r="J24" s="102"/>
      <c r="K24" s="92"/>
    </row>
    <row r="25" spans="2:11" x14ac:dyDescent="0.2">
      <c r="K25" s="96"/>
    </row>
    <row r="27" spans="2:11" x14ac:dyDescent="0.2">
      <c r="K27" s="98"/>
    </row>
    <row r="29" spans="2:11" x14ac:dyDescent="0.2">
      <c r="J29" s="98">
        <v>12833900000</v>
      </c>
    </row>
    <row r="30" spans="2:11" x14ac:dyDescent="0.2">
      <c r="J30" s="98" t="e">
        <f>J29/I24</f>
        <v>#DIV/0!</v>
      </c>
    </row>
  </sheetData>
  <mergeCells count="5">
    <mergeCell ref="B2:E2"/>
    <mergeCell ref="G4:K4"/>
    <mergeCell ref="G6:K6"/>
    <mergeCell ref="G8:K8"/>
    <mergeCell ref="B14:H14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Footer>&amp;RFO-ACM-PC02-11
V1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L58"/>
  <sheetViews>
    <sheetView zoomScale="115" zoomScaleNormal="115" workbookViewId="0">
      <selection sqref="A1:L1"/>
    </sheetView>
  </sheetViews>
  <sheetFormatPr baseColWidth="10" defaultRowHeight="9" x14ac:dyDescent="0.15"/>
  <cols>
    <col min="1" max="1" width="3.42578125" style="31" customWidth="1"/>
    <col min="2" max="2" width="15.28515625" style="31" customWidth="1"/>
    <col min="3" max="3" width="15.85546875" style="31" customWidth="1"/>
    <col min="4" max="4" width="7.7109375" style="31" customWidth="1"/>
    <col min="5" max="5" width="12.7109375" style="32" customWidth="1"/>
    <col min="6" max="6" width="11.7109375" style="31" customWidth="1"/>
    <col min="7" max="7" width="12.28515625" style="31" customWidth="1"/>
    <col min="8" max="8" width="17.28515625" style="31" bestFit="1" customWidth="1"/>
    <col min="9" max="9" width="26.7109375" style="31" customWidth="1"/>
    <col min="10" max="10" width="13.5703125" style="31" customWidth="1"/>
    <col min="11" max="11" width="19.5703125" style="33" customWidth="1"/>
    <col min="12" max="12" width="11" style="33" customWidth="1"/>
    <col min="13" max="13" width="17.28515625" style="31" customWidth="1"/>
    <col min="14" max="14" width="12.7109375" style="31" bestFit="1" customWidth="1"/>
    <col min="15" max="15" width="29.7109375" style="31" customWidth="1"/>
    <col min="16" max="16384" width="11.42578125" style="31"/>
  </cols>
  <sheetData>
    <row r="1" spans="1:12" ht="20.25" x14ac:dyDescent="0.3">
      <c r="A1" s="193" t="s">
        <v>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12" s="39" customFormat="1" ht="27.75" customHeight="1" x14ac:dyDescent="0.2">
      <c r="A2" s="191" t="s">
        <v>79</v>
      </c>
      <c r="B2" s="191"/>
      <c r="C2" s="192" t="s">
        <v>80</v>
      </c>
      <c r="D2" s="192"/>
      <c r="E2" s="37" t="s">
        <v>78</v>
      </c>
      <c r="F2" s="192" t="s">
        <v>81</v>
      </c>
      <c r="G2" s="192"/>
      <c r="H2" s="37" t="s">
        <v>84</v>
      </c>
      <c r="I2" s="192" t="s">
        <v>85</v>
      </c>
      <c r="J2" s="192"/>
      <c r="K2" s="38"/>
      <c r="L2" s="38"/>
    </row>
    <row r="3" spans="1:12" ht="41.25" customHeight="1" x14ac:dyDescent="0.15">
      <c r="A3" s="110" t="s">
        <v>0</v>
      </c>
      <c r="B3" s="110" t="s">
        <v>9</v>
      </c>
      <c r="C3" s="110" t="s">
        <v>2</v>
      </c>
      <c r="D3" s="110" t="s">
        <v>3</v>
      </c>
      <c r="E3" s="110" t="s">
        <v>4</v>
      </c>
      <c r="F3" s="110" t="s">
        <v>82</v>
      </c>
      <c r="G3" s="110" t="s">
        <v>10</v>
      </c>
      <c r="H3" s="110" t="s">
        <v>11</v>
      </c>
      <c r="I3" s="110" t="s">
        <v>21</v>
      </c>
      <c r="J3" s="110" t="s">
        <v>8</v>
      </c>
      <c r="K3" s="110" t="s">
        <v>20</v>
      </c>
      <c r="L3" s="110" t="s">
        <v>83</v>
      </c>
    </row>
    <row r="4" spans="1:12" s="16" customFormat="1" ht="45" customHeight="1" x14ac:dyDescent="0.2">
      <c r="A4" s="12">
        <v>1</v>
      </c>
      <c r="B4" s="15" t="s">
        <v>48</v>
      </c>
      <c r="C4" s="9">
        <v>35000000</v>
      </c>
      <c r="D4" s="18">
        <f t="shared" ref="D4:D10" si="0">1-(E4/C4)</f>
        <v>0.1428571428571429</v>
      </c>
      <c r="E4" s="9">
        <v>30000000</v>
      </c>
      <c r="F4" s="17">
        <v>9</v>
      </c>
      <c r="G4" s="20">
        <f t="shared" ref="G4:G10" si="1">(E4-H4)/F4</f>
        <v>3000000</v>
      </c>
      <c r="H4" s="13">
        <v>3000000</v>
      </c>
      <c r="I4" s="14" t="s">
        <v>60</v>
      </c>
      <c r="J4" s="15" t="s">
        <v>61</v>
      </c>
      <c r="K4" s="15">
        <v>3204268158</v>
      </c>
      <c r="L4" s="15"/>
    </row>
    <row r="5" spans="1:12" s="16" customFormat="1" ht="37.5" customHeight="1" x14ac:dyDescent="0.2">
      <c r="A5" s="12">
        <v>2</v>
      </c>
      <c r="B5" s="15" t="s">
        <v>62</v>
      </c>
      <c r="C5" s="9">
        <v>30000000</v>
      </c>
      <c r="D5" s="18">
        <f t="shared" si="0"/>
        <v>9.9999999999999978E-2</v>
      </c>
      <c r="E5" s="9">
        <v>27000000</v>
      </c>
      <c r="F5" s="17">
        <v>5</v>
      </c>
      <c r="G5" s="20">
        <f t="shared" si="1"/>
        <v>3000000</v>
      </c>
      <c r="H5" s="13">
        <v>12000000</v>
      </c>
      <c r="I5" s="14" t="s">
        <v>63</v>
      </c>
      <c r="J5" s="15" t="s">
        <v>51</v>
      </c>
      <c r="K5" s="15">
        <v>3115240781</v>
      </c>
      <c r="L5" s="15"/>
    </row>
    <row r="6" spans="1:12" s="16" customFormat="1" ht="46.5" customHeight="1" x14ac:dyDescent="0.2">
      <c r="A6" s="12">
        <v>3</v>
      </c>
      <c r="B6" s="15" t="s">
        <v>49</v>
      </c>
      <c r="C6" s="9">
        <v>95000000</v>
      </c>
      <c r="D6" s="18">
        <f t="shared" si="0"/>
        <v>0.10526315789473684</v>
      </c>
      <c r="E6" s="9">
        <v>85000000</v>
      </c>
      <c r="F6" s="17">
        <v>26</v>
      </c>
      <c r="G6" s="20">
        <f t="shared" si="1"/>
        <v>2807692.3076923075</v>
      </c>
      <c r="H6" s="13">
        <v>12000000</v>
      </c>
      <c r="I6" s="14" t="s">
        <v>64</v>
      </c>
      <c r="J6" s="15" t="s">
        <v>50</v>
      </c>
      <c r="K6" s="15">
        <v>3212970827</v>
      </c>
      <c r="L6" s="15"/>
    </row>
    <row r="7" spans="1:12" s="16" customFormat="1" ht="42.75" customHeight="1" x14ac:dyDescent="0.2">
      <c r="A7" s="12">
        <v>4</v>
      </c>
      <c r="B7" s="15" t="s">
        <v>54</v>
      </c>
      <c r="C7" s="9">
        <v>25000000</v>
      </c>
      <c r="D7" s="18">
        <f t="shared" si="0"/>
        <v>7.999999999999996E-2</v>
      </c>
      <c r="E7" s="9">
        <v>23000000</v>
      </c>
      <c r="F7" s="17">
        <v>5.5</v>
      </c>
      <c r="G7" s="19">
        <f t="shared" si="1"/>
        <v>4181818.1818181816</v>
      </c>
      <c r="H7" s="13">
        <v>0</v>
      </c>
      <c r="I7" s="14" t="s">
        <v>55</v>
      </c>
      <c r="J7" s="15" t="s">
        <v>65</v>
      </c>
      <c r="K7" s="15" t="s">
        <v>53</v>
      </c>
      <c r="L7" s="15"/>
    </row>
    <row r="8" spans="1:12" s="16" customFormat="1" ht="56.25" customHeight="1" x14ac:dyDescent="0.2">
      <c r="A8" s="12">
        <v>5</v>
      </c>
      <c r="B8" s="15" t="s">
        <v>52</v>
      </c>
      <c r="C8" s="9">
        <v>12000000</v>
      </c>
      <c r="D8" s="18">
        <f t="shared" si="0"/>
        <v>0.125</v>
      </c>
      <c r="E8" s="9">
        <v>10500000</v>
      </c>
      <c r="F8" s="17">
        <v>2.5</v>
      </c>
      <c r="G8" s="19">
        <f t="shared" si="1"/>
        <v>4200000</v>
      </c>
      <c r="H8" s="13">
        <v>0</v>
      </c>
      <c r="I8" s="14" t="s">
        <v>66</v>
      </c>
      <c r="J8" s="15" t="s">
        <v>67</v>
      </c>
      <c r="K8" s="15" t="s">
        <v>53</v>
      </c>
      <c r="L8" s="15"/>
    </row>
    <row r="9" spans="1:12" s="16" customFormat="1" ht="56.25" customHeight="1" x14ac:dyDescent="0.2">
      <c r="A9" s="12">
        <v>6</v>
      </c>
      <c r="B9" s="15" t="s">
        <v>56</v>
      </c>
      <c r="C9" s="9">
        <f>6000000*F9</f>
        <v>150000000</v>
      </c>
      <c r="D9" s="18">
        <f t="shared" si="0"/>
        <v>9.9999999999999978E-2</v>
      </c>
      <c r="E9" s="9">
        <v>135000000</v>
      </c>
      <c r="F9" s="17">
        <v>25</v>
      </c>
      <c r="G9" s="19">
        <f t="shared" si="1"/>
        <v>4600000</v>
      </c>
      <c r="H9" s="13">
        <v>20000000</v>
      </c>
      <c r="I9" s="14" t="s">
        <v>68</v>
      </c>
      <c r="J9" s="15"/>
      <c r="K9" s="15" t="s">
        <v>57</v>
      </c>
      <c r="L9" s="34"/>
    </row>
    <row r="10" spans="1:12" s="16" customFormat="1" ht="56.25" customHeight="1" x14ac:dyDescent="0.2">
      <c r="A10" s="12">
        <v>7</v>
      </c>
      <c r="B10" s="15" t="s">
        <v>58</v>
      </c>
      <c r="C10" s="9">
        <v>15000000</v>
      </c>
      <c r="D10" s="18">
        <f t="shared" si="0"/>
        <v>0.19999999999999996</v>
      </c>
      <c r="E10" s="9">
        <v>12000000</v>
      </c>
      <c r="F10" s="17">
        <v>1</v>
      </c>
      <c r="G10" s="13">
        <f t="shared" si="1"/>
        <v>5000000</v>
      </c>
      <c r="H10" s="13">
        <v>7000000</v>
      </c>
      <c r="I10" s="14" t="s">
        <v>59</v>
      </c>
      <c r="J10" s="15" t="s">
        <v>69</v>
      </c>
      <c r="K10" s="15">
        <v>3204793186</v>
      </c>
      <c r="L10" s="15"/>
    </row>
    <row r="12" spans="1:12" ht="12.75" customHeight="1" x14ac:dyDescent="0.15">
      <c r="E12" s="189" t="s">
        <v>12</v>
      </c>
      <c r="F12" s="190"/>
      <c r="G12" s="19">
        <f>+AVERAGE(G7:G9)</f>
        <v>4327272.7272727275</v>
      </c>
    </row>
    <row r="13" spans="1:12" ht="12" customHeight="1" x14ac:dyDescent="0.15">
      <c r="E13" s="189" t="s">
        <v>22</v>
      </c>
      <c r="F13" s="190"/>
      <c r="G13" s="35">
        <f>STDEV(G7:G9)</f>
        <v>236363.63636363641</v>
      </c>
    </row>
    <row r="14" spans="1:12" ht="12" customHeight="1" x14ac:dyDescent="0.15">
      <c r="E14" s="189" t="s">
        <v>23</v>
      </c>
      <c r="F14" s="190"/>
      <c r="G14" s="36">
        <f>G13/G12</f>
        <v>5.4621848739495805E-2</v>
      </c>
    </row>
    <row r="15" spans="1:12" ht="12" customHeight="1" x14ac:dyDescent="0.15">
      <c r="E15" s="189" t="s">
        <v>13</v>
      </c>
      <c r="F15" s="190"/>
      <c r="G15" s="35">
        <f>G12+G13</f>
        <v>4563636.3636363642</v>
      </c>
    </row>
    <row r="16" spans="1:12" ht="12" customHeight="1" x14ac:dyDescent="0.15">
      <c r="E16" s="189" t="s">
        <v>14</v>
      </c>
      <c r="F16" s="190"/>
      <c r="G16" s="35">
        <f>G12-G13</f>
        <v>4090909.0909090913</v>
      </c>
    </row>
    <row r="17" spans="5:7" ht="12" customHeight="1" x14ac:dyDescent="0.15">
      <c r="E17" s="189" t="s">
        <v>30</v>
      </c>
      <c r="F17" s="190"/>
      <c r="G17" s="19">
        <v>4200000</v>
      </c>
    </row>
    <row r="20" spans="5:7" ht="12" x14ac:dyDescent="0.15">
      <c r="E20" s="189" t="s">
        <v>12</v>
      </c>
      <c r="F20" s="190"/>
      <c r="G20" s="20">
        <f>+AVERAGE(G4:G6)</f>
        <v>2935897.435897436</v>
      </c>
    </row>
    <row r="21" spans="5:7" ht="12" x14ac:dyDescent="0.15">
      <c r="E21" s="189" t="s">
        <v>22</v>
      </c>
      <c r="F21" s="190"/>
      <c r="G21" s="35">
        <f>STDEV(G4:G6)</f>
        <v>111028.89792108198</v>
      </c>
    </row>
    <row r="22" spans="5:7" ht="12" x14ac:dyDescent="0.15">
      <c r="E22" s="189" t="s">
        <v>23</v>
      </c>
      <c r="F22" s="190"/>
      <c r="G22" s="36">
        <f>G21/G20</f>
        <v>3.7817703222027925E-2</v>
      </c>
    </row>
    <row r="23" spans="5:7" ht="12" x14ac:dyDescent="0.15">
      <c r="E23" s="189" t="s">
        <v>13</v>
      </c>
      <c r="F23" s="190"/>
      <c r="G23" s="35">
        <f>G20+G21</f>
        <v>3046926.3338185181</v>
      </c>
    </row>
    <row r="24" spans="5:7" ht="12" x14ac:dyDescent="0.15">
      <c r="E24" s="189" t="s">
        <v>14</v>
      </c>
      <c r="F24" s="190"/>
      <c r="G24" s="35">
        <f>G20-G21</f>
        <v>2824868.5379763539</v>
      </c>
    </row>
    <row r="25" spans="5:7" ht="12" x14ac:dyDescent="0.15">
      <c r="E25" s="189" t="s">
        <v>30</v>
      </c>
      <c r="F25" s="190"/>
      <c r="G25" s="20">
        <v>3400000</v>
      </c>
    </row>
    <row r="52" spans="1:12" ht="18" x14ac:dyDescent="0.15">
      <c r="A52" s="22" t="s">
        <v>0</v>
      </c>
      <c r="B52" s="22" t="s">
        <v>9</v>
      </c>
      <c r="C52" s="22" t="s">
        <v>2</v>
      </c>
      <c r="D52" s="22" t="s">
        <v>3</v>
      </c>
      <c r="E52" s="22" t="s">
        <v>4</v>
      </c>
      <c r="F52" s="22" t="s">
        <v>71</v>
      </c>
      <c r="G52" s="22" t="s">
        <v>10</v>
      </c>
      <c r="H52" s="22" t="s">
        <v>11</v>
      </c>
      <c r="I52" s="22" t="s">
        <v>21</v>
      </c>
      <c r="J52" s="22" t="s">
        <v>8</v>
      </c>
      <c r="K52" s="22" t="s">
        <v>20</v>
      </c>
      <c r="L52" s="31"/>
    </row>
    <row r="53" spans="1:12" s="16" customFormat="1" ht="23.25" customHeight="1" x14ac:dyDescent="0.2">
      <c r="A53" s="12">
        <v>1</v>
      </c>
      <c r="B53" s="15" t="s">
        <v>70</v>
      </c>
      <c r="C53" s="9">
        <v>70000000</v>
      </c>
      <c r="D53" s="18">
        <f t="shared" ref="D53:D58" si="2">1-(E53/C53)</f>
        <v>0.1428571428571429</v>
      </c>
      <c r="E53" s="9">
        <v>60000000</v>
      </c>
      <c r="F53" s="21">
        <v>160</v>
      </c>
      <c r="G53" s="20">
        <f t="shared" ref="G53:G58" si="3">(E53-H53)/F53</f>
        <v>171562.5</v>
      </c>
      <c r="H53" s="13">
        <f>105*310000</f>
        <v>32550000</v>
      </c>
      <c r="I53" s="14"/>
      <c r="J53" s="15"/>
      <c r="K53" s="15">
        <v>3135896326</v>
      </c>
    </row>
    <row r="54" spans="1:12" s="16" customFormat="1" ht="23.25" customHeight="1" x14ac:dyDescent="0.2">
      <c r="A54" s="12">
        <v>2</v>
      </c>
      <c r="B54" s="15" t="s">
        <v>72</v>
      </c>
      <c r="C54" s="9">
        <v>220000000</v>
      </c>
      <c r="D54" s="18">
        <f t="shared" si="2"/>
        <v>0.25</v>
      </c>
      <c r="E54" s="9">
        <v>165000000</v>
      </c>
      <c r="F54" s="21">
        <v>210</v>
      </c>
      <c r="G54" s="20">
        <f t="shared" si="3"/>
        <v>365952.38095238095</v>
      </c>
      <c r="H54" s="13">
        <f>205*430000</f>
        <v>88150000</v>
      </c>
      <c r="I54" s="14"/>
      <c r="J54" s="15" t="s">
        <v>73</v>
      </c>
      <c r="K54" s="15" t="s">
        <v>74</v>
      </c>
    </row>
    <row r="55" spans="1:12" s="16" customFormat="1" ht="23.25" customHeight="1" x14ac:dyDescent="0.2">
      <c r="A55" s="12">
        <v>3</v>
      </c>
      <c r="B55" s="15" t="s">
        <v>75</v>
      </c>
      <c r="C55" s="9">
        <v>90000000</v>
      </c>
      <c r="D55" s="18">
        <f t="shared" si="2"/>
        <v>0.16666666666666663</v>
      </c>
      <c r="E55" s="9">
        <v>75000000</v>
      </c>
      <c r="F55" s="21">
        <v>164</v>
      </c>
      <c r="G55" s="20">
        <f>(E55-H55)/F55</f>
        <v>102896.34146341463</v>
      </c>
      <c r="H55" s="13">
        <f>155*375000</f>
        <v>58125000</v>
      </c>
      <c r="I55" s="14"/>
      <c r="J55" s="15" t="s">
        <v>50</v>
      </c>
      <c r="K55" s="15" t="s">
        <v>76</v>
      </c>
    </row>
    <row r="56" spans="1:12" s="16" customFormat="1" ht="42.75" customHeight="1" x14ac:dyDescent="0.2">
      <c r="A56" s="12">
        <v>4</v>
      </c>
      <c r="B56" s="15" t="s">
        <v>54</v>
      </c>
      <c r="C56" s="9">
        <v>25000000</v>
      </c>
      <c r="D56" s="18">
        <f t="shared" si="2"/>
        <v>7.999999999999996E-2</v>
      </c>
      <c r="E56" s="9">
        <v>23000000</v>
      </c>
      <c r="F56" s="17">
        <v>5.5</v>
      </c>
      <c r="G56" s="19">
        <f t="shared" si="3"/>
        <v>4181818.1818181816</v>
      </c>
      <c r="H56" s="13">
        <v>0</v>
      </c>
      <c r="I56" s="14" t="s">
        <v>55</v>
      </c>
      <c r="J56" s="15" t="s">
        <v>65</v>
      </c>
      <c r="K56" s="15" t="s">
        <v>53</v>
      </c>
    </row>
    <row r="57" spans="1:12" s="16" customFormat="1" ht="56.25" customHeight="1" x14ac:dyDescent="0.2">
      <c r="A57" s="12">
        <v>5</v>
      </c>
      <c r="B57" s="15" t="s">
        <v>52</v>
      </c>
      <c r="C57" s="9">
        <v>12000000</v>
      </c>
      <c r="D57" s="18">
        <f t="shared" si="2"/>
        <v>0.125</v>
      </c>
      <c r="E57" s="9">
        <v>10500000</v>
      </c>
      <c r="F57" s="17">
        <v>2.5</v>
      </c>
      <c r="G57" s="19">
        <f t="shared" si="3"/>
        <v>4200000</v>
      </c>
      <c r="H57" s="13">
        <v>0</v>
      </c>
      <c r="I57" s="14" t="s">
        <v>66</v>
      </c>
      <c r="J57" s="15" t="s">
        <v>67</v>
      </c>
      <c r="K57" s="15" t="s">
        <v>53</v>
      </c>
    </row>
    <row r="58" spans="1:12" s="16" customFormat="1" ht="56.25" customHeight="1" x14ac:dyDescent="0.2">
      <c r="A58" s="12">
        <v>6</v>
      </c>
      <c r="B58" s="15" t="s">
        <v>56</v>
      </c>
      <c r="C58" s="9">
        <f>6000000*F58</f>
        <v>150000000</v>
      </c>
      <c r="D58" s="18">
        <f t="shared" si="2"/>
        <v>9.9999999999999978E-2</v>
      </c>
      <c r="E58" s="9">
        <v>135000000</v>
      </c>
      <c r="F58" s="17">
        <v>25</v>
      </c>
      <c r="G58" s="19">
        <f t="shared" si="3"/>
        <v>4600000</v>
      </c>
      <c r="H58" s="13">
        <v>20000000</v>
      </c>
      <c r="I58" s="14" t="s">
        <v>68</v>
      </c>
      <c r="J58" s="15"/>
      <c r="K58" s="34" t="s">
        <v>57</v>
      </c>
    </row>
  </sheetData>
  <autoFilter ref="A3:K10" xr:uid="{00000000-0009-0000-0000-000002000000}">
    <sortState xmlns:xlrd2="http://schemas.microsoft.com/office/spreadsheetml/2017/richdata2" ref="A43:K49">
      <sortCondition ref="G42:G49"/>
    </sortState>
  </autoFilter>
  <mergeCells count="17">
    <mergeCell ref="A1:L1"/>
    <mergeCell ref="E22:F22"/>
    <mergeCell ref="E23:F23"/>
    <mergeCell ref="E12:F12"/>
    <mergeCell ref="E13:F13"/>
    <mergeCell ref="E14:F14"/>
    <mergeCell ref="E15:F15"/>
    <mergeCell ref="F2:G2"/>
    <mergeCell ref="I2:J2"/>
    <mergeCell ref="E24:F24"/>
    <mergeCell ref="E25:F25"/>
    <mergeCell ref="A2:B2"/>
    <mergeCell ref="C2:D2"/>
    <mergeCell ref="E16:F16"/>
    <mergeCell ref="E17:F17"/>
    <mergeCell ref="E20:F20"/>
    <mergeCell ref="E21:F21"/>
  </mergeCells>
  <hyperlinks>
    <hyperlink ref="K4" r:id="rId1" display="https://laplata.olx.com.co/se-vende-finca-ganadera-exelente-paraje-iid-974983738" xr:uid="{00000000-0004-0000-0200-000000000000}"/>
    <hyperlink ref="K9" r:id="rId2" xr:uid="{00000000-0004-0000-0200-000001000000}"/>
    <hyperlink ref="K53" r:id="rId3" display="https://laplata.olx.com.co/se-vende-finca-ganadera-exelente-paraje-iid-974983738" xr:uid="{00000000-0004-0000-0200-000002000000}"/>
    <hyperlink ref="K58" r:id="rId4" xr:uid="{00000000-0004-0000-0200-000003000000}"/>
  </hyperlinks>
  <printOptions horizontalCentered="1" verticalCentered="1"/>
  <pageMargins left="0.70866141732283472" right="1.1023622047244095" top="0.74803149606299213" bottom="0.74803149606299213" header="0.31496062992125984" footer="0.31496062992125984"/>
  <pageSetup scale="48" orientation="landscape" r:id="rId5"/>
  <headerFooter>
    <oddFooter>&amp;RFO-ACM-PC02-11
V1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59999389629810485"/>
  </sheetPr>
  <dimension ref="A1:P16"/>
  <sheetViews>
    <sheetView zoomScale="130" zoomScaleNormal="130" workbookViewId="0">
      <selection sqref="A1:M1"/>
    </sheetView>
  </sheetViews>
  <sheetFormatPr baseColWidth="10" defaultRowHeight="14.25" x14ac:dyDescent="0.2"/>
  <cols>
    <col min="1" max="1" width="5.85546875" style="52" customWidth="1"/>
    <col min="2" max="2" width="11.42578125" style="52"/>
    <col min="3" max="3" width="16.42578125" style="52" customWidth="1"/>
    <col min="4" max="4" width="13" style="52" bestFit="1" customWidth="1"/>
    <col min="5" max="5" width="8.5703125" style="52" customWidth="1"/>
    <col min="6" max="6" width="15.85546875" style="52" bestFit="1" customWidth="1"/>
    <col min="7" max="7" width="11.42578125" style="52"/>
    <col min="8" max="8" width="14.140625" style="52" customWidth="1"/>
    <col min="9" max="11" width="11.42578125" style="52"/>
    <col min="12" max="12" width="21.140625" style="52" customWidth="1"/>
    <col min="13" max="16384" width="11.42578125" style="52"/>
  </cols>
  <sheetData>
    <row r="1" spans="1:16" s="31" customFormat="1" ht="26.25" customHeight="1" x14ac:dyDescent="0.35">
      <c r="A1" s="202" t="s">
        <v>25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47"/>
    </row>
    <row r="2" spans="1:16" s="39" customFormat="1" ht="27.75" customHeight="1" x14ac:dyDescent="0.2">
      <c r="A2" s="191" t="s">
        <v>79</v>
      </c>
      <c r="B2" s="191"/>
      <c r="C2" s="192" t="s">
        <v>80</v>
      </c>
      <c r="D2" s="192"/>
      <c r="E2" s="201" t="s">
        <v>78</v>
      </c>
      <c r="F2" s="201"/>
      <c r="G2" s="155" t="s">
        <v>81</v>
      </c>
      <c r="I2" s="37" t="s">
        <v>84</v>
      </c>
      <c r="J2" s="200" t="s">
        <v>85</v>
      </c>
      <c r="K2" s="200"/>
      <c r="L2" s="38"/>
    </row>
    <row r="3" spans="1:16" s="31" customFormat="1" ht="15.75" customHeight="1" x14ac:dyDescent="0.15">
      <c r="A3" s="194" t="s">
        <v>0</v>
      </c>
      <c r="B3" s="194" t="s">
        <v>7</v>
      </c>
      <c r="C3" s="194" t="s">
        <v>19</v>
      </c>
      <c r="D3" s="194" t="s">
        <v>2</v>
      </c>
      <c r="E3" s="203" t="s">
        <v>3</v>
      </c>
      <c r="F3" s="194" t="s">
        <v>4</v>
      </c>
      <c r="G3" s="196" t="s">
        <v>5</v>
      </c>
      <c r="H3" s="197"/>
      <c r="I3" s="198" t="s">
        <v>18</v>
      </c>
      <c r="J3" s="199"/>
      <c r="K3" s="194" t="s">
        <v>24</v>
      </c>
      <c r="L3" s="194" t="s">
        <v>6</v>
      </c>
      <c r="M3" s="194" t="s">
        <v>20</v>
      </c>
      <c r="N3" s="194" t="s">
        <v>83</v>
      </c>
    </row>
    <row r="4" spans="1:16" s="31" customFormat="1" ht="19.5" customHeight="1" x14ac:dyDescent="0.15">
      <c r="A4" s="194"/>
      <c r="B4" s="194"/>
      <c r="C4" s="194"/>
      <c r="D4" s="194"/>
      <c r="E4" s="204"/>
      <c r="F4" s="194"/>
      <c r="G4" s="111" t="s">
        <v>92</v>
      </c>
      <c r="H4" s="110" t="s">
        <v>93</v>
      </c>
      <c r="I4" s="110" t="s">
        <v>92</v>
      </c>
      <c r="J4" s="110" t="s">
        <v>93</v>
      </c>
      <c r="K4" s="194"/>
      <c r="L4" s="194"/>
      <c r="M4" s="194"/>
      <c r="N4" s="194"/>
    </row>
    <row r="5" spans="1:16" s="31" customFormat="1" ht="49.5" customHeight="1" x14ac:dyDescent="0.15">
      <c r="A5" s="8">
        <v>1</v>
      </c>
      <c r="B5" s="41" t="s">
        <v>86</v>
      </c>
      <c r="C5" s="41" t="s">
        <v>87</v>
      </c>
      <c r="D5" s="9">
        <v>11000000000</v>
      </c>
      <c r="E5" s="42">
        <f>1-(F5/D5)</f>
        <v>4.0000000000000036E-2</v>
      </c>
      <c r="F5" s="9">
        <v>10560000000</v>
      </c>
      <c r="G5" s="10">
        <v>500</v>
      </c>
      <c r="H5" s="40">
        <f>+((F5-(I5*J5))/G5)</f>
        <v>2930800</v>
      </c>
      <c r="I5" s="10">
        <v>6145</v>
      </c>
      <c r="J5" s="9">
        <v>1480000</v>
      </c>
      <c r="K5" s="11">
        <f>+F5/I5</f>
        <v>1718470.3010577706</v>
      </c>
      <c r="L5" s="1"/>
      <c r="M5" s="2">
        <v>3103182064</v>
      </c>
      <c r="N5" s="2">
        <v>3103182064</v>
      </c>
      <c r="O5" s="48"/>
      <c r="P5" s="48"/>
    </row>
    <row r="6" spans="1:16" s="31" customFormat="1" ht="49.5" customHeight="1" x14ac:dyDescent="0.15">
      <c r="A6" s="8">
        <v>2</v>
      </c>
      <c r="B6" s="43" t="s">
        <v>86</v>
      </c>
      <c r="C6" s="44" t="s">
        <v>88</v>
      </c>
      <c r="D6" s="9">
        <v>3000000000</v>
      </c>
      <c r="E6" s="42">
        <f>1-(F6/D6)</f>
        <v>6.9999999999999951E-2</v>
      </c>
      <c r="F6" s="9">
        <v>2790000000</v>
      </c>
      <c r="G6" s="10">
        <v>220</v>
      </c>
      <c r="H6" s="40">
        <f>+((F6-(I6*J6))/G6)</f>
        <v>3050000</v>
      </c>
      <c r="I6" s="10">
        <v>1300</v>
      </c>
      <c r="J6" s="9">
        <v>1630000</v>
      </c>
      <c r="K6" s="11">
        <f>+F6/I6</f>
        <v>2146153.846153846</v>
      </c>
      <c r="L6" s="1"/>
      <c r="M6" s="2">
        <v>3103182064</v>
      </c>
      <c r="N6" s="2">
        <v>3103182064</v>
      </c>
      <c r="O6" s="48"/>
      <c r="P6" s="48"/>
    </row>
    <row r="7" spans="1:16" s="31" customFormat="1" ht="49.5" customHeight="1" x14ac:dyDescent="0.15">
      <c r="A7" s="8">
        <v>3</v>
      </c>
      <c r="B7" s="43" t="s">
        <v>86</v>
      </c>
      <c r="C7" s="44" t="s">
        <v>89</v>
      </c>
      <c r="D7" s="9">
        <v>2700000000</v>
      </c>
      <c r="E7" s="42">
        <f>1-(F7/D7)</f>
        <v>3.0000000000000027E-2</v>
      </c>
      <c r="F7" s="9">
        <v>2619000000</v>
      </c>
      <c r="G7" s="10">
        <v>200</v>
      </c>
      <c r="H7" s="40">
        <f>+((F7-(I7*J7))/G7)</f>
        <v>3142800</v>
      </c>
      <c r="I7" s="10">
        <v>1254</v>
      </c>
      <c r="J7" s="9">
        <v>1587272.7272727273</v>
      </c>
      <c r="K7" s="11">
        <f>+F7/I7</f>
        <v>2088516.7464114833</v>
      </c>
      <c r="L7" s="1"/>
      <c r="M7" s="2">
        <v>3103182064</v>
      </c>
      <c r="N7" s="2">
        <v>3103182064</v>
      </c>
      <c r="O7" s="48"/>
      <c r="P7" s="48"/>
    </row>
    <row r="8" spans="1:16" s="31" customFormat="1" ht="49.5" customHeight="1" x14ac:dyDescent="0.15">
      <c r="A8" s="8">
        <v>4</v>
      </c>
      <c r="B8" s="43" t="s">
        <v>86</v>
      </c>
      <c r="C8" s="44" t="s">
        <v>90</v>
      </c>
      <c r="D8" s="9">
        <v>5000000000</v>
      </c>
      <c r="E8" s="42">
        <f>1-(F8/D8)</f>
        <v>3.0000000000000027E-2</v>
      </c>
      <c r="F8" s="9">
        <v>4850000000</v>
      </c>
      <c r="G8" s="10">
        <v>406</v>
      </c>
      <c r="H8" s="40">
        <f>+((F8-(I8*J8))/G8)</f>
        <v>2866995.0738916257</v>
      </c>
      <c r="I8" s="10">
        <v>2400</v>
      </c>
      <c r="J8" s="9">
        <v>1535833.3333333333</v>
      </c>
      <c r="K8" s="11">
        <f>+F8/I8</f>
        <v>2020833.3333333333</v>
      </c>
      <c r="L8" s="1"/>
      <c r="M8" s="2">
        <v>3103182064</v>
      </c>
      <c r="N8" s="2">
        <v>3103182064</v>
      </c>
      <c r="O8" s="48"/>
      <c r="P8" s="48"/>
    </row>
    <row r="9" spans="1:16" s="31" customFormat="1" ht="49.5" customHeight="1" x14ac:dyDescent="0.15">
      <c r="A9" s="8">
        <v>5</v>
      </c>
      <c r="B9" s="43" t="s">
        <v>86</v>
      </c>
      <c r="C9" s="44" t="s">
        <v>91</v>
      </c>
      <c r="D9" s="9">
        <v>4500000000</v>
      </c>
      <c r="E9" s="42">
        <f>1-(F9/D9)</f>
        <v>3.0000000000000027E-2</v>
      </c>
      <c r="F9" s="9">
        <v>4365000000</v>
      </c>
      <c r="G9" s="10">
        <v>220</v>
      </c>
      <c r="H9" s="40">
        <f>+((F9-(I9*J9))/G9)</f>
        <v>3372954.5454545454</v>
      </c>
      <c r="I9" s="10">
        <v>1000</v>
      </c>
      <c r="J9" s="9">
        <v>3622950</v>
      </c>
      <c r="K9" s="11">
        <f>+F9/I9</f>
        <v>4365000</v>
      </c>
      <c r="L9" s="1"/>
      <c r="M9" s="2">
        <v>3103182064</v>
      </c>
      <c r="N9" s="2">
        <v>3103182064</v>
      </c>
      <c r="O9" s="48"/>
      <c r="P9" s="48"/>
    </row>
    <row r="10" spans="1:16" s="51" customFormat="1" ht="12" customHeight="1" x14ac:dyDescent="0.15">
      <c r="A10" s="3"/>
      <c r="B10" s="3"/>
      <c r="C10" s="3"/>
      <c r="D10" s="3"/>
      <c r="E10" s="3"/>
      <c r="F10" s="4"/>
      <c r="G10" s="7"/>
      <c r="H10" s="45"/>
      <c r="I10" s="5"/>
      <c r="J10" s="4"/>
      <c r="K10" s="6"/>
      <c r="L10" s="49"/>
      <c r="M10" s="50"/>
      <c r="N10" s="50"/>
    </row>
    <row r="11" spans="1:16" s="31" customFormat="1" ht="12.75" customHeight="1" x14ac:dyDescent="0.15">
      <c r="A11" s="3"/>
      <c r="B11" s="3"/>
      <c r="C11" s="3"/>
      <c r="D11" s="3"/>
      <c r="E11" s="3"/>
      <c r="F11" s="195" t="s">
        <v>12</v>
      </c>
      <c r="G11" s="195"/>
      <c r="H11" s="40">
        <f>+AVERAGE(H5:H9)</f>
        <v>3072709.923869234</v>
      </c>
      <c r="I11" s="3"/>
      <c r="J11" s="46"/>
      <c r="K11" s="3"/>
      <c r="L11" s="3"/>
      <c r="M11" s="3"/>
      <c r="N11" s="3"/>
    </row>
    <row r="12" spans="1:16" s="31" customFormat="1" ht="12.75" customHeight="1" x14ac:dyDescent="0.15">
      <c r="A12" s="3"/>
      <c r="B12" s="3"/>
      <c r="C12" s="3"/>
      <c r="D12" s="3"/>
      <c r="E12" s="3"/>
      <c r="F12" s="195" t="s">
        <v>22</v>
      </c>
      <c r="G12" s="195"/>
      <c r="H12" s="35">
        <f>STDEV(H5:H9)</f>
        <v>198766.33152960756</v>
      </c>
      <c r="I12" s="3"/>
      <c r="J12" s="46"/>
      <c r="K12" s="3"/>
      <c r="L12" s="3"/>
      <c r="M12" s="3"/>
      <c r="N12" s="3"/>
    </row>
    <row r="13" spans="1:16" s="31" customFormat="1" ht="12.75" customHeight="1" x14ac:dyDescent="0.15">
      <c r="A13" s="3"/>
      <c r="B13" s="3"/>
      <c r="C13" s="3"/>
      <c r="D13" s="3"/>
      <c r="E13" s="3"/>
      <c r="F13" s="195" t="s">
        <v>23</v>
      </c>
      <c r="G13" s="195"/>
      <c r="H13" s="36">
        <f>H12/H11</f>
        <v>6.4687632888989391E-2</v>
      </c>
      <c r="I13" s="3"/>
      <c r="J13" s="46"/>
      <c r="K13" s="3"/>
      <c r="L13" s="3"/>
      <c r="M13" s="3"/>
      <c r="N13" s="3"/>
    </row>
    <row r="14" spans="1:16" s="31" customFormat="1" ht="12.75" customHeight="1" x14ac:dyDescent="0.15">
      <c r="A14" s="3"/>
      <c r="B14" s="3"/>
      <c r="C14" s="3"/>
      <c r="D14" s="3"/>
      <c r="E14" s="3"/>
      <c r="F14" s="195" t="s">
        <v>13</v>
      </c>
      <c r="G14" s="195"/>
      <c r="H14" s="35">
        <f>H11+H12</f>
        <v>3271476.2553988416</v>
      </c>
      <c r="I14" s="3"/>
      <c r="J14" s="46"/>
      <c r="K14" s="3"/>
      <c r="L14" s="3"/>
      <c r="M14" s="3"/>
      <c r="N14" s="3"/>
    </row>
    <row r="15" spans="1:16" s="31" customFormat="1" ht="12.75" customHeight="1" x14ac:dyDescent="0.15">
      <c r="A15" s="3"/>
      <c r="B15" s="3"/>
      <c r="C15" s="3"/>
      <c r="D15" s="3"/>
      <c r="E15" s="3"/>
      <c r="F15" s="195" t="s">
        <v>14</v>
      </c>
      <c r="G15" s="195"/>
      <c r="H15" s="35">
        <f>H11-H12</f>
        <v>2873943.5923396265</v>
      </c>
      <c r="I15" s="3"/>
      <c r="J15" s="46"/>
      <c r="K15" s="3"/>
      <c r="L15" s="3"/>
      <c r="M15" s="3"/>
      <c r="N15" s="3"/>
    </row>
    <row r="16" spans="1:16" s="31" customFormat="1" ht="12.75" customHeight="1" x14ac:dyDescent="0.15">
      <c r="A16" s="3"/>
      <c r="B16" s="3"/>
      <c r="C16" s="3"/>
      <c r="D16" s="3"/>
      <c r="E16" s="3"/>
      <c r="F16" s="195" t="s">
        <v>30</v>
      </c>
      <c r="G16" s="195"/>
      <c r="H16" s="40">
        <v>2800000</v>
      </c>
      <c r="I16" s="3"/>
      <c r="J16" s="46"/>
      <c r="K16" s="3"/>
      <c r="L16" s="3"/>
      <c r="M16" s="3"/>
      <c r="N16" s="3"/>
    </row>
  </sheetData>
  <mergeCells count="23">
    <mergeCell ref="J2:K2"/>
    <mergeCell ref="E2:F2"/>
    <mergeCell ref="A1:M1"/>
    <mergeCell ref="A3:A4"/>
    <mergeCell ref="B3:B4"/>
    <mergeCell ref="C3:C4"/>
    <mergeCell ref="D3:D4"/>
    <mergeCell ref="E3:E4"/>
    <mergeCell ref="F15:G15"/>
    <mergeCell ref="F16:G16"/>
    <mergeCell ref="F13:G13"/>
    <mergeCell ref="A2:B2"/>
    <mergeCell ref="C2:D2"/>
    <mergeCell ref="F12:G12"/>
    <mergeCell ref="F3:F4"/>
    <mergeCell ref="G3:H3"/>
    <mergeCell ref="I3:J3"/>
    <mergeCell ref="F14:G14"/>
    <mergeCell ref="N3:N4"/>
    <mergeCell ref="K3:K4"/>
    <mergeCell ref="L3:L4"/>
    <mergeCell ref="M3:M4"/>
    <mergeCell ref="F11:G11"/>
  </mergeCells>
  <pageMargins left="0.70866141732283472" right="0.70866141732283472" top="0.74803149606299213" bottom="0.74803149606299213" header="0.31496062992125984" footer="0.31496062992125984"/>
  <pageSetup orientation="portrait" verticalDpi="300" r:id="rId1"/>
  <headerFooter>
    <oddFooter>&amp;RFO-ACM-PC02-11
V1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Q38"/>
  <sheetViews>
    <sheetView zoomScaleNormal="100" workbookViewId="0">
      <pane ySplit="1" topLeftCell="A2" activePane="bottomLeft" state="frozen"/>
      <selection pane="bottomLeft" sqref="A1:E1"/>
    </sheetView>
  </sheetViews>
  <sheetFormatPr baseColWidth="10" defaultColWidth="28.28515625" defaultRowHeight="14.25" x14ac:dyDescent="0.25"/>
  <cols>
    <col min="1" max="1" width="22.42578125" style="64" customWidth="1"/>
    <col min="2" max="2" width="10.42578125" style="65" customWidth="1"/>
    <col min="3" max="3" width="8" style="65" customWidth="1"/>
    <col min="4" max="4" width="25.7109375" style="66" customWidth="1"/>
    <col min="5" max="5" width="25.7109375" style="64" customWidth="1"/>
    <col min="6" max="6" width="8.5703125" style="63" customWidth="1"/>
    <col min="7" max="7" width="23.7109375" style="64" customWidth="1"/>
    <col min="8" max="8" width="11.85546875" style="64" customWidth="1"/>
    <col min="9" max="9" width="9.85546875" style="64" customWidth="1"/>
    <col min="10" max="11" width="26.7109375" style="64" customWidth="1"/>
    <col min="12" max="12" width="17.28515625" style="64" customWidth="1"/>
    <col min="13" max="16" width="23.42578125" style="64" customWidth="1"/>
    <col min="17" max="17" width="25.85546875" style="64" customWidth="1"/>
    <col min="18" max="18" width="20.85546875" style="64" customWidth="1"/>
    <col min="19" max="16384" width="28.28515625" style="64"/>
  </cols>
  <sheetData>
    <row r="1" spans="1:17" ht="56.25" customHeight="1" thickBot="1" x14ac:dyDescent="0.3">
      <c r="A1" s="239" t="s">
        <v>104</v>
      </c>
      <c r="B1" s="223"/>
      <c r="C1" s="223"/>
      <c r="D1" s="223"/>
      <c r="E1" s="223"/>
      <c r="G1" s="223" t="s">
        <v>105</v>
      </c>
      <c r="H1" s="223"/>
      <c r="I1" s="223"/>
      <c r="J1" s="223"/>
      <c r="K1" s="223"/>
      <c r="M1" s="212" t="s">
        <v>147</v>
      </c>
      <c r="N1" s="212"/>
      <c r="O1" s="212"/>
      <c r="P1" s="212"/>
      <c r="Q1" s="212"/>
    </row>
    <row r="2" spans="1:17" ht="22.5" customHeight="1" thickBot="1" x14ac:dyDescent="0.3">
      <c r="A2" s="176" t="s">
        <v>16</v>
      </c>
      <c r="B2" s="177" t="s">
        <v>17</v>
      </c>
      <c r="C2" s="177" t="s">
        <v>33</v>
      </c>
      <c r="D2" s="177" t="s">
        <v>45</v>
      </c>
      <c r="E2" s="178" t="s">
        <v>15</v>
      </c>
      <c r="F2" s="53"/>
      <c r="G2" s="158" t="s">
        <v>16</v>
      </c>
      <c r="H2" s="159" t="s">
        <v>17</v>
      </c>
      <c r="I2" s="159" t="s">
        <v>33</v>
      </c>
      <c r="J2" s="159" t="s">
        <v>34</v>
      </c>
      <c r="K2" s="160" t="s">
        <v>100</v>
      </c>
      <c r="M2" s="211" t="s">
        <v>16</v>
      </c>
      <c r="N2" s="211"/>
      <c r="O2" s="211"/>
      <c r="P2" s="211"/>
      <c r="Q2" s="105" t="s">
        <v>15</v>
      </c>
    </row>
    <row r="3" spans="1:17" ht="18.75" customHeight="1" x14ac:dyDescent="0.25">
      <c r="A3" s="226" t="s">
        <v>5</v>
      </c>
      <c r="B3" s="227"/>
      <c r="C3" s="227"/>
      <c r="D3" s="227"/>
      <c r="E3" s="228"/>
      <c r="F3" s="54"/>
      <c r="G3" s="161" t="s">
        <v>53</v>
      </c>
      <c r="H3" s="162">
        <v>561.86</v>
      </c>
      <c r="I3" s="163" t="s">
        <v>44</v>
      </c>
      <c r="J3" s="164">
        <v>1200000</v>
      </c>
      <c r="K3" s="165">
        <f>+J3*H3</f>
        <v>674232000</v>
      </c>
      <c r="M3" s="208" t="s">
        <v>155</v>
      </c>
      <c r="N3" s="209"/>
      <c r="O3" s="209"/>
      <c r="P3" s="210"/>
    </row>
    <row r="4" spans="1:17" ht="18.75" customHeight="1" thickBot="1" x14ac:dyDescent="0.3">
      <c r="A4" s="169" t="s">
        <v>42</v>
      </c>
      <c r="B4" s="55">
        <v>1.0799000000000001</v>
      </c>
      <c r="C4" s="56" t="s">
        <v>43</v>
      </c>
      <c r="D4" s="57">
        <v>15500000</v>
      </c>
      <c r="E4" s="170">
        <f>+D4*B4</f>
        <v>16738450.000000002</v>
      </c>
      <c r="F4" s="58"/>
      <c r="G4" s="216" t="s">
        <v>35</v>
      </c>
      <c r="H4" s="217"/>
      <c r="I4" s="217"/>
      <c r="J4" s="217"/>
      <c r="K4" s="166">
        <f>+K3</f>
        <v>674232000</v>
      </c>
      <c r="M4" s="205" t="s">
        <v>148</v>
      </c>
      <c r="N4" s="206"/>
      <c r="O4" s="206"/>
      <c r="P4" s="207"/>
      <c r="Q4" s="67">
        <v>13500000</v>
      </c>
    </row>
    <row r="5" spans="1:17" ht="18.75" customHeight="1" x14ac:dyDescent="0.25">
      <c r="A5" s="169" t="s">
        <v>47</v>
      </c>
      <c r="B5" s="55">
        <v>1.0799000000000001</v>
      </c>
      <c r="C5" s="56" t="s">
        <v>43</v>
      </c>
      <c r="D5" s="57">
        <v>4300000</v>
      </c>
      <c r="E5" s="170">
        <f>+D5*B5</f>
        <v>4643570</v>
      </c>
      <c r="F5" s="58"/>
      <c r="G5" s="213" t="s">
        <v>101</v>
      </c>
      <c r="H5" s="214"/>
      <c r="I5" s="214"/>
      <c r="J5" s="214"/>
      <c r="K5" s="215"/>
      <c r="M5" s="205" t="s">
        <v>149</v>
      </c>
      <c r="N5" s="206"/>
      <c r="O5" s="206"/>
      <c r="P5" s="207"/>
      <c r="Q5" s="67">
        <v>13500000</v>
      </c>
    </row>
    <row r="6" spans="1:17" ht="18.75" customHeight="1" x14ac:dyDescent="0.25">
      <c r="A6" s="169" t="s">
        <v>47</v>
      </c>
      <c r="B6" s="55">
        <v>0.45190000000000002</v>
      </c>
      <c r="C6" s="56" t="s">
        <v>43</v>
      </c>
      <c r="D6" s="57">
        <v>2500000</v>
      </c>
      <c r="E6" s="170">
        <f>+D6*B6</f>
        <v>1129750</v>
      </c>
      <c r="F6" s="58"/>
      <c r="G6" s="156" t="str">
        <f>+FITTO!A4</f>
        <v>Casa principal</v>
      </c>
      <c r="H6" s="60">
        <v>164.5</v>
      </c>
      <c r="I6" s="56" t="s">
        <v>44</v>
      </c>
      <c r="J6" s="57">
        <f>+FITTO!J4</f>
        <v>1150000</v>
      </c>
      <c r="K6" s="157">
        <f>+J6*H6</f>
        <v>189175000</v>
      </c>
      <c r="M6" s="205" t="s">
        <v>150</v>
      </c>
      <c r="N6" s="206"/>
      <c r="O6" s="206"/>
      <c r="P6" s="207"/>
      <c r="Q6" s="67">
        <v>13500000</v>
      </c>
    </row>
    <row r="7" spans="1:17" ht="18.75" customHeight="1" thickBot="1" x14ac:dyDescent="0.3">
      <c r="A7" s="216" t="s">
        <v>35</v>
      </c>
      <c r="B7" s="217"/>
      <c r="C7" s="217"/>
      <c r="D7" s="217"/>
      <c r="E7" s="166">
        <f>+E6+E5+E4</f>
        <v>22511770</v>
      </c>
      <c r="F7" s="59"/>
      <c r="G7" s="156" t="str">
        <f>+FITTO!A5</f>
        <v>Beneficiadero</v>
      </c>
      <c r="H7" s="60">
        <v>25</v>
      </c>
      <c r="I7" s="56" t="s">
        <v>44</v>
      </c>
      <c r="J7" s="57">
        <f>+FITTO!J5</f>
        <v>270000</v>
      </c>
      <c r="K7" s="157">
        <f>+J7*H7</f>
        <v>6750000</v>
      </c>
      <c r="M7" s="205" t="s">
        <v>151</v>
      </c>
      <c r="N7" s="206"/>
      <c r="O7" s="206"/>
      <c r="P7" s="207"/>
      <c r="Q7" s="67">
        <v>13500000</v>
      </c>
    </row>
    <row r="8" spans="1:17" ht="18.75" customHeight="1" x14ac:dyDescent="0.25">
      <c r="A8" s="229" t="s">
        <v>32</v>
      </c>
      <c r="B8" s="230"/>
      <c r="C8" s="230"/>
      <c r="D8" s="230"/>
      <c r="E8" s="231"/>
      <c r="F8" s="53"/>
      <c r="G8" s="156" t="str">
        <f>+FITTO!A6</f>
        <v>Corral</v>
      </c>
      <c r="H8" s="60">
        <v>145</v>
      </c>
      <c r="I8" s="56" t="s">
        <v>102</v>
      </c>
      <c r="J8" s="57">
        <f>+FITTO!J6</f>
        <v>77000</v>
      </c>
      <c r="K8" s="157">
        <f>+J8*H8</f>
        <v>11165000</v>
      </c>
      <c r="M8" s="205" t="s">
        <v>152</v>
      </c>
      <c r="N8" s="206"/>
      <c r="O8" s="206"/>
      <c r="P8" s="207"/>
      <c r="Q8" s="67">
        <v>13500000</v>
      </c>
    </row>
    <row r="9" spans="1:17" ht="18.75" customHeight="1" thickBot="1" x14ac:dyDescent="0.3">
      <c r="A9" s="171" t="s">
        <v>16</v>
      </c>
      <c r="B9" s="106" t="s">
        <v>17</v>
      </c>
      <c r="C9" s="106" t="s">
        <v>33</v>
      </c>
      <c r="D9" s="106" t="s">
        <v>46</v>
      </c>
      <c r="E9" s="172" t="s">
        <v>15</v>
      </c>
      <c r="F9" s="54"/>
      <c r="G9" s="218" t="s">
        <v>99</v>
      </c>
      <c r="H9" s="219"/>
      <c r="I9" s="219"/>
      <c r="J9" s="219"/>
      <c r="K9" s="167">
        <f>+SUM(K6:K8)</f>
        <v>207090000</v>
      </c>
      <c r="M9" s="205" t="s">
        <v>153</v>
      </c>
      <c r="N9" s="206"/>
      <c r="O9" s="206"/>
      <c r="P9" s="207"/>
      <c r="Q9" s="67">
        <v>13500000</v>
      </c>
    </row>
    <row r="10" spans="1:17" ht="18.75" customHeight="1" thickBot="1" x14ac:dyDescent="0.3">
      <c r="A10" s="173" t="str">
        <f>+FITTO!A4</f>
        <v>Casa principal</v>
      </c>
      <c r="B10" s="60">
        <v>150</v>
      </c>
      <c r="C10" s="56" t="s">
        <v>44</v>
      </c>
      <c r="D10" s="61">
        <f>+FITTO!J4</f>
        <v>1150000</v>
      </c>
      <c r="E10" s="174">
        <f>+D10*B10</f>
        <v>172500000</v>
      </c>
      <c r="F10" s="62"/>
      <c r="G10" s="220" t="s">
        <v>31</v>
      </c>
      <c r="H10" s="221"/>
      <c r="I10" s="221"/>
      <c r="J10" s="222"/>
      <c r="K10" s="168">
        <f>+K9+K4</f>
        <v>881322000</v>
      </c>
      <c r="M10" s="205" t="s">
        <v>154</v>
      </c>
      <c r="N10" s="206"/>
      <c r="O10" s="206"/>
      <c r="P10" s="207"/>
      <c r="Q10" s="67">
        <v>13500000</v>
      </c>
    </row>
    <row r="11" spans="1:17" ht="18.75" customHeight="1" x14ac:dyDescent="0.25">
      <c r="A11" s="173" t="str">
        <f>+FITTO!A5</f>
        <v>Beneficiadero</v>
      </c>
      <c r="B11" s="60">
        <v>50</v>
      </c>
      <c r="C11" s="56" t="s">
        <v>44</v>
      </c>
      <c r="D11" s="61">
        <f>+FITTO!J5</f>
        <v>270000</v>
      </c>
      <c r="E11" s="174">
        <f>+D11</f>
        <v>270000</v>
      </c>
      <c r="F11" s="62"/>
      <c r="M11" s="211" t="s">
        <v>191</v>
      </c>
      <c r="N11" s="211"/>
      <c r="O11" s="211"/>
      <c r="P11" s="211"/>
      <c r="Q11" s="112">
        <f>SUM(Q4:Q10)</f>
        <v>94500000</v>
      </c>
    </row>
    <row r="12" spans="1:17" ht="18.75" customHeight="1" thickBot="1" x14ac:dyDescent="0.3">
      <c r="A12" s="234" t="s">
        <v>99</v>
      </c>
      <c r="B12" s="235"/>
      <c r="C12" s="235"/>
      <c r="D12" s="235"/>
      <c r="E12" s="167">
        <f>SUM(E10:E11)</f>
        <v>172770000</v>
      </c>
      <c r="F12" s="62"/>
      <c r="M12" s="208" t="s">
        <v>156</v>
      </c>
      <c r="N12" s="209"/>
      <c r="O12" s="209"/>
      <c r="P12" s="210"/>
      <c r="Q12" s="113"/>
    </row>
    <row r="13" spans="1:17" ht="18.75" customHeight="1" x14ac:dyDescent="0.25">
      <c r="A13" s="236" t="s">
        <v>40</v>
      </c>
      <c r="B13" s="237"/>
      <c r="C13" s="237"/>
      <c r="D13" s="237"/>
      <c r="E13" s="238"/>
      <c r="F13" s="53"/>
      <c r="M13" s="205" t="s">
        <v>157</v>
      </c>
      <c r="N13" s="206"/>
      <c r="O13" s="206"/>
      <c r="P13" s="207"/>
      <c r="Q13" s="67">
        <v>13500000</v>
      </c>
    </row>
    <row r="14" spans="1:17" ht="18.75" customHeight="1" x14ac:dyDescent="0.25">
      <c r="A14" s="171" t="s">
        <v>16</v>
      </c>
      <c r="B14" s="106" t="s">
        <v>17</v>
      </c>
      <c r="C14" s="106" t="s">
        <v>33</v>
      </c>
      <c r="D14" s="106" t="s">
        <v>46</v>
      </c>
      <c r="E14" s="172" t="s">
        <v>15</v>
      </c>
      <c r="F14" s="54"/>
      <c r="M14" s="205" t="s">
        <v>158</v>
      </c>
      <c r="N14" s="206"/>
      <c r="O14" s="206"/>
      <c r="P14" s="207"/>
      <c r="Q14" s="67">
        <v>13500000</v>
      </c>
    </row>
    <row r="15" spans="1:17" ht="18.75" customHeight="1" x14ac:dyDescent="0.25">
      <c r="A15" s="173" t="s">
        <v>97</v>
      </c>
      <c r="B15" s="55">
        <v>2.5</v>
      </c>
      <c r="C15" s="56" t="s">
        <v>96</v>
      </c>
      <c r="D15" s="61">
        <v>5000000</v>
      </c>
      <c r="E15" s="174">
        <f>+D15*B15</f>
        <v>12500000</v>
      </c>
      <c r="F15" s="62"/>
      <c r="M15" s="211" t="s">
        <v>192</v>
      </c>
      <c r="N15" s="211"/>
      <c r="O15" s="211"/>
      <c r="P15" s="211"/>
      <c r="Q15" s="112">
        <f>SUM(Q13:Q14)</f>
        <v>27000000</v>
      </c>
    </row>
    <row r="16" spans="1:17" ht="18.75" customHeight="1" x14ac:dyDescent="0.25">
      <c r="A16" s="173" t="s">
        <v>98</v>
      </c>
      <c r="B16" s="55">
        <v>5</v>
      </c>
      <c r="C16" s="56" t="s">
        <v>96</v>
      </c>
      <c r="D16" s="61">
        <v>7500000</v>
      </c>
      <c r="E16" s="174">
        <f>+D16</f>
        <v>7500000</v>
      </c>
      <c r="F16" s="62"/>
    </row>
    <row r="17" spans="1:17" ht="18.75" customHeight="1" thickBot="1" x14ac:dyDescent="0.3">
      <c r="A17" s="216" t="s">
        <v>41</v>
      </c>
      <c r="B17" s="217"/>
      <c r="C17" s="217"/>
      <c r="D17" s="217"/>
      <c r="E17" s="166">
        <f>SUM(E15:E16)</f>
        <v>20000000</v>
      </c>
      <c r="F17" s="62"/>
    </row>
    <row r="18" spans="1:17" ht="19.5" customHeight="1" thickBot="1" x14ac:dyDescent="0.3">
      <c r="A18" s="232" t="s">
        <v>31</v>
      </c>
      <c r="B18" s="233"/>
      <c r="C18" s="233"/>
      <c r="D18" s="233"/>
      <c r="E18" s="175">
        <f>+E17+E12+E7</f>
        <v>215281770</v>
      </c>
      <c r="F18" s="62"/>
      <c r="M18" s="211" t="s">
        <v>16</v>
      </c>
      <c r="N18" s="211"/>
      <c r="O18" s="211"/>
      <c r="P18" s="211"/>
      <c r="Q18" s="105" t="s">
        <v>15</v>
      </c>
    </row>
    <row r="19" spans="1:17" ht="15" x14ac:dyDescent="0.25">
      <c r="M19" s="224" t="str">
        <f>+M11</f>
        <v>TOTAL AVALÚO DAÑO EMERGENTE</v>
      </c>
      <c r="N19" s="224"/>
      <c r="O19" s="224"/>
      <c r="P19" s="224"/>
      <c r="Q19" s="113">
        <f>+Q11</f>
        <v>94500000</v>
      </c>
    </row>
    <row r="22" spans="1:17" ht="20.25" customHeight="1" x14ac:dyDescent="0.25">
      <c r="M22" s="211" t="s">
        <v>16</v>
      </c>
      <c r="N22" s="211"/>
      <c r="O22" s="211"/>
      <c r="P22" s="211"/>
      <c r="Q22" s="105" t="s">
        <v>15</v>
      </c>
    </row>
    <row r="23" spans="1:17" ht="20.25" customHeight="1" x14ac:dyDescent="0.25">
      <c r="M23" s="224" t="str">
        <f>+M15</f>
        <v>TOTAL AVALÚO LUCRO CESANTE</v>
      </c>
      <c r="N23" s="224"/>
      <c r="O23" s="224"/>
      <c r="P23" s="224"/>
      <c r="Q23" s="113">
        <f>+Q15</f>
        <v>27000000</v>
      </c>
    </row>
    <row r="24" spans="1:17" ht="20.25" customHeight="1" x14ac:dyDescent="0.25">
      <c r="N24" s="65"/>
      <c r="O24" s="65"/>
      <c r="P24" s="66"/>
    </row>
    <row r="25" spans="1:17" ht="20.25" customHeight="1" x14ac:dyDescent="0.25">
      <c r="N25" s="65"/>
      <c r="O25" s="65"/>
      <c r="P25" s="66"/>
    </row>
    <row r="26" spans="1:17" ht="20.25" customHeight="1" x14ac:dyDescent="0.25">
      <c r="M26" s="211" t="s">
        <v>16</v>
      </c>
      <c r="N26" s="211"/>
      <c r="O26" s="211"/>
      <c r="P26" s="211"/>
      <c r="Q26" s="105" t="s">
        <v>15</v>
      </c>
    </row>
    <row r="27" spans="1:17" ht="20.25" customHeight="1" x14ac:dyDescent="0.25">
      <c r="M27" s="224" t="s">
        <v>142</v>
      </c>
      <c r="N27" s="224"/>
      <c r="O27" s="224"/>
      <c r="P27" s="224"/>
      <c r="Q27" s="113">
        <f>+Q11</f>
        <v>94500000</v>
      </c>
    </row>
    <row r="28" spans="1:17" ht="20.25" customHeight="1" x14ac:dyDescent="0.25">
      <c r="M28" s="224" t="s">
        <v>143</v>
      </c>
      <c r="N28" s="224"/>
      <c r="O28" s="224"/>
      <c r="P28" s="224"/>
      <c r="Q28" s="113">
        <f>+Q15</f>
        <v>27000000</v>
      </c>
    </row>
    <row r="29" spans="1:17" ht="20.25" customHeight="1" x14ac:dyDescent="0.25">
      <c r="M29" s="211" t="s">
        <v>145</v>
      </c>
      <c r="N29" s="211"/>
      <c r="O29" s="211"/>
      <c r="P29" s="211"/>
      <c r="Q29" s="114">
        <f>+Q23+Q19</f>
        <v>121500000</v>
      </c>
    </row>
    <row r="30" spans="1:17" ht="24" customHeight="1" x14ac:dyDescent="0.25">
      <c r="M30" s="224"/>
      <c r="N30" s="224"/>
      <c r="O30" s="224"/>
      <c r="P30" s="224"/>
      <c r="Q30" s="224"/>
    </row>
    <row r="31" spans="1:17" ht="24" customHeight="1" x14ac:dyDescent="0.25">
      <c r="M31" s="211" t="s">
        <v>146</v>
      </c>
      <c r="N31" s="211"/>
      <c r="O31" s="211"/>
      <c r="P31" s="211"/>
      <c r="Q31" s="114">
        <v>391101299.99999994</v>
      </c>
    </row>
    <row r="32" spans="1:17" ht="24" customHeight="1" x14ac:dyDescent="0.25">
      <c r="M32" s="225"/>
      <c r="N32" s="225"/>
      <c r="O32" s="225"/>
      <c r="P32" s="225"/>
      <c r="Q32" s="225"/>
    </row>
    <row r="33" spans="13:17" ht="24" customHeight="1" x14ac:dyDescent="0.25">
      <c r="M33" s="240" t="s">
        <v>144</v>
      </c>
      <c r="N33" s="240"/>
      <c r="O33" s="240"/>
      <c r="P33" s="240"/>
      <c r="Q33" s="104">
        <f>+Q31+Q29</f>
        <v>512601299.99999994</v>
      </c>
    </row>
    <row r="34" spans="13:17" ht="13.5" customHeight="1" x14ac:dyDescent="0.25"/>
    <row r="35" spans="13:17" ht="24" customHeight="1" x14ac:dyDescent="0.25"/>
    <row r="36" spans="13:17" ht="12.75" customHeight="1" x14ac:dyDescent="0.25"/>
    <row r="37" spans="13:17" ht="24" customHeight="1" x14ac:dyDescent="0.25"/>
    <row r="38" spans="13:17" ht="24" customHeight="1" x14ac:dyDescent="0.25"/>
  </sheetData>
  <mergeCells count="40">
    <mergeCell ref="A1:E1"/>
    <mergeCell ref="M33:P33"/>
    <mergeCell ref="M18:P18"/>
    <mergeCell ref="M22:P22"/>
    <mergeCell ref="M26:P26"/>
    <mergeCell ref="M31:P31"/>
    <mergeCell ref="M27:P27"/>
    <mergeCell ref="M28:P28"/>
    <mergeCell ref="M30:Q30"/>
    <mergeCell ref="M32:Q32"/>
    <mergeCell ref="A3:E3"/>
    <mergeCell ref="A8:E8"/>
    <mergeCell ref="A18:D18"/>
    <mergeCell ref="A7:D7"/>
    <mergeCell ref="A12:D12"/>
    <mergeCell ref="A13:E13"/>
    <mergeCell ref="A17:D17"/>
    <mergeCell ref="M19:P19"/>
    <mergeCell ref="M23:P23"/>
    <mergeCell ref="M29:P29"/>
    <mergeCell ref="M1:Q1"/>
    <mergeCell ref="M2:P2"/>
    <mergeCell ref="M4:P4"/>
    <mergeCell ref="M15:P15"/>
    <mergeCell ref="G5:K5"/>
    <mergeCell ref="G4:J4"/>
    <mergeCell ref="G9:J9"/>
    <mergeCell ref="G10:J10"/>
    <mergeCell ref="G1:K1"/>
    <mergeCell ref="M7:P7"/>
    <mergeCell ref="M6:P6"/>
    <mergeCell ref="M5:P5"/>
    <mergeCell ref="M3:P3"/>
    <mergeCell ref="M14:P14"/>
    <mergeCell ref="M11:P11"/>
    <mergeCell ref="M8:P8"/>
    <mergeCell ref="M9:P9"/>
    <mergeCell ref="M10:P10"/>
    <mergeCell ref="M12:P12"/>
    <mergeCell ref="M13:P13"/>
  </mergeCells>
  <pageMargins left="0.70866141732283472" right="0.70866141732283472" top="0.74803149606299213" bottom="0.74803149606299213" header="0.31496062992125984" footer="0.31496062992125984"/>
  <pageSetup scale="36" orientation="landscape" r:id="rId1"/>
  <headerFooter>
    <oddFooter>&amp;RFO-ACM-PC02-11
V1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1:W21"/>
  <sheetViews>
    <sheetView zoomScale="85" zoomScaleNormal="85" workbookViewId="0">
      <selection sqref="A1:K1"/>
    </sheetView>
  </sheetViews>
  <sheetFormatPr baseColWidth="10" defaultRowHeight="15" x14ac:dyDescent="0.25"/>
  <cols>
    <col min="1" max="1" width="4.85546875" style="74" customWidth="1"/>
    <col min="2" max="2" width="21.140625" style="74" customWidth="1"/>
    <col min="3" max="3" width="17.140625" style="74" customWidth="1"/>
    <col min="4" max="4" width="16" style="74" customWidth="1"/>
    <col min="5" max="5" width="7.42578125" style="76" customWidth="1"/>
    <col min="6" max="6" width="11.28515625" style="76" customWidth="1"/>
    <col min="7" max="7" width="6" style="76" customWidth="1"/>
    <col min="8" max="8" width="5.28515625" style="76" customWidth="1"/>
    <col min="9" max="9" width="12.5703125" style="74" customWidth="1"/>
    <col min="10" max="10" width="17.28515625" style="74" customWidth="1"/>
    <col min="11" max="11" width="19.140625" style="74" customWidth="1"/>
    <col min="12" max="12" width="15.42578125" style="74" customWidth="1"/>
    <col min="13" max="13" width="8.85546875" style="74" customWidth="1"/>
    <col min="14" max="14" width="9" style="74" customWidth="1"/>
    <col min="15" max="15" width="15.42578125" style="74" customWidth="1"/>
    <col min="16" max="16" width="17.85546875" style="74" customWidth="1"/>
    <col min="17" max="17" width="20.28515625" style="74" customWidth="1"/>
    <col min="18" max="18" width="14" style="74" customWidth="1"/>
    <col min="19" max="19" width="18.28515625" style="74" customWidth="1"/>
    <col min="20" max="20" width="20.7109375" style="74" bestFit="1" customWidth="1"/>
    <col min="21" max="21" width="20.5703125" style="74" customWidth="1"/>
    <col min="22" max="16384" width="11.42578125" style="74"/>
  </cols>
  <sheetData>
    <row r="1" spans="1:23" s="127" customFormat="1" ht="31.5" customHeight="1" x14ac:dyDescent="0.25">
      <c r="A1" s="250" t="s">
        <v>123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M1" s="250" t="s">
        <v>124</v>
      </c>
      <c r="N1" s="250"/>
      <c r="O1" s="250"/>
      <c r="P1" s="250"/>
      <c r="Q1" s="250"/>
      <c r="R1" s="250"/>
      <c r="S1" s="250"/>
      <c r="T1" s="250"/>
      <c r="U1" s="250"/>
      <c r="V1" s="250"/>
      <c r="W1" s="250"/>
    </row>
    <row r="2" spans="1:23" s="69" customFormat="1" ht="30" x14ac:dyDescent="0.25">
      <c r="A2" s="68" t="s">
        <v>0</v>
      </c>
      <c r="B2" s="68" t="s">
        <v>120</v>
      </c>
      <c r="C2" s="68" t="s">
        <v>107</v>
      </c>
      <c r="D2" s="68" t="s">
        <v>16</v>
      </c>
      <c r="E2" s="68" t="s">
        <v>108</v>
      </c>
      <c r="F2" s="68" t="s">
        <v>109</v>
      </c>
      <c r="G2" s="68" t="s">
        <v>110</v>
      </c>
      <c r="H2" s="68" t="s">
        <v>33</v>
      </c>
      <c r="I2" s="68" t="s">
        <v>17</v>
      </c>
      <c r="J2" s="68" t="s">
        <v>111</v>
      </c>
      <c r="K2" s="68" t="s">
        <v>112</v>
      </c>
      <c r="M2" s="68" t="s">
        <v>0</v>
      </c>
      <c r="N2" s="68" t="s">
        <v>159</v>
      </c>
      <c r="O2" s="68" t="s">
        <v>107</v>
      </c>
      <c r="P2" s="68" t="s">
        <v>19</v>
      </c>
      <c r="Q2" s="68" t="s">
        <v>16</v>
      </c>
      <c r="R2" s="68" t="s">
        <v>160</v>
      </c>
      <c r="S2" s="68" t="s">
        <v>182</v>
      </c>
      <c r="T2" s="103" t="s">
        <v>112</v>
      </c>
      <c r="U2" s="68" t="s">
        <v>161</v>
      </c>
    </row>
    <row r="3" spans="1:23" ht="15.75" customHeight="1" x14ac:dyDescent="0.25">
      <c r="A3" s="251">
        <v>1</v>
      </c>
      <c r="B3" s="251" t="s">
        <v>121</v>
      </c>
      <c r="C3" s="251" t="s">
        <v>113</v>
      </c>
      <c r="D3" s="70" t="s">
        <v>114</v>
      </c>
      <c r="E3" s="71" t="s">
        <v>115</v>
      </c>
      <c r="F3" s="71" t="s">
        <v>116</v>
      </c>
      <c r="G3" s="71">
        <v>61</v>
      </c>
      <c r="H3" s="71" t="s">
        <v>96</v>
      </c>
      <c r="I3" s="72">
        <v>32.185299999999998</v>
      </c>
      <c r="J3" s="73">
        <v>8000000</v>
      </c>
      <c r="K3" s="73">
        <f>+J3*I3</f>
        <v>257482399.99999997</v>
      </c>
      <c r="M3" s="244">
        <v>1</v>
      </c>
      <c r="N3" s="244">
        <v>2012</v>
      </c>
      <c r="O3" s="244" t="s">
        <v>162</v>
      </c>
      <c r="P3" s="244" t="s">
        <v>163</v>
      </c>
      <c r="Q3" s="116" t="s">
        <v>5</v>
      </c>
      <c r="R3" s="117">
        <v>2552</v>
      </c>
      <c r="S3" s="118">
        <v>1360000</v>
      </c>
      <c r="T3" s="119">
        <f>+S3*R3</f>
        <v>3470720000</v>
      </c>
      <c r="U3" s="245" t="s">
        <v>164</v>
      </c>
    </row>
    <row r="4" spans="1:23" ht="15.75" customHeight="1" x14ac:dyDescent="0.25">
      <c r="A4" s="252"/>
      <c r="B4" s="252"/>
      <c r="C4" s="252"/>
      <c r="D4" s="70" t="s">
        <v>119</v>
      </c>
      <c r="E4" s="71" t="s">
        <v>118</v>
      </c>
      <c r="F4" s="71" t="s">
        <v>122</v>
      </c>
      <c r="G4" s="71">
        <v>17</v>
      </c>
      <c r="H4" s="71" t="s">
        <v>96</v>
      </c>
      <c r="I4" s="72">
        <v>11.58</v>
      </c>
      <c r="J4" s="73">
        <v>3000000</v>
      </c>
      <c r="K4" s="73">
        <f>+J4*I4</f>
        <v>34740000</v>
      </c>
      <c r="M4" s="242"/>
      <c r="N4" s="242"/>
      <c r="O4" s="242"/>
      <c r="P4" s="242"/>
      <c r="Q4" s="116" t="s">
        <v>165</v>
      </c>
      <c r="R4" s="121"/>
      <c r="S4" s="122"/>
      <c r="T4" s="119">
        <v>1583606750</v>
      </c>
      <c r="U4" s="245"/>
    </row>
    <row r="5" spans="1:23" ht="15.75" customHeight="1" x14ac:dyDescent="0.25">
      <c r="A5" s="253"/>
      <c r="B5" s="253"/>
      <c r="C5" s="253"/>
      <c r="D5" s="254" t="s">
        <v>117</v>
      </c>
      <c r="E5" s="255"/>
      <c r="F5" s="255"/>
      <c r="G5" s="255"/>
      <c r="H5" s="255"/>
      <c r="I5" s="255"/>
      <c r="J5" s="256"/>
      <c r="K5" s="75">
        <f>SUM(K3:K4)</f>
        <v>292222400</v>
      </c>
      <c r="M5" s="243"/>
      <c r="N5" s="243"/>
      <c r="O5" s="243"/>
      <c r="P5" s="243"/>
      <c r="Q5" s="246" t="s">
        <v>117</v>
      </c>
      <c r="R5" s="246"/>
      <c r="S5" s="246"/>
      <c r="T5" s="124">
        <f>+T4+T3</f>
        <v>5054326750</v>
      </c>
      <c r="U5" s="245"/>
    </row>
    <row r="6" spans="1:23" x14ac:dyDescent="0.25">
      <c r="A6" s="251">
        <v>2</v>
      </c>
      <c r="B6" s="251" t="s">
        <v>121</v>
      </c>
      <c r="C6" s="251" t="s">
        <v>113</v>
      </c>
      <c r="D6" s="70" t="s">
        <v>114</v>
      </c>
      <c r="E6" s="71" t="s">
        <v>115</v>
      </c>
      <c r="F6" s="71" t="s">
        <v>116</v>
      </c>
      <c r="G6" s="71">
        <v>61</v>
      </c>
      <c r="H6" s="71" t="s">
        <v>96</v>
      </c>
      <c r="I6" s="72">
        <v>32.185299999999998</v>
      </c>
      <c r="J6" s="73">
        <v>15000000</v>
      </c>
      <c r="K6" s="73">
        <f>+J6*I6</f>
        <v>482779500</v>
      </c>
      <c r="M6" s="244">
        <v>2</v>
      </c>
      <c r="N6" s="244">
        <v>2021</v>
      </c>
      <c r="O6" s="244" t="s">
        <v>162</v>
      </c>
      <c r="P6" s="241" t="s">
        <v>166</v>
      </c>
      <c r="Q6" s="116" t="s">
        <v>5</v>
      </c>
      <c r="R6" s="117">
        <v>320</v>
      </c>
      <c r="S6" s="118">
        <v>1360000</v>
      </c>
      <c r="T6" s="119">
        <f>+S6*R6</f>
        <v>435200000</v>
      </c>
      <c r="U6" s="245" t="s">
        <v>164</v>
      </c>
    </row>
    <row r="7" spans="1:23" x14ac:dyDescent="0.25">
      <c r="A7" s="252"/>
      <c r="B7" s="252"/>
      <c r="C7" s="252"/>
      <c r="D7" s="70" t="s">
        <v>119</v>
      </c>
      <c r="E7" s="71" t="s">
        <v>118</v>
      </c>
      <c r="F7" s="71" t="s">
        <v>180</v>
      </c>
      <c r="G7" s="71">
        <v>48</v>
      </c>
      <c r="H7" s="71" t="s">
        <v>96</v>
      </c>
      <c r="I7" s="72">
        <v>11.58</v>
      </c>
      <c r="J7" s="73">
        <v>8000000</v>
      </c>
      <c r="K7" s="73">
        <f>+J7*I7</f>
        <v>92640000</v>
      </c>
      <c r="M7" s="242"/>
      <c r="N7" s="242"/>
      <c r="O7" s="242"/>
      <c r="P7" s="249"/>
      <c r="Q7" s="116" t="s">
        <v>165</v>
      </c>
      <c r="R7" s="117"/>
      <c r="S7" s="122"/>
      <c r="T7" s="119">
        <v>13447500</v>
      </c>
      <c r="U7" s="245"/>
    </row>
    <row r="8" spans="1:23" x14ac:dyDescent="0.25">
      <c r="A8" s="252"/>
      <c r="B8" s="252"/>
      <c r="C8" s="252"/>
      <c r="D8" s="70" t="s">
        <v>178</v>
      </c>
      <c r="E8" s="71" t="s">
        <v>179</v>
      </c>
      <c r="F8" s="71" t="s">
        <v>181</v>
      </c>
      <c r="G8" s="71">
        <v>17</v>
      </c>
      <c r="H8" s="71" t="s">
        <v>96</v>
      </c>
      <c r="I8" s="72">
        <v>35.840000000000003</v>
      </c>
      <c r="J8" s="73">
        <v>3000000</v>
      </c>
      <c r="K8" s="73">
        <f>+J8*I8</f>
        <v>107520000.00000001</v>
      </c>
      <c r="M8" s="242"/>
      <c r="N8" s="242"/>
      <c r="O8" s="242"/>
      <c r="P8" s="242"/>
      <c r="Q8" s="116" t="s">
        <v>165</v>
      </c>
      <c r="R8" s="117"/>
      <c r="S8" s="122"/>
      <c r="T8" s="119">
        <v>13447500</v>
      </c>
      <c r="U8" s="245"/>
    </row>
    <row r="9" spans="1:23" x14ac:dyDescent="0.25">
      <c r="A9" s="253"/>
      <c r="B9" s="253"/>
      <c r="C9" s="253"/>
      <c r="D9" s="254" t="s">
        <v>117</v>
      </c>
      <c r="E9" s="255"/>
      <c r="F9" s="255"/>
      <c r="G9" s="255"/>
      <c r="H9" s="255"/>
      <c r="I9" s="255"/>
      <c r="J9" s="256"/>
      <c r="K9" s="75">
        <f>SUM(K6:K8)</f>
        <v>682939500</v>
      </c>
      <c r="M9" s="243"/>
      <c r="N9" s="243"/>
      <c r="O9" s="243"/>
      <c r="P9" s="243"/>
      <c r="Q9" s="246" t="s">
        <v>117</v>
      </c>
      <c r="R9" s="246"/>
      <c r="S9" s="246"/>
      <c r="T9" s="124">
        <f>+T8+T6</f>
        <v>448647500</v>
      </c>
      <c r="U9" s="245"/>
    </row>
    <row r="10" spans="1:23" x14ac:dyDescent="0.25">
      <c r="M10" s="244">
        <v>1</v>
      </c>
      <c r="N10" s="244">
        <v>2012</v>
      </c>
      <c r="O10" s="241" t="s">
        <v>167</v>
      </c>
      <c r="P10" s="241" t="s">
        <v>168</v>
      </c>
      <c r="Q10" s="116" t="s">
        <v>5</v>
      </c>
      <c r="R10" s="117">
        <v>907.83</v>
      </c>
      <c r="S10" s="122">
        <v>260000</v>
      </c>
      <c r="T10" s="119">
        <f>+S10*R10</f>
        <v>236035800</v>
      </c>
      <c r="U10" s="245" t="s">
        <v>169</v>
      </c>
    </row>
    <row r="11" spans="1:23" x14ac:dyDescent="0.25">
      <c r="M11" s="242"/>
      <c r="N11" s="242"/>
      <c r="O11" s="242"/>
      <c r="P11" s="242"/>
      <c r="Q11" s="116" t="s">
        <v>165</v>
      </c>
      <c r="R11" s="247"/>
      <c r="S11" s="248"/>
      <c r="T11" s="119">
        <v>800700000</v>
      </c>
      <c r="U11" s="245"/>
    </row>
    <row r="12" spans="1:23" x14ac:dyDescent="0.25">
      <c r="M12" s="243"/>
      <c r="N12" s="243"/>
      <c r="O12" s="243"/>
      <c r="P12" s="243"/>
      <c r="Q12" s="246" t="s">
        <v>117</v>
      </c>
      <c r="R12" s="246"/>
      <c r="S12" s="246"/>
      <c r="T12" s="124">
        <f>+T11+T10</f>
        <v>1036735800</v>
      </c>
      <c r="U12" s="245"/>
    </row>
    <row r="13" spans="1:23" ht="15" customHeight="1" x14ac:dyDescent="0.25">
      <c r="M13" s="244">
        <v>2</v>
      </c>
      <c r="N13" s="244">
        <v>2015</v>
      </c>
      <c r="O13" s="241" t="s">
        <v>170</v>
      </c>
      <c r="P13" s="241" t="s">
        <v>171</v>
      </c>
      <c r="Q13" s="116" t="s">
        <v>5</v>
      </c>
      <c r="R13" s="117">
        <v>2092.17</v>
      </c>
      <c r="S13" s="122">
        <v>430000</v>
      </c>
      <c r="T13" s="119">
        <f>+S13*R13</f>
        <v>899633100</v>
      </c>
      <c r="U13" s="245" t="s">
        <v>172</v>
      </c>
    </row>
    <row r="14" spans="1:23" x14ac:dyDescent="0.25">
      <c r="M14" s="242"/>
      <c r="N14" s="242"/>
      <c r="O14" s="242"/>
      <c r="P14" s="242"/>
      <c r="Q14" s="116" t="s">
        <v>165</v>
      </c>
      <c r="R14" s="247"/>
      <c r="S14" s="248"/>
      <c r="T14" s="125">
        <v>1838228100</v>
      </c>
      <c r="U14" s="245"/>
    </row>
    <row r="15" spans="1:23" ht="24" customHeight="1" x14ac:dyDescent="0.25">
      <c r="M15" s="243"/>
      <c r="N15" s="243"/>
      <c r="O15" s="243"/>
      <c r="P15" s="243"/>
      <c r="Q15" s="246" t="s">
        <v>117</v>
      </c>
      <c r="R15" s="246"/>
      <c r="S15" s="246"/>
      <c r="T15" s="124">
        <f>+T14+T13</f>
        <v>2737861200</v>
      </c>
      <c r="U15" s="245"/>
    </row>
    <row r="16" spans="1:23" x14ac:dyDescent="0.25">
      <c r="M16" s="244">
        <v>5</v>
      </c>
      <c r="N16" s="115"/>
      <c r="O16" s="241" t="s">
        <v>173</v>
      </c>
      <c r="P16" s="241" t="s">
        <v>174</v>
      </c>
      <c r="Q16" s="116" t="s">
        <v>5</v>
      </c>
      <c r="R16" s="117">
        <v>2819.65</v>
      </c>
      <c r="S16" s="118">
        <v>1255000</v>
      </c>
      <c r="T16" s="119">
        <f>+S16*R16</f>
        <v>3538660750</v>
      </c>
      <c r="U16" s="245" t="s">
        <v>175</v>
      </c>
    </row>
    <row r="17" spans="13:21" ht="15" customHeight="1" x14ac:dyDescent="0.25">
      <c r="M17" s="242"/>
      <c r="N17" s="120"/>
      <c r="O17" s="242"/>
      <c r="P17" s="242"/>
      <c r="Q17" s="116" t="s">
        <v>165</v>
      </c>
      <c r="R17" s="126"/>
      <c r="S17" s="122"/>
      <c r="T17" s="119">
        <v>51273400</v>
      </c>
      <c r="U17" s="245"/>
    </row>
    <row r="18" spans="13:21" ht="24" customHeight="1" x14ac:dyDescent="0.25">
      <c r="M18" s="243"/>
      <c r="N18" s="123"/>
      <c r="O18" s="243"/>
      <c r="P18" s="243"/>
      <c r="Q18" s="246" t="s">
        <v>117</v>
      </c>
      <c r="R18" s="246"/>
      <c r="S18" s="246"/>
      <c r="T18" s="124">
        <f>+T17+T16</f>
        <v>3589934150</v>
      </c>
      <c r="U18" s="245"/>
    </row>
    <row r="19" spans="13:21" x14ac:dyDescent="0.25">
      <c r="M19" s="244">
        <v>3</v>
      </c>
      <c r="N19" s="244">
        <v>2021</v>
      </c>
      <c r="O19" s="241" t="s">
        <v>176</v>
      </c>
      <c r="P19" s="241" t="s">
        <v>177</v>
      </c>
      <c r="Q19" s="116" t="s">
        <v>5</v>
      </c>
      <c r="R19" s="117">
        <v>11801.8</v>
      </c>
      <c r="S19" s="118">
        <v>796000</v>
      </c>
      <c r="T19" s="119">
        <f>+S19*R19</f>
        <v>9394232800</v>
      </c>
      <c r="U19" s="245" t="s">
        <v>172</v>
      </c>
    </row>
    <row r="20" spans="13:21" ht="15" customHeight="1" x14ac:dyDescent="0.25">
      <c r="M20" s="242"/>
      <c r="N20" s="242"/>
      <c r="O20" s="242"/>
      <c r="P20" s="242"/>
      <c r="Q20" s="116" t="s">
        <v>165</v>
      </c>
      <c r="R20" s="247"/>
      <c r="S20" s="248"/>
      <c r="T20" s="119">
        <v>3053148420</v>
      </c>
      <c r="U20" s="245"/>
    </row>
    <row r="21" spans="13:21" x14ac:dyDescent="0.25">
      <c r="M21" s="243"/>
      <c r="N21" s="243"/>
      <c r="O21" s="243"/>
      <c r="P21" s="243"/>
      <c r="Q21" s="246" t="s">
        <v>117</v>
      </c>
      <c r="R21" s="246"/>
      <c r="S21" s="246"/>
      <c r="T21" s="124">
        <f>+T20+T19</f>
        <v>12447381220</v>
      </c>
      <c r="U21" s="245"/>
    </row>
  </sheetData>
  <mergeCells count="48">
    <mergeCell ref="M1:W1"/>
    <mergeCell ref="A1:K1"/>
    <mergeCell ref="A3:A5"/>
    <mergeCell ref="A6:A9"/>
    <mergeCell ref="B6:B9"/>
    <mergeCell ref="C6:C9"/>
    <mergeCell ref="D9:J9"/>
    <mergeCell ref="D5:J5"/>
    <mergeCell ref="B3:B5"/>
    <mergeCell ref="C3:C5"/>
    <mergeCell ref="M6:M9"/>
    <mergeCell ref="O6:O9"/>
    <mergeCell ref="P6:P9"/>
    <mergeCell ref="N3:N5"/>
    <mergeCell ref="N6:N9"/>
    <mergeCell ref="M3:M5"/>
    <mergeCell ref="O3:O5"/>
    <mergeCell ref="P3:P5"/>
    <mergeCell ref="U3:U5"/>
    <mergeCell ref="Q5:S5"/>
    <mergeCell ref="M10:M12"/>
    <mergeCell ref="N10:N12"/>
    <mergeCell ref="O10:O12"/>
    <mergeCell ref="P10:P12"/>
    <mergeCell ref="U10:U12"/>
    <mergeCell ref="R11:S11"/>
    <mergeCell ref="Q12:S12"/>
    <mergeCell ref="U13:U15"/>
    <mergeCell ref="R14:S14"/>
    <mergeCell ref="Q15:S15"/>
    <mergeCell ref="U6:U9"/>
    <mergeCell ref="Q9:S9"/>
    <mergeCell ref="U16:U18"/>
    <mergeCell ref="Q18:S18"/>
    <mergeCell ref="M19:M21"/>
    <mergeCell ref="N19:N21"/>
    <mergeCell ref="O19:O21"/>
    <mergeCell ref="P19:P21"/>
    <mergeCell ref="U19:U21"/>
    <mergeCell ref="R20:S20"/>
    <mergeCell ref="Q21:S21"/>
    <mergeCell ref="M16:M18"/>
    <mergeCell ref="O16:O18"/>
    <mergeCell ref="P16:P18"/>
    <mergeCell ref="M13:M15"/>
    <mergeCell ref="N13:N15"/>
    <mergeCell ref="O13:O15"/>
    <mergeCell ref="P13:P15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Footer>&amp;RFO-ACM-PC02-11
V1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FITTO</vt:lpstr>
      <vt:lpstr>HEIDECKE</vt:lpstr>
      <vt:lpstr>MERCADO RURAL</vt:lpstr>
      <vt:lpstr>MERCADO URBANO</vt:lpstr>
      <vt:lpstr>RESULTADO DE AVALUO</vt:lpstr>
      <vt:lpstr>ANTECEDENTES</vt:lpstr>
      <vt:lpstr>FITTO!Área_de_impresión</vt:lpstr>
      <vt:lpstr>SOLO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rreyes;HUGO SOTELO</dc:creator>
  <cp:lastModifiedBy>Lalita Gonzalez</cp:lastModifiedBy>
  <cp:lastPrinted>2012-03-08T19:25:23Z</cp:lastPrinted>
  <dcterms:created xsi:type="dcterms:W3CDTF">2008-10-17T19:13:21Z</dcterms:created>
  <dcterms:modified xsi:type="dcterms:W3CDTF">2022-05-31T21:43:56Z</dcterms:modified>
</cp:coreProperties>
</file>